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RO Amersfoort en Haarlem\Aanbesteding 2024\Correspondentie\"/>
    </mc:Choice>
  </mc:AlternateContent>
  <xr:revisionPtr revIDLastSave="0" documentId="8_{E6D36E99-CE69-4A74-BE80-4C806E6DCE9A}" xr6:coauthVersionLast="47" xr6:coauthVersionMax="47" xr10:uidLastSave="{00000000-0000-0000-0000-000000000000}"/>
  <bookViews>
    <workbookView xWindow="6108" yWindow="2460" windowWidth="23040" windowHeight="12168" firstSheet="4" activeTab="15" xr2:uid="{9CA3A4E6-0B95-4D9F-845C-850D13053981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Ruimten weekenddag" sheetId="6" r:id="rId6"/>
    <sheet name="Objectinformatie" sheetId="7" r:id="rId7"/>
    <sheet name="Objecten" sheetId="8" r:id="rId8"/>
    <sheet name="Totaalblad Objecten" sheetId="9" r:id="rId9"/>
    <sheet name="Additioneel werk" sheetId="10" r:id="rId10"/>
    <sheet name="Additioneel werk per locatie" sheetId="11" r:id="rId11"/>
    <sheet name="Afroep" sheetId="12" r:id="rId12"/>
    <sheet name="Afroep incidenteel" sheetId="13" r:id="rId13"/>
    <sheet name="Glas" sheetId="14" r:id="rId14"/>
    <sheet name="Glas per locatie" sheetId="15" r:id="rId15"/>
    <sheet name="Totaal" sheetId="16" r:id="rId16"/>
  </sheets>
  <definedNames>
    <definedName name="_xlnm._FilterDatabase" localSheetId="5" hidden="1">'Ruimten weekenddag'!$A$3:$V$50</definedName>
    <definedName name="_xlnm._FilterDatabase" localSheetId="4" hidden="1">'Ruimten werkdag'!$A$3:$V$1227</definedName>
    <definedName name="_xlnm.Print_Titles" localSheetId="9">'Additioneel werk'!$1:$3</definedName>
    <definedName name="_xlnm.Print_Titles" localSheetId="10">'Additioneel werk per locatie'!$1:$3</definedName>
    <definedName name="_xlnm.Print_Titles" localSheetId="11">Afroep!$1:$3</definedName>
    <definedName name="_xlnm.Print_Titles" localSheetId="12">'Afroep incidenteel'!$1:$3</definedName>
    <definedName name="_xlnm.Print_Titles" localSheetId="2">Categorienormen!$1:$3</definedName>
    <definedName name="_xlnm.Print_Titles" localSheetId="13">Glas!$1:$3</definedName>
    <definedName name="_xlnm.Print_Titles" localSheetId="14">'Glas per locatie'!$1:$3</definedName>
    <definedName name="_xlnm.Print_Titles" localSheetId="7">Objecten!$1:$3</definedName>
    <definedName name="_xlnm.Print_Titles" localSheetId="6">Objectinformatie!$A:$D,Objectinformatie!$1:$4</definedName>
    <definedName name="_xlnm.Print_Titles" localSheetId="3">'Regulier werk'!$1:$3</definedName>
    <definedName name="_xlnm.Print_Titles" localSheetId="5">'Ruimten weekenddag'!$1:$3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5">Totaal!$1:$3</definedName>
    <definedName name="_xlnm.Print_Titles" localSheetId="8">'Totaalblad Objecten'!$1:$3</definedName>
    <definedName name="catdw_1_AHB_1">Categorienormen!$F$6</definedName>
    <definedName name="catdw_1_AHV_12">Categorienormen!$F$7</definedName>
    <definedName name="catdw_1_AHV_40">Categorienormen!$F$8</definedName>
    <definedName name="catdw_1_AHV_51">Categorienormen!$F$9</definedName>
    <definedName name="catdw_1_AZB_1">Categorienormen!$F$10</definedName>
    <definedName name="catdw_1_AZV_51">Categorienormen!$F$11</definedName>
    <definedName name="catdw_1_BHB_1">Categorienormen!$F$61</definedName>
    <definedName name="catdw_1_BHV_12">Categorienormen!$F$62</definedName>
    <definedName name="catdw_1_BHV_40">Categorienormen!$F$63</definedName>
    <definedName name="catdw_1_BHV_51">Categorienormen!$F$64</definedName>
    <definedName name="catdw_1_BZB_1">Categorienormen!$F$65</definedName>
    <definedName name="catdw_1_BZV_40">Categorienormen!$F$66</definedName>
    <definedName name="catdw_1_BZV_51">Categorienormen!$F$67</definedName>
    <definedName name="catdw_1_DHB_1">Categorienormen!$F$43</definedName>
    <definedName name="catdw_1_DHV_40">Categorienormen!$F$44</definedName>
    <definedName name="catdw_1_DHV_51">Categorienormen!$F$45</definedName>
    <definedName name="catdw_1_EHB_1">Categorienormen!$F$12</definedName>
    <definedName name="catdw_1_EHV_40">Categorienormen!$F$13</definedName>
    <definedName name="catdw_1_EHV_51">Categorienormen!$F$14</definedName>
    <definedName name="catdw_1_EZB_1">Categorienormen!$F$15</definedName>
    <definedName name="catdw_1_EZV_40">Categorienormen!$F$16</definedName>
    <definedName name="catdw_1_EZV_51">Categorienormen!$F$17</definedName>
    <definedName name="catdw_1_FHB_1">Categorienormen!$F$18</definedName>
    <definedName name="catdw_1_FHV_51">Categorienormen!$F$19</definedName>
    <definedName name="catdw_1_GHB_1">Categorienormen!$F$58</definedName>
    <definedName name="catdw_1_GHV_40">Categorienormen!$F$59</definedName>
    <definedName name="catdw_1_GHV_46">Categorienormen!$F$60</definedName>
    <definedName name="catdw_1_KLHB_1">Categorienormen!$F$81</definedName>
    <definedName name="catdw_1_KLHV_40">Categorienormen!$F$82</definedName>
    <definedName name="catdw_1_KLHV_51">Categorienormen!$F$83</definedName>
    <definedName name="catdw_1_LHB_1">Categorienormen!$F$68</definedName>
    <definedName name="catdw_1_LHV_40">Categorienormen!$F$69</definedName>
    <definedName name="catdw_1_LHV_51">Categorienormen!$F$70</definedName>
    <definedName name="catdw_1_LKHB_1">Categorienormen!$F$71</definedName>
    <definedName name="catdw_1_LKHV_40">Categorienormen!$F$72</definedName>
    <definedName name="catdw_1_OZB_1">Categorienormen!$F$20</definedName>
    <definedName name="catdw_1_OZV_51">Categorienormen!$F$21</definedName>
    <definedName name="catdw_1_PHB_1">Categorienormen!$F$22</definedName>
    <definedName name="catdw_1_PHV_40">Categorienormen!$F$23</definedName>
    <definedName name="catdw_1_PHV_51">Categorienormen!$F$24</definedName>
    <definedName name="catdw_1_PMHB_1">Categorienormen!$F$86</definedName>
    <definedName name="catdw_1_PMHV_40">Categorienormen!$F$87</definedName>
    <definedName name="catdw_1_PUHB_1">Categorienormen!$F$88</definedName>
    <definedName name="catdw_1_PUHV_51">Categorienormen!$F$89</definedName>
    <definedName name="catdw_1_RHB_1">Categorienormen!$F$73</definedName>
    <definedName name="catdw_1_RHV_40">Categorienormen!$F$74</definedName>
    <definedName name="catdw_1_RHV_45">Categorienormen!$F$75</definedName>
    <definedName name="catdw_1_RHV_51">Categorienormen!$F$76</definedName>
    <definedName name="catdw_1_RZB_1">Categorienormen!$F$77</definedName>
    <definedName name="catdw_1_RZH_40">Categorienormen!$F$78</definedName>
    <definedName name="catdw_1_SHB_1">Categorienormen!$F$46</definedName>
    <definedName name="catdw_1_SHV_40">Categorienormen!$F$47</definedName>
    <definedName name="catdw_1_SHV_46">Categorienormen!$F$48</definedName>
    <definedName name="catdw_1_SHV_51">Categorienormen!$F$49</definedName>
    <definedName name="catdw_1_THB_1">Categorienormen!$F$25</definedName>
    <definedName name="catdw_1_THV_12">Categorienormen!$F$26</definedName>
    <definedName name="catdw_1_THV_40">Categorienormen!$F$27</definedName>
    <definedName name="catdw_1_THV_51">Categorienormen!$F$28</definedName>
    <definedName name="catdw_1_TZB_1">Categorienormen!$F$29</definedName>
    <definedName name="catdw_1_TZV_51">Categorienormen!$F$30</definedName>
    <definedName name="catdw_1_VHB_1">Categorienormen!$F$31</definedName>
    <definedName name="catdw_1_VHV_40">Categorienormen!$F$33</definedName>
    <definedName name="catdw_1_VHV_51">Categorienormen!$F$34</definedName>
    <definedName name="catdw_1_VHV_6">Categorienormen!$F$32</definedName>
    <definedName name="catdw_1_VZB_1">Categorienormen!$F$35</definedName>
    <definedName name="catdw_1_VZV_51">Categorienormen!$F$36</definedName>
    <definedName name="catdw_1_ZBHB_1">Categorienormen!$F$79</definedName>
    <definedName name="catdw_1_ZBHB_51">Categorienormen!$F$80</definedName>
    <definedName name="catdw_1_ZDHB_1">Categorienormen!$F$50</definedName>
    <definedName name="catdw_1_ZDHV_51">Categorienormen!$F$51</definedName>
    <definedName name="catdw_1_ZEHB_1">Categorienormen!$F$37</definedName>
    <definedName name="catdw_1_ZEHV_51">Categorienormen!$F$38</definedName>
    <definedName name="catdw_1_ZHB_1">Categorienormen!$F$56</definedName>
    <definedName name="catdw_1_ZHV_51">Categorienormen!$F$57</definedName>
    <definedName name="catdw_1_ZKLHB_1">Categorienormen!$F$84</definedName>
    <definedName name="catdw_1_ZKLHV_51">Categorienormen!$F$85</definedName>
    <definedName name="catdw_1_ZPHB_1">Categorienormen!$F$39</definedName>
    <definedName name="catdw_1_ZPHV_51">Categorienormen!$F$40</definedName>
    <definedName name="catdw_1_ZSAHB_1">Categorienormen!$F$52</definedName>
    <definedName name="catdw_1_ZSAHV_51">Categorienormen!$F$53</definedName>
    <definedName name="catdw_1_ZSHB_1">Categorienormen!$F$54</definedName>
    <definedName name="catdw_1_ZSHV_51">Categorienormen!$F$55</definedName>
    <definedName name="catdw_1_ZVHB_1">Categorienormen!$F$41</definedName>
    <definedName name="catdw_1_ZVHV_51">Categorienormen!$F$42</definedName>
    <definedName name="catdw_3_WDHB_1">Categorienormen!$F$97</definedName>
    <definedName name="catdw_3_WEHB_1">Categorienormen!$F$92</definedName>
    <definedName name="catdw_3_WSHB_1">Categorienormen!$F$98</definedName>
    <definedName name="catdw_3_WTHB_1">Categorienormen!$F$93</definedName>
    <definedName name="catdw_3_WVZB_1">Categorienormen!$F$94</definedName>
    <definedName name="catdw_3_WZEHB_1">Categorienormen!$F$95</definedName>
    <definedName name="catdw_3_WZKHB_1">Categorienormen!$F$100</definedName>
    <definedName name="catdw_3_WZSHB_1">Categorienormen!$F$99</definedName>
    <definedName name="catdw_3_WZVHB_1">Categorienormen!$F$96</definedName>
    <definedName name="catfd_1_AHB_1">Categorienormen!$C$6</definedName>
    <definedName name="catfd_1_AHV_12">Categorienormen!$C$7</definedName>
    <definedName name="catfd_1_AHV_40">Categorienormen!$C$8</definedName>
    <definedName name="catfd_1_AHV_51">Categorienormen!$C$9</definedName>
    <definedName name="catfd_1_AZB_1">Categorienormen!$C$10</definedName>
    <definedName name="catfd_1_AZV_51">Categorienormen!$C$11</definedName>
    <definedName name="catfd_1_BHB_1">Categorienormen!$C$61</definedName>
    <definedName name="catfd_1_BHV_12">Categorienormen!$C$62</definedName>
    <definedName name="catfd_1_BHV_40">Categorienormen!$C$63</definedName>
    <definedName name="catfd_1_BHV_51">Categorienormen!$C$64</definedName>
    <definedName name="catfd_1_BZB_1">Categorienormen!$C$65</definedName>
    <definedName name="catfd_1_BZV_40">Categorienormen!$C$66</definedName>
    <definedName name="catfd_1_BZV_51">Categorienormen!$C$67</definedName>
    <definedName name="catfd_1_DHB_1">Categorienormen!$C$43</definedName>
    <definedName name="catfd_1_DHV_40">Categorienormen!$C$44</definedName>
    <definedName name="catfd_1_DHV_51">Categorienormen!$C$45</definedName>
    <definedName name="catfd_1_EHB_1">Categorienormen!$C$12</definedName>
    <definedName name="catfd_1_EHV_40">Categorienormen!$C$13</definedName>
    <definedName name="catfd_1_EHV_51">Categorienormen!$C$14</definedName>
    <definedName name="catfd_1_EZB_1">Categorienormen!$C$15</definedName>
    <definedName name="catfd_1_EZV_40">Categorienormen!$C$16</definedName>
    <definedName name="catfd_1_EZV_51">Categorienormen!$C$17</definedName>
    <definedName name="catfd_1_FHB_1">Categorienormen!$C$18</definedName>
    <definedName name="catfd_1_FHV_51">Categorienormen!$C$19</definedName>
    <definedName name="catfd_1_GHB_1">Categorienormen!$C$58</definedName>
    <definedName name="catfd_1_GHV_40">Categorienormen!$C$59</definedName>
    <definedName name="catfd_1_GHV_46">Categorienormen!$C$60</definedName>
    <definedName name="catfd_1_KLHB_1">Categorienormen!$C$81</definedName>
    <definedName name="catfd_1_KLHV_40">Categorienormen!$C$82</definedName>
    <definedName name="catfd_1_KLHV_51">Categorienormen!$C$83</definedName>
    <definedName name="catfd_1_LHB_1">Categorienormen!$C$68</definedName>
    <definedName name="catfd_1_LHV_40">Categorienormen!$C$69</definedName>
    <definedName name="catfd_1_LHV_51">Categorienormen!$C$70</definedName>
    <definedName name="catfd_1_LKHB_1">Categorienormen!$C$71</definedName>
    <definedName name="catfd_1_LKHV_40">Categorienormen!$C$72</definedName>
    <definedName name="catfd_1_OZB_1">Categorienormen!$C$20</definedName>
    <definedName name="catfd_1_OZV_51">Categorienormen!$C$21</definedName>
    <definedName name="catfd_1_PHB_1">Categorienormen!$C$22</definedName>
    <definedName name="catfd_1_PHV_40">Categorienormen!$C$23</definedName>
    <definedName name="catfd_1_PHV_51">Categorienormen!$C$24</definedName>
    <definedName name="catfd_1_PMHB_1">Categorienormen!$C$86</definedName>
    <definedName name="catfd_1_PMHV_40">Categorienormen!$C$87</definedName>
    <definedName name="catfd_1_PUHB_1">Categorienormen!$C$88</definedName>
    <definedName name="catfd_1_PUHV_51">Categorienormen!$C$89</definedName>
    <definedName name="catfd_1_RHB_1">Categorienormen!$C$73</definedName>
    <definedName name="catfd_1_RHV_40">Categorienormen!$C$74</definedName>
    <definedName name="catfd_1_RHV_45">Categorienormen!$C$75</definedName>
    <definedName name="catfd_1_RHV_51">Categorienormen!$C$76</definedName>
    <definedName name="catfd_1_RZB_1">Categorienormen!$C$77</definedName>
    <definedName name="catfd_1_RZH_40">Categorienormen!$C$78</definedName>
    <definedName name="catfd_1_SHB_1">Categorienormen!$C$46</definedName>
    <definedName name="catfd_1_SHV_40">Categorienormen!$C$47</definedName>
    <definedName name="catfd_1_SHV_46">Categorienormen!$C$48</definedName>
    <definedName name="catfd_1_SHV_51">Categorienormen!$C$49</definedName>
    <definedName name="catfd_1_THB_1">Categorienormen!$C$25</definedName>
    <definedName name="catfd_1_THV_12">Categorienormen!$C$26</definedName>
    <definedName name="catfd_1_THV_40">Categorienormen!$C$27</definedName>
    <definedName name="catfd_1_THV_51">Categorienormen!$C$28</definedName>
    <definedName name="catfd_1_TZB_1">Categorienormen!$C$29</definedName>
    <definedName name="catfd_1_TZV_51">Categorienormen!$C$30</definedName>
    <definedName name="catfd_1_VHB_1">Categorienormen!$C$31</definedName>
    <definedName name="catfd_1_VHV_40">Categorienormen!$C$33</definedName>
    <definedName name="catfd_1_VHV_51">Categorienormen!$C$34</definedName>
    <definedName name="catfd_1_VHV_6">Categorienormen!$C$32</definedName>
    <definedName name="catfd_1_VZB_1">Categorienormen!$C$35</definedName>
    <definedName name="catfd_1_VZV_51">Categorienormen!$C$36</definedName>
    <definedName name="catfd_1_ZBHB_1">Categorienormen!$C$79</definedName>
    <definedName name="catfd_1_ZBHB_51">Categorienormen!$C$80</definedName>
    <definedName name="catfd_1_ZDHB_1">Categorienormen!$C$50</definedName>
    <definedName name="catfd_1_ZDHV_51">Categorienormen!$C$51</definedName>
    <definedName name="catfd_1_ZEHB_1">Categorienormen!$C$37</definedName>
    <definedName name="catfd_1_ZEHV_51">Categorienormen!$C$38</definedName>
    <definedName name="catfd_1_ZHB_1">Categorienormen!$C$56</definedName>
    <definedName name="catfd_1_ZHV_51">Categorienormen!$C$57</definedName>
    <definedName name="catfd_1_ZKLHB_1">Categorienormen!$C$84</definedName>
    <definedName name="catfd_1_ZKLHV_51">Categorienormen!$C$85</definedName>
    <definedName name="catfd_1_ZPHB_1">Categorienormen!$C$39</definedName>
    <definedName name="catfd_1_ZPHV_51">Categorienormen!$C$40</definedName>
    <definedName name="catfd_1_ZSAHB_1">Categorienormen!$C$52</definedName>
    <definedName name="catfd_1_ZSAHV_51">Categorienormen!$C$53</definedName>
    <definedName name="catfd_1_ZSHB_1">Categorienormen!$C$54</definedName>
    <definedName name="catfd_1_ZSHV_51">Categorienormen!$C$55</definedName>
    <definedName name="catfd_1_ZVHB_1">Categorienormen!$C$41</definedName>
    <definedName name="catfd_1_ZVHV_51">Categorienormen!$C$42</definedName>
    <definedName name="catfd_3_WDHB_1">Categorienormen!$C$97</definedName>
    <definedName name="catfd_3_WEHB_1">Categorienormen!$C$92</definedName>
    <definedName name="catfd_3_WSHB_1">Categorienormen!$C$98</definedName>
    <definedName name="catfd_3_WTHB_1">Categorienormen!$C$93</definedName>
    <definedName name="catfd_3_WVZB_1">Categorienormen!$C$94</definedName>
    <definedName name="catfd_3_WZEHB_1">Categorienormen!$C$95</definedName>
    <definedName name="catfd_3_WZKHB_1">Categorienormen!$C$100</definedName>
    <definedName name="catfd_3_WZSHB_1">Categorienormen!$C$99</definedName>
    <definedName name="catfd_3_WZVHB_1">Categorienormen!$C$96</definedName>
    <definedName name="catpn_1_AHB_1">Categorienormen!$E$6</definedName>
    <definedName name="catpn_1_AHV_12">Categorienormen!$E$7</definedName>
    <definedName name="catpn_1_AHV_40">Categorienormen!$E$8</definedName>
    <definedName name="catpn_1_AHV_51">Categorienormen!$E$9</definedName>
    <definedName name="catpn_1_AZB_1">Categorienormen!$E$10</definedName>
    <definedName name="catpn_1_AZV_51">Categorienormen!$E$11</definedName>
    <definedName name="catpn_1_BHB_1">Categorienormen!$E$61</definedName>
    <definedName name="catpn_1_BHV_12">Categorienormen!$E$62</definedName>
    <definedName name="catpn_1_BHV_40">Categorienormen!$E$63</definedName>
    <definedName name="catpn_1_BHV_51">Categorienormen!$E$64</definedName>
    <definedName name="catpn_1_BZB_1">Categorienormen!$E$65</definedName>
    <definedName name="catpn_1_BZV_40">Categorienormen!$E$66</definedName>
    <definedName name="catpn_1_BZV_51">Categorienormen!$E$67</definedName>
    <definedName name="catpn_1_DHB_1">Categorienormen!$E$43</definedName>
    <definedName name="catpn_1_DHV_40">Categorienormen!$E$44</definedName>
    <definedName name="catpn_1_DHV_51">Categorienormen!$E$45</definedName>
    <definedName name="catpn_1_EHB_1">Categorienormen!$E$12</definedName>
    <definedName name="catpn_1_EHV_40">Categorienormen!$E$13</definedName>
    <definedName name="catpn_1_EHV_51">Categorienormen!$E$14</definedName>
    <definedName name="catpn_1_EZB_1">Categorienormen!$E$15</definedName>
    <definedName name="catpn_1_EZV_40">Categorienormen!$E$16</definedName>
    <definedName name="catpn_1_EZV_51">Categorienormen!$E$17</definedName>
    <definedName name="catpn_1_FHB_1">Categorienormen!$E$18</definedName>
    <definedName name="catpn_1_FHV_51">Categorienormen!$E$19</definedName>
    <definedName name="catpn_1_GHB_1">Categorienormen!$E$58</definedName>
    <definedName name="catpn_1_GHV_40">Categorienormen!$E$59</definedName>
    <definedName name="catpn_1_GHV_46">Categorienormen!$E$60</definedName>
    <definedName name="catpn_1_KLHB_1">Categorienormen!$E$81</definedName>
    <definedName name="catpn_1_KLHV_40">Categorienormen!$E$82</definedName>
    <definedName name="catpn_1_KLHV_51">Categorienormen!$E$83</definedName>
    <definedName name="catpn_1_LHB_1">Categorienormen!$E$68</definedName>
    <definedName name="catpn_1_LHV_40">Categorienormen!$E$69</definedName>
    <definedName name="catpn_1_LHV_51">Categorienormen!$E$70</definedName>
    <definedName name="catpn_1_LKHB_1">Categorienormen!$E$71</definedName>
    <definedName name="catpn_1_LKHV_40">Categorienormen!$E$72</definedName>
    <definedName name="catpn_1_OZB_1">Categorienormen!$E$20</definedName>
    <definedName name="catpn_1_OZV_51">Categorienormen!$E$21</definedName>
    <definedName name="catpn_1_PHB_1">Categorienormen!$E$22</definedName>
    <definedName name="catpn_1_PHV_40">Categorienormen!$E$23</definedName>
    <definedName name="catpn_1_PHV_51">Categorienormen!$E$24</definedName>
    <definedName name="catpn_1_PMHB_1">Categorienormen!$E$86</definedName>
    <definedName name="catpn_1_PMHV_40">Categorienormen!$E$87</definedName>
    <definedName name="catpn_1_PUHB_1">Categorienormen!$E$88</definedName>
    <definedName name="catpn_1_PUHV_51">Categorienormen!$E$89</definedName>
    <definedName name="catpn_1_RHB_1">Categorienormen!$E$73</definedName>
    <definedName name="catpn_1_RHV_40">Categorienormen!$E$74</definedName>
    <definedName name="catpn_1_RHV_45">Categorienormen!$E$75</definedName>
    <definedName name="catpn_1_RHV_51">Categorienormen!$E$76</definedName>
    <definedName name="catpn_1_RZB_1">Categorienormen!$E$77</definedName>
    <definedName name="catpn_1_RZH_40">Categorienormen!$E$78</definedName>
    <definedName name="catpn_1_SHB_1">Categorienormen!$E$46</definedName>
    <definedName name="catpn_1_SHV_40">Categorienormen!$E$47</definedName>
    <definedName name="catpn_1_SHV_46">Categorienormen!$E$48</definedName>
    <definedName name="catpn_1_SHV_51">Categorienormen!$E$49</definedName>
    <definedName name="catpn_1_THB_1">Categorienormen!$E$25</definedName>
    <definedName name="catpn_1_THV_12">Categorienormen!$E$26</definedName>
    <definedName name="catpn_1_THV_40">Categorienormen!$E$27</definedName>
    <definedName name="catpn_1_THV_51">Categorienormen!$E$28</definedName>
    <definedName name="catpn_1_TZB_1">Categorienormen!$E$29</definedName>
    <definedName name="catpn_1_TZV_51">Categorienormen!$E$30</definedName>
    <definedName name="catpn_1_VHB_1">Categorienormen!$E$31</definedName>
    <definedName name="catpn_1_VHV_40">Categorienormen!$E$33</definedName>
    <definedName name="catpn_1_VHV_51">Categorienormen!$E$34</definedName>
    <definedName name="catpn_1_VHV_6">Categorienormen!$E$32</definedName>
    <definedName name="catpn_1_VZB_1">Categorienormen!$E$35</definedName>
    <definedName name="catpn_1_VZV_51">Categorienormen!$E$36</definedName>
    <definedName name="catpn_1_ZBHB_1">Categorienormen!$E$79</definedName>
    <definedName name="catpn_1_ZBHB_51">Categorienormen!$E$80</definedName>
    <definedName name="catpn_1_ZDHB_1">Categorienormen!$E$50</definedName>
    <definedName name="catpn_1_ZDHV_51">Categorienormen!$E$51</definedName>
    <definedName name="catpn_1_ZEHB_1">Categorienormen!$E$37</definedName>
    <definedName name="catpn_1_ZEHV_51">Categorienormen!$E$38</definedName>
    <definedName name="catpn_1_ZHB_1">Categorienormen!$E$56</definedName>
    <definedName name="catpn_1_ZHV_51">Categorienormen!$E$57</definedName>
    <definedName name="catpn_1_ZKLHB_1">Categorienormen!$E$84</definedName>
    <definedName name="catpn_1_ZKLHV_51">Categorienormen!$E$85</definedName>
    <definedName name="catpn_1_ZPHB_1">Categorienormen!$E$39</definedName>
    <definedName name="catpn_1_ZPHV_51">Categorienormen!$E$40</definedName>
    <definedName name="catpn_1_ZSAHB_1">Categorienormen!$E$52</definedName>
    <definedName name="catpn_1_ZSAHV_51">Categorienormen!$E$53</definedName>
    <definedName name="catpn_1_ZSHB_1">Categorienormen!$E$54</definedName>
    <definedName name="catpn_1_ZSHV_51">Categorienormen!$E$55</definedName>
    <definedName name="catpn_1_ZVHB_1">Categorienormen!$E$41</definedName>
    <definedName name="catpn_1_ZVHV_51">Categorienormen!$E$42</definedName>
    <definedName name="catpn_3_WDHB_1">Categorienormen!$E$97</definedName>
    <definedName name="catpn_3_WEHB_1">Categorienormen!$E$92</definedName>
    <definedName name="catpn_3_WSHB_1">Categorienormen!$E$98</definedName>
    <definedName name="catpn_3_WTHB_1">Categorienormen!$E$93</definedName>
    <definedName name="catpn_3_WVZB_1">Categorienormen!$E$94</definedName>
    <definedName name="catpn_3_WZEHB_1">Categorienormen!$E$95</definedName>
    <definedName name="catpn_3_WZKHB_1">Categorienormen!$E$100</definedName>
    <definedName name="catpn_3_WZSHB_1">Categorienormen!$E$99</definedName>
    <definedName name="catpn_3_WZVHB_1">Categorienormen!$E$96</definedName>
    <definedName name="cattf_1_AHB_1">Categorienormen!$H$6</definedName>
    <definedName name="cattf_1_AHV_12">Categorienormen!$H$7</definedName>
    <definedName name="cattf_1_AHV_40">Categorienormen!$H$8</definedName>
    <definedName name="cattf_1_AHV_51">Categorienormen!$H$9</definedName>
    <definedName name="cattf_1_AZB_1">Categorienormen!$H$10</definedName>
    <definedName name="cattf_1_AZV_51">Categorienormen!$H$11</definedName>
    <definedName name="cattf_1_BHB_1">Categorienormen!$H$61</definedName>
    <definedName name="cattf_1_BHV_12">Categorienormen!$H$62</definedName>
    <definedName name="cattf_1_BHV_40">Categorienormen!$H$63</definedName>
    <definedName name="cattf_1_BHV_51">Categorienormen!$H$64</definedName>
    <definedName name="cattf_1_BZB_1">Categorienormen!$H$65</definedName>
    <definedName name="cattf_1_BZV_40">Categorienormen!$H$66</definedName>
    <definedName name="cattf_1_BZV_51">Categorienormen!$H$67</definedName>
    <definedName name="cattf_1_DHB_1">Categorienormen!$H$43</definedName>
    <definedName name="cattf_1_DHV_40">Categorienormen!$H$44</definedName>
    <definedName name="cattf_1_DHV_51">Categorienormen!$H$45</definedName>
    <definedName name="cattf_1_EHB_1">Categorienormen!$H$12</definedName>
    <definedName name="cattf_1_EHV_40">Categorienormen!$H$13</definedName>
    <definedName name="cattf_1_EHV_51">Categorienormen!$H$14</definedName>
    <definedName name="cattf_1_EZB_1">Categorienormen!$H$15</definedName>
    <definedName name="cattf_1_EZV_40">Categorienormen!$H$16</definedName>
    <definedName name="cattf_1_EZV_51">Categorienormen!$H$17</definedName>
    <definedName name="cattf_1_FHB_1">Categorienormen!$H$18</definedName>
    <definedName name="cattf_1_FHV_51">Categorienormen!$H$19</definedName>
    <definedName name="cattf_1_GHB_1">Categorienormen!$H$58</definedName>
    <definedName name="cattf_1_GHV_40">Categorienormen!$H$59</definedName>
    <definedName name="cattf_1_GHV_46">Categorienormen!$H$60</definedName>
    <definedName name="cattf_1_KLHB_1">Categorienormen!$H$81</definedName>
    <definedName name="cattf_1_KLHV_40">Categorienormen!$H$82</definedName>
    <definedName name="cattf_1_KLHV_51">Categorienormen!$H$83</definedName>
    <definedName name="cattf_1_LHB_1">Categorienormen!$H$68</definedName>
    <definedName name="cattf_1_LHV_40">Categorienormen!$H$69</definedName>
    <definedName name="cattf_1_LHV_51">Categorienormen!$H$70</definedName>
    <definedName name="cattf_1_LKHB_1">Categorienormen!$H$71</definedName>
    <definedName name="cattf_1_LKHV_40">Categorienormen!$H$72</definedName>
    <definedName name="cattf_1_OZB_1">Categorienormen!$H$20</definedName>
    <definedName name="cattf_1_OZV_51">Categorienormen!$H$21</definedName>
    <definedName name="cattf_1_PHB_1">Categorienormen!$H$22</definedName>
    <definedName name="cattf_1_PHV_40">Categorienormen!$H$23</definedName>
    <definedName name="cattf_1_PHV_51">Categorienormen!$H$24</definedName>
    <definedName name="cattf_1_PMHB_1">Categorienormen!$H$86</definedName>
    <definedName name="cattf_1_PMHV_40">Categorienormen!$H$87</definedName>
    <definedName name="cattf_1_PUHB_1">Categorienormen!$H$88</definedName>
    <definedName name="cattf_1_PUHV_51">Categorienormen!$H$89</definedName>
    <definedName name="cattf_1_RHB_1">Categorienormen!$H$73</definedName>
    <definedName name="cattf_1_RHV_40">Categorienormen!$H$74</definedName>
    <definedName name="cattf_1_RHV_45">Categorienormen!$H$75</definedName>
    <definedName name="cattf_1_RHV_51">Categorienormen!$H$76</definedName>
    <definedName name="cattf_1_RZB_1">Categorienormen!$H$77</definedName>
    <definedName name="cattf_1_RZH_40">Categorienormen!$H$78</definedName>
    <definedName name="cattf_1_SHB_1">Categorienormen!$H$46</definedName>
    <definedName name="cattf_1_SHV_40">Categorienormen!$H$47</definedName>
    <definedName name="cattf_1_SHV_46">Categorienormen!$H$48</definedName>
    <definedName name="cattf_1_SHV_51">Categorienormen!$H$49</definedName>
    <definedName name="cattf_1_THB_1">Categorienormen!$H$25</definedName>
    <definedName name="cattf_1_THV_12">Categorienormen!$H$26</definedName>
    <definedName name="cattf_1_THV_40">Categorienormen!$H$27</definedName>
    <definedName name="cattf_1_THV_51">Categorienormen!$H$28</definedName>
    <definedName name="cattf_1_TZB_1">Categorienormen!$H$29</definedName>
    <definedName name="cattf_1_TZV_51">Categorienormen!$H$30</definedName>
    <definedName name="cattf_1_VHB_1">Categorienormen!$H$31</definedName>
    <definedName name="cattf_1_VHV_40">Categorienormen!$H$33</definedName>
    <definedName name="cattf_1_VHV_51">Categorienormen!$H$34</definedName>
    <definedName name="cattf_1_VHV_6">Categorienormen!$H$32</definedName>
    <definedName name="cattf_1_VZB_1">Categorienormen!$H$35</definedName>
    <definedName name="cattf_1_VZV_51">Categorienormen!$H$36</definedName>
    <definedName name="cattf_1_ZBHB_1">Categorienormen!$H$79</definedName>
    <definedName name="cattf_1_ZBHB_51">Categorienormen!$H$80</definedName>
    <definedName name="cattf_1_ZDHB_1">Categorienormen!$H$50</definedName>
    <definedName name="cattf_1_ZDHV_51">Categorienormen!$H$51</definedName>
    <definedName name="cattf_1_ZEHB_1">Categorienormen!$H$37</definedName>
    <definedName name="cattf_1_ZEHV_51">Categorienormen!$H$38</definedName>
    <definedName name="cattf_1_ZHB_1">Categorienormen!$H$56</definedName>
    <definedName name="cattf_1_ZHV_51">Categorienormen!$H$57</definedName>
    <definedName name="cattf_1_ZKLHB_1">Categorienormen!$H$84</definedName>
    <definedName name="cattf_1_ZKLHV_51">Categorienormen!$H$85</definedName>
    <definedName name="cattf_1_ZPHB_1">Categorienormen!$H$39</definedName>
    <definedName name="cattf_1_ZPHV_51">Categorienormen!$H$40</definedName>
    <definedName name="cattf_1_ZSAHB_1">Categorienormen!$H$52</definedName>
    <definedName name="cattf_1_ZSAHV_51">Categorienormen!$H$53</definedName>
    <definedName name="cattf_1_ZSHB_1">Categorienormen!$H$54</definedName>
    <definedName name="cattf_1_ZSHV_51">Categorienormen!$H$55</definedName>
    <definedName name="cattf_1_ZVHB_1">Categorienormen!$H$41</definedName>
    <definedName name="cattf_1_ZVHV_51">Categorienormen!$H$42</definedName>
    <definedName name="cattf_3_WDHB_1">Categorienormen!$H$97</definedName>
    <definedName name="cattf_3_WEHB_1">Categorienormen!$H$92</definedName>
    <definedName name="cattf_3_WSHB_1">Categorienormen!$H$98</definedName>
    <definedName name="cattf_3_WTHB_1">Categorienormen!$H$93</definedName>
    <definedName name="cattf_3_WVZB_1">Categorienormen!$H$94</definedName>
    <definedName name="cattf_3_WZEHB_1">Categorienormen!$H$95</definedName>
    <definedName name="cattf_3_WZKHB_1">Categorienormen!$H$100</definedName>
    <definedName name="cattf_3_WZSHB_1">Categorienormen!$H$99</definedName>
    <definedName name="cattf_3_WZVHB_1">Categorienormen!$H$96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Omreken!$A$13:$B$35</definedName>
    <definedName name="dagsoorttabel2">Omreken!$D$13:$E$24</definedName>
    <definedName name="dagsoorttabel3">Omreken!$G$13:$H$17</definedName>
    <definedName name="dagwerk100">'Regulier werk'!$H$81</definedName>
    <definedName name="dagwerk101">'Regulier werk'!$H$82</definedName>
    <definedName name="dagwerk102">'Regulier werk'!$H$83</definedName>
    <definedName name="dagwerk103">'Regulier werk'!$H$84</definedName>
    <definedName name="dagwerk104">'Regulier werk'!$H$85</definedName>
    <definedName name="dagwerk105">'Regulier werk'!$H$86</definedName>
    <definedName name="dagwerk106">'Regulier werk'!$H$87</definedName>
    <definedName name="dagwerk107">'Regulier werk'!$H$88</definedName>
    <definedName name="dagwerk108">'Regulier werk'!$H$89</definedName>
    <definedName name="dagwerk109">'Regulier werk'!$H$90</definedName>
    <definedName name="dagwerk110">'Regulier werk'!$H$91</definedName>
    <definedName name="dagwerk111">'Regulier werk'!$H$92</definedName>
    <definedName name="dagwerk112">'Regulier werk'!$H$93</definedName>
    <definedName name="dagwerk113">'Regulier werk'!$H$94</definedName>
    <definedName name="dagwerk114">'Regulier werk'!$H$95</definedName>
    <definedName name="dagwerk115">'Regulier werk'!$H$96</definedName>
    <definedName name="dagwerk116">'Regulier werk'!$H$97</definedName>
    <definedName name="dagwerk117">'Regulier werk'!$H$98</definedName>
    <definedName name="dagwerk119">'Regulier werk'!$H$107</definedName>
    <definedName name="dagwerk120">'Regulier werk'!$H$108</definedName>
    <definedName name="dagwerk121">'Regulier werk'!$H$109</definedName>
    <definedName name="dagwerk122">'Regulier werk'!$H$110</definedName>
    <definedName name="dagwerk123">'Regulier werk'!$H$111</definedName>
    <definedName name="dagwerk124">'Regulier werk'!$H$112</definedName>
    <definedName name="dagwerk125">'Regulier werk'!$H$113</definedName>
    <definedName name="dagwerk126">'Regulier werk'!$H$114</definedName>
    <definedName name="dagwerk127">'Regulier werk'!$H$115</definedName>
    <definedName name="dagwerk128">'Regulier werk'!$H$116</definedName>
    <definedName name="dagwerk129">'Regulier werk'!$H$117</definedName>
    <definedName name="dagwerk130">'Regulier werk'!$H$118</definedName>
    <definedName name="dagwerk131">'Regulier werk'!$H$119</definedName>
    <definedName name="dagwerk132">'Regulier werk'!$H$120</definedName>
    <definedName name="dagwerk23">'Regulier werk'!$H$99</definedName>
    <definedName name="dagwerk24">'Regulier werk'!$H$100</definedName>
    <definedName name="dagwerk25">'Regulier werk'!$H$6</definedName>
    <definedName name="dagwerk26">'Regulier werk'!$H$7</definedName>
    <definedName name="dagwerk27">'Regulier werk'!$H$8</definedName>
    <definedName name="dagwerk28">'Regulier werk'!$H$9</definedName>
    <definedName name="dagwerk29">'Regulier werk'!$H$10</definedName>
    <definedName name="dagwerk30">'Regulier werk'!$H$11</definedName>
    <definedName name="dagwerk31">'Regulier werk'!$H$12</definedName>
    <definedName name="dagwerk32">'Regulier werk'!$H$13</definedName>
    <definedName name="dagwerk33">'Regulier werk'!$H$14</definedName>
    <definedName name="dagwerk34">'Regulier werk'!$H$15</definedName>
    <definedName name="dagwerk35">'Regulier werk'!$H$16</definedName>
    <definedName name="dagwerk36">'Regulier werk'!$H$17</definedName>
    <definedName name="dagwerk37">'Regulier werk'!$H$18</definedName>
    <definedName name="dagwerk38">'Regulier werk'!$H$19</definedName>
    <definedName name="dagwerk39">'Regulier werk'!$H$20</definedName>
    <definedName name="dagwerk40">'Regulier werk'!$H$21</definedName>
    <definedName name="dagwerk41">'Regulier werk'!$H$22</definedName>
    <definedName name="dagwerk42">'Regulier werk'!$H$23</definedName>
    <definedName name="dagwerk43">'Regulier werk'!$H$24</definedName>
    <definedName name="dagwerk44">'Regulier werk'!$H$25</definedName>
    <definedName name="dagwerk45">'Regulier werk'!$H$26</definedName>
    <definedName name="dagwerk46">'Regulier werk'!$H$27</definedName>
    <definedName name="dagwerk47">'Regulier werk'!$H$28</definedName>
    <definedName name="dagwerk48">'Regulier werk'!$H$29</definedName>
    <definedName name="dagwerk49">'Regulier werk'!$H$30</definedName>
    <definedName name="dagwerk50">'Regulier werk'!$H$31</definedName>
    <definedName name="dagwerk51">'Regulier werk'!$H$32</definedName>
    <definedName name="dagwerk52">'Regulier werk'!$H$33</definedName>
    <definedName name="dagwerk53">'Regulier werk'!$H$34</definedName>
    <definedName name="dagwerk54">'Regulier werk'!$H$35</definedName>
    <definedName name="dagwerk55">'Regulier werk'!$H$36</definedName>
    <definedName name="dagwerk56">'Regulier werk'!$H$37</definedName>
    <definedName name="dagwerk57">'Regulier werk'!$H$38</definedName>
    <definedName name="dagwerk58">'Regulier werk'!$H$39</definedName>
    <definedName name="dagwerk59">'Regulier werk'!$H$40</definedName>
    <definedName name="dagwerk60">'Regulier werk'!$H$41</definedName>
    <definedName name="dagwerk61">'Regulier werk'!$H$42</definedName>
    <definedName name="dagwerk62">'Regulier werk'!$H$43</definedName>
    <definedName name="dagwerk63">'Regulier werk'!$H$44</definedName>
    <definedName name="dagwerk64">'Regulier werk'!$H$45</definedName>
    <definedName name="dagwerk65">'Regulier werk'!$H$46</definedName>
    <definedName name="dagwerk66">'Regulier werk'!$H$47</definedName>
    <definedName name="dagwerk67">'Regulier werk'!$H$48</definedName>
    <definedName name="dagwerk68">'Regulier werk'!$H$49</definedName>
    <definedName name="dagwerk69">'Regulier werk'!$H$50</definedName>
    <definedName name="dagwerk70">'Regulier werk'!$H$51</definedName>
    <definedName name="dagwerk71">'Regulier werk'!$H$52</definedName>
    <definedName name="dagwerk72">'Regulier werk'!$H$53</definedName>
    <definedName name="dagwerk73">'Regulier werk'!$H$54</definedName>
    <definedName name="dagwerk74">'Regulier werk'!$H$55</definedName>
    <definedName name="dagwerk75">'Regulier werk'!$H$56</definedName>
    <definedName name="dagwerk76">'Regulier werk'!$H$57</definedName>
    <definedName name="dagwerk77">'Regulier werk'!$H$58</definedName>
    <definedName name="dagwerk78">'Regulier werk'!$H$59</definedName>
    <definedName name="dagwerk79">'Regulier werk'!$H$60</definedName>
    <definedName name="dagwerk80">'Regulier werk'!$H$61</definedName>
    <definedName name="dagwerk81">'Regulier werk'!$H$62</definedName>
    <definedName name="dagwerk82">'Regulier werk'!$H$63</definedName>
    <definedName name="dagwerk83">'Regulier werk'!$H$64</definedName>
    <definedName name="dagwerk84">'Regulier werk'!$H$65</definedName>
    <definedName name="dagwerk85">'Regulier werk'!$H$66</definedName>
    <definedName name="dagwerk86">'Regulier werk'!$H$67</definedName>
    <definedName name="dagwerk87">'Regulier werk'!$H$68</definedName>
    <definedName name="dagwerk88">'Regulier werk'!$H$69</definedName>
    <definedName name="dagwerk89">'Regulier werk'!$H$70</definedName>
    <definedName name="dagwerk90">'Regulier werk'!$H$71</definedName>
    <definedName name="dagwerk91">'Regulier werk'!$H$72</definedName>
    <definedName name="dagwerk92">'Regulier werk'!$H$73</definedName>
    <definedName name="dagwerk93">'Regulier werk'!$H$74</definedName>
    <definedName name="dagwerk94">'Regulier werk'!$H$75</definedName>
    <definedName name="dagwerk95">'Regulier werk'!$H$76</definedName>
    <definedName name="dagwerk96">'Regulier werk'!$H$77</definedName>
    <definedName name="dagwerk97">'Regulier werk'!$H$78</definedName>
    <definedName name="dagwerk98">'Regulier werk'!$H$79</definedName>
    <definedName name="dagwerk99">'Regulier werk'!$H$80</definedName>
    <definedName name="dagwerktabel1">Objectinformatie!$H$5:$H$99</definedName>
    <definedName name="dagwerktabel3">Objectinformatie!$H$102:$H$115</definedName>
    <definedName name="gemuurtarief1">'Regulier werk'!$J$103</definedName>
    <definedName name="gemuurtarief3">'Regulier werk'!$J$123</definedName>
    <definedName name="kengetaltabel1">Objectinformatie!$G$5:$G$99</definedName>
    <definedName name="kengetaltabel3">Objectinformatie!$G$102:$G$115</definedName>
    <definedName name="object1_gemuurtarief1">'Ruimten werkdag'!$Q$40</definedName>
    <definedName name="object1_opptabel1">Objectinformatie!$J$5:$J$99</definedName>
    <definedName name="object1_opptabel3">Objectinformatie!$J$102:$J$115</definedName>
    <definedName name="object1_prijsdag1">'Ruimten werkdag'!$T$40</definedName>
    <definedName name="object1_prijsjaar1">'Ruimten werkdag'!$V$40</definedName>
    <definedName name="object1_urendag1">'Ruimten werkdag'!$R$40</definedName>
    <definedName name="object1_urendaghf1">'Ruimten werkdag'!$S$40</definedName>
    <definedName name="object1_urenjaar1">'Ruimten werkdag'!$U$40</definedName>
    <definedName name="object10_gemuurtarief1">'Ruimten werkdag'!$Q$337</definedName>
    <definedName name="object10_opptabel1">Objectinformatie!$S$5:$S$99</definedName>
    <definedName name="object10_opptabel3">Objectinformatie!$S$102:$S$115</definedName>
    <definedName name="object10_prijsdag1">'Ruimten werkdag'!$T$337</definedName>
    <definedName name="object10_prijsjaar1">'Ruimten werkdag'!$V$337</definedName>
    <definedName name="object10_urendag1">'Ruimten werkdag'!$R$337</definedName>
    <definedName name="object10_urendaghf1">'Ruimten werkdag'!$S$337</definedName>
    <definedName name="object10_urenjaar1">'Ruimten werkdag'!$U$337</definedName>
    <definedName name="object11_gemuurtarief1">'Ruimten werkdag'!$Q$347</definedName>
    <definedName name="object11_opptabel1">Objectinformatie!$T$5:$T$99</definedName>
    <definedName name="object11_opptabel3">Objectinformatie!$T$102:$T$115</definedName>
    <definedName name="object11_prijsdag1">'Ruimten werkdag'!$T$347</definedName>
    <definedName name="object11_prijsjaar1">'Ruimten werkdag'!$V$347</definedName>
    <definedName name="object11_urendag1">'Ruimten werkdag'!$R$347</definedName>
    <definedName name="object11_urendaghf1">'Ruimten werkdag'!$S$347</definedName>
    <definedName name="object11_urenjaar1">'Ruimten werkdag'!$U$347</definedName>
    <definedName name="object12_gemuurtarief1">'Ruimten werkdag'!$Q$483</definedName>
    <definedName name="object12_opptabel1">Objectinformatie!$U$5:$U$99</definedName>
    <definedName name="object12_opptabel3">Objectinformatie!$U$102:$U$115</definedName>
    <definedName name="object12_prijsdag1">'Ruimten werkdag'!$T$483</definedName>
    <definedName name="object12_prijsjaar1">'Ruimten werkdag'!$V$483</definedName>
    <definedName name="object12_urendag1">'Ruimten werkdag'!$R$483</definedName>
    <definedName name="object12_urendaghf1">'Ruimten werkdag'!$S$483</definedName>
    <definedName name="object12_urenjaar1">'Ruimten werkdag'!$U$483</definedName>
    <definedName name="object13_gemuurtarief1">'Ruimten werkdag'!$Q$573</definedName>
    <definedName name="object13_opptabel1">Objectinformatie!$V$5:$V$99</definedName>
    <definedName name="object13_opptabel3">Objectinformatie!$V$102:$V$115</definedName>
    <definedName name="object13_prijsdag1">'Ruimten werkdag'!$T$573</definedName>
    <definedName name="object13_prijsjaar1">'Ruimten werkdag'!$V$573</definedName>
    <definedName name="object13_urendag1">'Ruimten werkdag'!$R$573</definedName>
    <definedName name="object13_urendaghf1">'Ruimten werkdag'!$S$573</definedName>
    <definedName name="object13_urenjaar1">'Ruimten werkdag'!$U$573</definedName>
    <definedName name="object14_gemuurtarief1">'Ruimten werkdag'!$Q$612</definedName>
    <definedName name="object14_opptabel1">Objectinformatie!$W$5:$W$99</definedName>
    <definedName name="object14_opptabel3">Objectinformatie!$W$102:$W$115</definedName>
    <definedName name="object14_prijsdag1">'Ruimten werkdag'!$T$612</definedName>
    <definedName name="object14_prijsjaar1">'Ruimten werkdag'!$V$612</definedName>
    <definedName name="object14_urendag1">'Ruimten werkdag'!$R$612</definedName>
    <definedName name="object14_urendaghf1">'Ruimten werkdag'!$S$612</definedName>
    <definedName name="object14_urenjaar1">'Ruimten werkdag'!$U$612</definedName>
    <definedName name="object15_gemuurtarief1">'Ruimten werkdag'!$Q$641</definedName>
    <definedName name="object15_opptabel1">Objectinformatie!$X$5:$X$99</definedName>
    <definedName name="object15_opptabel3">Objectinformatie!$X$102:$X$115</definedName>
    <definedName name="object15_prijsdag1">'Ruimten werkdag'!$T$641</definedName>
    <definedName name="object15_prijsjaar1">'Ruimten werkdag'!$V$641</definedName>
    <definedName name="object15_urendag1">'Ruimten werkdag'!$R$641</definedName>
    <definedName name="object15_urendaghf1">'Ruimten werkdag'!$S$641</definedName>
    <definedName name="object15_urenjaar1">'Ruimten werkdag'!$U$641</definedName>
    <definedName name="object16_gemuurtarief1">'Ruimten werkdag'!$Q$732</definedName>
    <definedName name="object16_opptabel1">Objectinformatie!$Y$5:$Y$99</definedName>
    <definedName name="object16_opptabel3">Objectinformatie!$Y$102:$Y$115</definedName>
    <definedName name="object16_prijsdag1">'Ruimten werkdag'!$T$732</definedName>
    <definedName name="object16_prijsjaar1">'Ruimten werkdag'!$V$732</definedName>
    <definedName name="object16_urendag1">'Ruimten werkdag'!$R$732</definedName>
    <definedName name="object16_urendaghf1">'Ruimten werkdag'!$S$732</definedName>
    <definedName name="object16_urenjaar1">'Ruimten werkdag'!$U$732</definedName>
    <definedName name="object17_gemuurtarief1">'Ruimten werkdag'!$Q$745</definedName>
    <definedName name="object17_opptabel1">Objectinformatie!$Z$5:$Z$99</definedName>
    <definedName name="object17_opptabel3">Objectinformatie!$Z$102:$Z$115</definedName>
    <definedName name="object17_prijsdag1">'Ruimten werkdag'!$T$745</definedName>
    <definedName name="object17_prijsjaar1">'Ruimten werkdag'!$V$745</definedName>
    <definedName name="object17_urendag1">'Ruimten werkdag'!$R$745</definedName>
    <definedName name="object17_urendaghf1">'Ruimten werkdag'!$S$745</definedName>
    <definedName name="object17_urenjaar1">'Ruimten werkdag'!$U$745</definedName>
    <definedName name="object18_gemuurtarief1">'Ruimten werkdag'!$Q$761</definedName>
    <definedName name="object18_opptabel1">Objectinformatie!$AA$5:$AA$99</definedName>
    <definedName name="object18_opptabel3">Objectinformatie!$AA$102:$AA$115</definedName>
    <definedName name="object18_prijsdag1">'Ruimten werkdag'!$T$761</definedName>
    <definedName name="object18_prijsjaar1">'Ruimten werkdag'!$V$761</definedName>
    <definedName name="object18_urendag1">'Ruimten werkdag'!$R$761</definedName>
    <definedName name="object18_urendaghf1">'Ruimten werkdag'!$S$761</definedName>
    <definedName name="object18_urenjaar1">'Ruimten werkdag'!$U$761</definedName>
    <definedName name="object19_gemuurtarief1">'Ruimten werkdag'!$Q$772</definedName>
    <definedName name="object19_opptabel1">Objectinformatie!$AB$5:$AB$99</definedName>
    <definedName name="object19_opptabel3">Objectinformatie!$AB$102:$AB$115</definedName>
    <definedName name="object19_prijsdag1">'Ruimten werkdag'!$T$772</definedName>
    <definedName name="object19_prijsjaar1">'Ruimten werkdag'!$V$772</definedName>
    <definedName name="object19_urendag1">'Ruimten werkdag'!$R$772</definedName>
    <definedName name="object19_urendaghf1">'Ruimten werkdag'!$S$772</definedName>
    <definedName name="object19_urenjaar1">'Ruimten werkdag'!$U$772</definedName>
    <definedName name="object2_gemuurtarief1">'Ruimten werkdag'!$Q$112</definedName>
    <definedName name="object2_opptabel1">Objectinformatie!$K$5:$K$99</definedName>
    <definedName name="object2_opptabel3">Objectinformatie!$K$102:$K$115</definedName>
    <definedName name="object2_prijsdag1">'Ruimten werkdag'!$T$112</definedName>
    <definedName name="object2_prijsjaar1">'Ruimten werkdag'!$V$112</definedName>
    <definedName name="object2_urendag1">'Ruimten werkdag'!$R$112</definedName>
    <definedName name="object2_urendaghf1">'Ruimten werkdag'!$S$112</definedName>
    <definedName name="object2_urenjaar1">'Ruimten werkdag'!$U$112</definedName>
    <definedName name="object20_gemuurtarief1">'Ruimten werkdag'!$Q$793</definedName>
    <definedName name="object20_opptabel1">Objectinformatie!$AC$5:$AC$99</definedName>
    <definedName name="object20_opptabel3">Objectinformatie!$AC$102:$AC$115</definedName>
    <definedName name="object20_prijsdag1">'Ruimten werkdag'!$T$793</definedName>
    <definedName name="object20_prijsjaar1">'Ruimten werkdag'!$V$793</definedName>
    <definedName name="object20_urendag1">'Ruimten werkdag'!$R$793</definedName>
    <definedName name="object20_urendaghf1">'Ruimten werkdag'!$S$793</definedName>
    <definedName name="object20_urenjaar1">'Ruimten werkdag'!$U$793</definedName>
    <definedName name="object21_gemuurtarief1">'Ruimten werkdag'!$Q$805</definedName>
    <definedName name="object21_opptabel1">Objectinformatie!$AD$5:$AD$99</definedName>
    <definedName name="object21_opptabel3">Objectinformatie!$AD$102:$AD$115</definedName>
    <definedName name="object21_prijsdag1">'Ruimten werkdag'!$T$805</definedName>
    <definedName name="object21_prijsjaar1">'Ruimten werkdag'!$V$805</definedName>
    <definedName name="object21_urendag1">'Ruimten werkdag'!$R$805</definedName>
    <definedName name="object21_urendaghf1">'Ruimten werkdag'!$S$805</definedName>
    <definedName name="object21_urenjaar1">'Ruimten werkdag'!$U$805</definedName>
    <definedName name="object22_gemuurtarief1">'Ruimten werkdag'!$Q$821</definedName>
    <definedName name="object22_opptabel1">Objectinformatie!$AE$5:$AE$99</definedName>
    <definedName name="object22_opptabel3">Objectinformatie!$AE$102:$AE$115</definedName>
    <definedName name="object22_prijsdag1">'Ruimten werkdag'!$T$821</definedName>
    <definedName name="object22_prijsjaar1">'Ruimten werkdag'!$V$821</definedName>
    <definedName name="object22_urendag1">'Ruimten werkdag'!$R$821</definedName>
    <definedName name="object22_urendaghf1">'Ruimten werkdag'!$S$821</definedName>
    <definedName name="object22_urenjaar1">'Ruimten werkdag'!$U$821</definedName>
    <definedName name="object23_gemuurtarief1">'Ruimten werkdag'!$Q$886</definedName>
    <definedName name="object23_opptabel1">Objectinformatie!$AF$5:$AF$99</definedName>
    <definedName name="object23_opptabel3">Objectinformatie!$AF$102:$AF$115</definedName>
    <definedName name="object23_prijsdag1">'Ruimten werkdag'!$T$886</definedName>
    <definedName name="object23_prijsjaar1">'Ruimten werkdag'!$V$886</definedName>
    <definedName name="object23_urendag1">'Ruimten werkdag'!$R$886</definedName>
    <definedName name="object23_urendaghf1">'Ruimten werkdag'!$S$886</definedName>
    <definedName name="object23_urenjaar1">'Ruimten werkdag'!$U$886</definedName>
    <definedName name="object24_gemuurtarief1">'Ruimten werkdag'!$Q$962</definedName>
    <definedName name="object24_opptabel1">Objectinformatie!$AG$5:$AG$99</definedName>
    <definedName name="object24_opptabel3">Objectinformatie!$AG$102:$AG$115</definedName>
    <definedName name="object24_prijsdag1">'Ruimten werkdag'!$T$962</definedName>
    <definedName name="object24_prijsjaar1">'Ruimten werkdag'!$V$962</definedName>
    <definedName name="object24_urendag1">'Ruimten werkdag'!$R$962</definedName>
    <definedName name="object24_urendaghf1">'Ruimten werkdag'!$S$962</definedName>
    <definedName name="object24_urenjaar1">'Ruimten werkdag'!$U$962</definedName>
    <definedName name="object25_gemuurtarief1">'Ruimten werkdag'!$Q$988</definedName>
    <definedName name="object25_opptabel1">Objectinformatie!$AH$5:$AH$99</definedName>
    <definedName name="object25_opptabel3">Objectinformatie!$AH$102:$AH$115</definedName>
    <definedName name="object25_prijsdag1">'Ruimten werkdag'!$T$988</definedName>
    <definedName name="object25_prijsjaar1">'Ruimten werkdag'!$V$988</definedName>
    <definedName name="object25_urendag1">'Ruimten werkdag'!$R$988</definedName>
    <definedName name="object25_urendaghf1">'Ruimten werkdag'!$S$988</definedName>
    <definedName name="object25_urenjaar1">'Ruimten werkdag'!$U$988</definedName>
    <definedName name="object26_gemuurtarief1">'Ruimten werkdag'!$Q$1001</definedName>
    <definedName name="object26_opptabel1">Objectinformatie!$AI$5:$AI$99</definedName>
    <definedName name="object26_opptabel3">Objectinformatie!$AI$102:$AI$115</definedName>
    <definedName name="object26_prijsdag1">'Ruimten werkdag'!$T$1001</definedName>
    <definedName name="object26_prijsjaar1">'Ruimten werkdag'!$V$1001</definedName>
    <definedName name="object26_urendag1">'Ruimten werkdag'!$R$1001</definedName>
    <definedName name="object26_urendaghf1">'Ruimten werkdag'!$S$1001</definedName>
    <definedName name="object26_urenjaar1">'Ruimten werkdag'!$U$1001</definedName>
    <definedName name="object27_gemuurtarief1">'Ruimten werkdag'!$Q$1010</definedName>
    <definedName name="object27_opptabel1">Objectinformatie!$AJ$5:$AJ$99</definedName>
    <definedName name="object27_opptabel3">Objectinformatie!$AJ$102:$AJ$115</definedName>
    <definedName name="object27_prijsdag1">'Ruimten werkdag'!$T$1010</definedName>
    <definedName name="object27_prijsjaar1">'Ruimten werkdag'!$V$1010</definedName>
    <definedName name="object27_urendag1">'Ruimten werkdag'!$R$1010</definedName>
    <definedName name="object27_urendaghf1">'Ruimten werkdag'!$S$1010</definedName>
    <definedName name="object27_urenjaar1">'Ruimten werkdag'!$U$1010</definedName>
    <definedName name="object28_gemuurtarief1">'Ruimten werkdag'!$Q$1024</definedName>
    <definedName name="object28_opptabel1">Objectinformatie!$AK$5:$AK$99</definedName>
    <definedName name="object28_opptabel3">Objectinformatie!$AK$102:$AK$115</definedName>
    <definedName name="object28_prijsdag1">'Ruimten werkdag'!$T$1024</definedName>
    <definedName name="object28_prijsjaar1">'Ruimten werkdag'!$V$1024</definedName>
    <definedName name="object28_urendag1">'Ruimten werkdag'!$R$1024</definedName>
    <definedName name="object28_urendaghf1">'Ruimten werkdag'!$S$1024</definedName>
    <definedName name="object28_urenjaar1">'Ruimten werkdag'!$U$1024</definedName>
    <definedName name="object29_gemuurtarief1">'Ruimten werkdag'!$Q$1037</definedName>
    <definedName name="object29_opptabel1">Objectinformatie!$AL$5:$AL$99</definedName>
    <definedName name="object29_opptabel3">Objectinformatie!$AL$102:$AL$115</definedName>
    <definedName name="object29_prijsdag1">'Ruimten werkdag'!$T$1037</definedName>
    <definedName name="object29_prijsjaar1">'Ruimten werkdag'!$V$1037</definedName>
    <definedName name="object29_urendag1">'Ruimten werkdag'!$R$1037</definedName>
    <definedName name="object29_urendaghf1">'Ruimten werkdag'!$S$1037</definedName>
    <definedName name="object29_urenjaar1">'Ruimten werkdag'!$U$1037</definedName>
    <definedName name="object3_gemuurtarief1">'Ruimten werkdag'!$Q$123</definedName>
    <definedName name="object3_opptabel1">Objectinformatie!$L$5:$L$99</definedName>
    <definedName name="object3_opptabel3">Objectinformatie!$L$102:$L$115</definedName>
    <definedName name="object3_prijsdag1">'Ruimten werkdag'!$T$123</definedName>
    <definedName name="object3_prijsjaar1">'Ruimten werkdag'!$V$123</definedName>
    <definedName name="object3_urendag1">'Ruimten werkdag'!$R$123</definedName>
    <definedName name="object3_urendaghf1">'Ruimten werkdag'!$S$123</definedName>
    <definedName name="object3_urenjaar1">'Ruimten werkdag'!$U$123</definedName>
    <definedName name="object30_gemuurtarief1">'Ruimten werkdag'!$Q$1202</definedName>
    <definedName name="object30_gemuurtarief3">'Ruimten weekenddag'!$Q$50</definedName>
    <definedName name="object30_opptabel1">Objectinformatie!$AM$5:$AM$99</definedName>
    <definedName name="object30_opptabel3">Objectinformatie!$AM$102:$AM$115</definedName>
    <definedName name="object30_prijsdag1">'Ruimten werkdag'!$T$1202</definedName>
    <definedName name="object30_prijsdag3">'Ruimten weekenddag'!$T$50</definedName>
    <definedName name="object30_prijsjaar1">'Ruimten werkdag'!$V$1202</definedName>
    <definedName name="object30_prijsjaar3">'Ruimten weekenddag'!$V$50</definedName>
    <definedName name="object30_urendag1">'Ruimten werkdag'!$R$1202</definedName>
    <definedName name="object30_urendag3">'Ruimten weekenddag'!$R$50</definedName>
    <definedName name="object30_urendaghf1">'Ruimten werkdag'!$S$1202</definedName>
    <definedName name="object30_urendaghf3">'Ruimten weekenddag'!$S$50</definedName>
    <definedName name="object30_urenjaar1">'Ruimten werkdag'!$U$1202</definedName>
    <definedName name="object30_urenjaar3">'Ruimten weekenddag'!$U$50</definedName>
    <definedName name="object31_gemuurtarief1">'Ruimten werkdag'!$Q$1216</definedName>
    <definedName name="object31_opptabel1">Objectinformatie!$AN$5:$AN$99</definedName>
    <definedName name="object31_opptabel3">Objectinformatie!$AN$102:$AN$115</definedName>
    <definedName name="object31_prijsdag1">'Ruimten werkdag'!$T$1216</definedName>
    <definedName name="object31_prijsjaar1">'Ruimten werkdag'!$V$1216</definedName>
    <definedName name="object31_urendag1">'Ruimten werkdag'!$R$1216</definedName>
    <definedName name="object31_urendaghf1">'Ruimten werkdag'!$S$1216</definedName>
    <definedName name="object31_urenjaar1">'Ruimten werkdag'!$U$1216</definedName>
    <definedName name="object32_gemuurtarief1">'Ruimten werkdag'!$Q$1227</definedName>
    <definedName name="object32_opptabel1">Objectinformatie!$AO$5:$AO$99</definedName>
    <definedName name="object32_opptabel3">Objectinformatie!$AO$102:$AO$115</definedName>
    <definedName name="object32_prijsdag1">'Ruimten werkdag'!$T$1227</definedName>
    <definedName name="object32_prijsjaar1">'Ruimten werkdag'!$V$1227</definedName>
    <definedName name="object32_urendag1">'Ruimten werkdag'!$R$1227</definedName>
    <definedName name="object32_urendaghf1">'Ruimten werkdag'!$S$1227</definedName>
    <definedName name="object32_urenjaar1">'Ruimten werkdag'!$U$1227</definedName>
    <definedName name="object4_gemuurtarief1">'Ruimten werkdag'!$Q$134</definedName>
    <definedName name="object4_opptabel1">Objectinformatie!$M$5:$M$99</definedName>
    <definedName name="object4_opptabel3">Objectinformatie!$M$102:$M$115</definedName>
    <definedName name="object4_prijsdag1">'Ruimten werkdag'!$T$134</definedName>
    <definedName name="object4_prijsjaar1">'Ruimten werkdag'!$V$134</definedName>
    <definedName name="object4_urendag1">'Ruimten werkdag'!$R$134</definedName>
    <definedName name="object4_urendaghf1">'Ruimten werkdag'!$S$134</definedName>
    <definedName name="object4_urenjaar1">'Ruimten werkdag'!$U$134</definedName>
    <definedName name="object5_gemuurtarief1">'Ruimten werkdag'!$Q$148</definedName>
    <definedName name="object5_opptabel1">Objectinformatie!$N$5:$N$99</definedName>
    <definedName name="object5_opptabel3">Objectinformatie!$N$102:$N$115</definedName>
    <definedName name="object5_prijsdag1">'Ruimten werkdag'!$T$148</definedName>
    <definedName name="object5_prijsjaar1">'Ruimten werkdag'!$V$148</definedName>
    <definedName name="object5_urendag1">'Ruimten werkdag'!$R$148</definedName>
    <definedName name="object5_urendaghf1">'Ruimten werkdag'!$S$148</definedName>
    <definedName name="object5_urenjaar1">'Ruimten werkdag'!$U$148</definedName>
    <definedName name="object6_gemuurtarief1">'Ruimten werkdag'!$Q$159</definedName>
    <definedName name="object6_opptabel1">Objectinformatie!$O$5:$O$99</definedName>
    <definedName name="object6_opptabel3">Objectinformatie!$O$102:$O$115</definedName>
    <definedName name="object6_prijsdag1">'Ruimten werkdag'!$T$159</definedName>
    <definedName name="object6_prijsjaar1">'Ruimten werkdag'!$V$159</definedName>
    <definedName name="object6_urendag1">'Ruimten werkdag'!$R$159</definedName>
    <definedName name="object6_urendaghf1">'Ruimten werkdag'!$S$159</definedName>
    <definedName name="object6_urenjaar1">'Ruimten werkdag'!$U$159</definedName>
    <definedName name="object7_gemuurtarief1">'Ruimten werkdag'!$Q$211</definedName>
    <definedName name="object7_opptabel1">Objectinformatie!$P$5:$P$99</definedName>
    <definedName name="object7_opptabel3">Objectinformatie!$P$102:$P$115</definedName>
    <definedName name="object7_prijsdag1">'Ruimten werkdag'!$T$211</definedName>
    <definedName name="object7_prijsjaar1">'Ruimten werkdag'!$V$211</definedName>
    <definedName name="object7_urendag1">'Ruimten werkdag'!$R$211</definedName>
    <definedName name="object7_urendaghf1">'Ruimten werkdag'!$S$211</definedName>
    <definedName name="object7_urenjaar1">'Ruimten werkdag'!$U$211</definedName>
    <definedName name="object8_gemuurtarief1">'Ruimten werkdag'!$Q$268</definedName>
    <definedName name="object8_opptabel1">Objectinformatie!$Q$5:$Q$99</definedName>
    <definedName name="object8_opptabel3">Objectinformatie!$Q$102:$Q$115</definedName>
    <definedName name="object8_prijsdag1">'Ruimten werkdag'!$T$268</definedName>
    <definedName name="object8_prijsjaar1">'Ruimten werkdag'!$V$268</definedName>
    <definedName name="object8_urendag1">'Ruimten werkdag'!$R$268</definedName>
    <definedName name="object8_urendaghf1">'Ruimten werkdag'!$S$268</definedName>
    <definedName name="object8_urenjaar1">'Ruimten werkdag'!$U$268</definedName>
    <definedName name="object9_gemuurtarief1">'Ruimten werkdag'!$Q$279</definedName>
    <definedName name="object9_opptabel1">Objectinformatie!$R$5:$R$99</definedName>
    <definedName name="object9_opptabel3">Objectinformatie!$R$102:$R$115</definedName>
    <definedName name="object9_prijsdag1">'Ruimten werkdag'!$T$279</definedName>
    <definedName name="object9_prijsjaar1">'Ruimten werkdag'!$V$279</definedName>
    <definedName name="object9_urendag1">'Ruimten werkdag'!$R$279</definedName>
    <definedName name="object9_urendaghf1">'Ruimten werkdag'!$S$279</definedName>
    <definedName name="object9_urenjaar1">'Ruimten werkdag'!$U$279</definedName>
    <definedName name="objectprijs1_1">Objecten!$R$6</definedName>
    <definedName name="objectprijs10_1">Objecten!$R$15</definedName>
    <definedName name="objectprijs11_1">Objecten!$R$16</definedName>
    <definedName name="objectprijs12_1">Objecten!$R$17</definedName>
    <definedName name="objectprijs13_1">Objecten!$R$18</definedName>
    <definedName name="objectprijs14_1">Objecten!$R$19</definedName>
    <definedName name="objectprijs15_1">Objecten!$R$20</definedName>
    <definedName name="objectprijs16_1">Objecten!$R$21</definedName>
    <definedName name="objectprijs17_1">Objecten!$R$22</definedName>
    <definedName name="objectprijs18_1">Objecten!$R$23</definedName>
    <definedName name="objectprijs19_1">Objecten!$R$24</definedName>
    <definedName name="objectprijs2_1">Objecten!$R$7</definedName>
    <definedName name="objectprijs20_1">Objecten!$R$25</definedName>
    <definedName name="objectprijs21_1">Objecten!$R$26</definedName>
    <definedName name="objectprijs22_1">Objecten!$R$27</definedName>
    <definedName name="objectprijs23_1">Objecten!$R$28</definedName>
    <definedName name="objectprijs24_1">Objecten!$R$29</definedName>
    <definedName name="objectprijs25_1">Objecten!$R$30</definedName>
    <definedName name="objectprijs26_1">Objecten!$R$31</definedName>
    <definedName name="objectprijs27_1">Objecten!$R$32</definedName>
    <definedName name="objectprijs28_1">Objecten!$R$33</definedName>
    <definedName name="objectprijs29_1">Objecten!$R$34</definedName>
    <definedName name="objectprijs3_1">Objecten!$R$8</definedName>
    <definedName name="objectprijs30_1">Objecten!$R$35</definedName>
    <definedName name="objectprijs30_3">Objecten!$R$42</definedName>
    <definedName name="objectprijs31_1">Objecten!$R$36</definedName>
    <definedName name="objectprijs32_1">Objecten!$R$37</definedName>
    <definedName name="objectprijs4_1">Objecten!$R$9</definedName>
    <definedName name="objectprijs5_1">Objecten!$R$10</definedName>
    <definedName name="objectprijs6_1">Objecten!$R$11</definedName>
    <definedName name="objectprijs7_1">Objecten!$R$12</definedName>
    <definedName name="objectprijs8_1">Objecten!$R$13</definedName>
    <definedName name="objectprijs9_1">Objecten!$R$14</definedName>
    <definedName name="objecturen1_1">Objecten!$Q$6</definedName>
    <definedName name="objecturen10_1">Objecten!$Q$15</definedName>
    <definedName name="objecturen11_1">Objecten!$Q$16</definedName>
    <definedName name="objecturen12_1">Objecten!$Q$17</definedName>
    <definedName name="objecturen13_1">Objecten!$Q$18</definedName>
    <definedName name="objecturen14_1">Objecten!$Q$19</definedName>
    <definedName name="objecturen15_1">Objecten!$Q$20</definedName>
    <definedName name="objecturen16_1">Objecten!$Q$21</definedName>
    <definedName name="objecturen17_1">Objecten!$Q$22</definedName>
    <definedName name="objecturen18_1">Objecten!$Q$23</definedName>
    <definedName name="objecturen19_1">Objecten!$Q$24</definedName>
    <definedName name="objecturen2_1">Objecten!$Q$7</definedName>
    <definedName name="objecturen20_1">Objecten!$Q$25</definedName>
    <definedName name="objecturen21_1">Objecten!$Q$26</definedName>
    <definedName name="objecturen22_1">Objecten!$Q$27</definedName>
    <definedName name="objecturen23_1">Objecten!$Q$28</definedName>
    <definedName name="objecturen24_1">Objecten!$Q$29</definedName>
    <definedName name="objecturen25_1">Objecten!$Q$30</definedName>
    <definedName name="objecturen26_1">Objecten!$Q$31</definedName>
    <definedName name="objecturen27_1">Objecten!$Q$32</definedName>
    <definedName name="objecturen28_1">Objecten!$Q$33</definedName>
    <definedName name="objecturen29_1">Objecten!$Q$34</definedName>
    <definedName name="objecturen3_1">Objecten!$Q$8</definedName>
    <definedName name="objecturen30_1">Objecten!$Q$35</definedName>
    <definedName name="objecturen30_3">Objecten!$Q$42</definedName>
    <definedName name="objecturen31_1">Objecten!$Q$36</definedName>
    <definedName name="objecturen32_1">Objecten!$Q$37</definedName>
    <definedName name="objecturen4_1">Objecten!$Q$9</definedName>
    <definedName name="objecturen5_1">Objecten!$Q$10</definedName>
    <definedName name="objecturen6_1">Objecten!$Q$11</definedName>
    <definedName name="objecturen7_1">Objecten!$Q$12</definedName>
    <definedName name="objecturen8_1">Objecten!$Q$13</definedName>
    <definedName name="objecturen9_1">Objecten!$Q$14</definedName>
    <definedName name="objecturenhf1_1">Objecten!$P$6</definedName>
    <definedName name="objecturenhf10_1">Objecten!$P$15</definedName>
    <definedName name="objecturenhf11_1">Objecten!$P$16</definedName>
    <definedName name="objecturenhf12_1">Objecten!$P$17</definedName>
    <definedName name="objecturenhf13_1">Objecten!$P$18</definedName>
    <definedName name="objecturenhf14_1">Objecten!$P$19</definedName>
    <definedName name="objecturenhf15_1">Objecten!$P$20</definedName>
    <definedName name="objecturenhf16_1">Objecten!$P$21</definedName>
    <definedName name="objecturenhf17_1">Objecten!$P$22</definedName>
    <definedName name="objecturenhf18_1">Objecten!$P$23</definedName>
    <definedName name="objecturenhf19_1">Objecten!$P$24</definedName>
    <definedName name="objecturenhf2_1">Objecten!$P$7</definedName>
    <definedName name="objecturenhf20_1">Objecten!$P$25</definedName>
    <definedName name="objecturenhf21_1">Objecten!$P$26</definedName>
    <definedName name="objecturenhf22_1">Objecten!$P$27</definedName>
    <definedName name="objecturenhf23_1">Objecten!$P$28</definedName>
    <definedName name="objecturenhf24_1">Objecten!$P$29</definedName>
    <definedName name="objecturenhf25_1">Objecten!$P$30</definedName>
    <definedName name="objecturenhf26_1">Objecten!$P$31</definedName>
    <definedName name="objecturenhf27_1">Objecten!$P$32</definedName>
    <definedName name="objecturenhf28_1">Objecten!$P$33</definedName>
    <definedName name="objecturenhf29_1">Objecten!$P$34</definedName>
    <definedName name="objecturenhf3_1">Objecten!$P$8</definedName>
    <definedName name="objecturenhf30_1">Objecten!$P$35</definedName>
    <definedName name="objecturenhf30_3">Objecten!$P$42</definedName>
    <definedName name="objecturenhf31_1">Objecten!$P$36</definedName>
    <definedName name="objecturenhf32_1">Objecten!$P$37</definedName>
    <definedName name="objecturenhf4_1">Objecten!$P$9</definedName>
    <definedName name="objecturenhf5_1">Objecten!$P$10</definedName>
    <definedName name="objecturenhf6_1">Objecten!$P$11</definedName>
    <definedName name="objecturenhf7_1">Objecten!$P$12</definedName>
    <definedName name="objecturenhf8_1">Objecten!$P$13</definedName>
    <definedName name="objecturenhf9_1">Objecten!$P$14</definedName>
    <definedName name="prijsdag1">'Regulier werk'!$L$101</definedName>
    <definedName name="prijsdag3">'Regulier werk'!$L$121</definedName>
    <definedName name="prijsjaar">'Regulier werk'!$N$126</definedName>
    <definedName name="prijsjaar1">'Regulier werk'!$N$101</definedName>
    <definedName name="prijsjaar3">'Regulier werk'!$N$121</definedName>
    <definedName name="prijsjaaradditioneel">'Additioneel werk'!$K$9</definedName>
    <definedName name="prijsjaaradditioneel1">'Additioneel werk'!$K$7</definedName>
    <definedName name="prijsjaarafroep">Afroep!$K$18</definedName>
    <definedName name="prijsjaarafroep1">Afroep!$K$10</definedName>
    <definedName name="prijsjaarafroep3">Afroep!$K$16</definedName>
    <definedName name="prijsjaarglas">Glas!$K$20</definedName>
    <definedName name="prijsjaarglas1">Glas!$K$18</definedName>
    <definedName name="prijsjaartotaal">Objecten!$R$46</definedName>
    <definedName name="prijsjaartotaal1">Objecten!$R$38</definedName>
    <definedName name="prijsjaartotaal3">Objecten!$R$43</definedName>
    <definedName name="prijsjaartotaaloverzicht">'Totaalblad Objecten'!$G$37</definedName>
    <definedName name="prijsmaandtotaal1">Objecten!$S$38</definedName>
    <definedName name="prijsmaandtotaal3">Objecten!$S$43</definedName>
    <definedName name="prodnorm0">Afroep!$H$15</definedName>
    <definedName name="prodnorm10">'Glas per locatie'!$I$139</definedName>
    <definedName name="prodnorm100">'Regulier werk'!$G$81</definedName>
    <definedName name="prodnorm101">'Regulier werk'!$G$82</definedName>
    <definedName name="prodnorm102">'Regulier werk'!$G$83</definedName>
    <definedName name="prodnorm103">'Regulier werk'!$G$84</definedName>
    <definedName name="prodnorm104">'Regulier werk'!$G$85</definedName>
    <definedName name="prodnorm105">'Regulier werk'!$G$86</definedName>
    <definedName name="prodnorm106">'Regulier werk'!$G$87</definedName>
    <definedName name="prodnorm107">'Regulier werk'!$G$88</definedName>
    <definedName name="prodnorm108">'Regulier werk'!$G$89</definedName>
    <definedName name="prodnorm109">'Regulier werk'!$G$90</definedName>
    <definedName name="prodnorm11">'Glas per locatie'!$I$130</definedName>
    <definedName name="prodnorm110">'Regulier werk'!$G$91</definedName>
    <definedName name="prodnorm111">'Regulier werk'!$G$92</definedName>
    <definedName name="prodnorm112">'Regulier werk'!$G$93</definedName>
    <definedName name="prodnorm113">'Regulier werk'!$G$94</definedName>
    <definedName name="prodnorm114">'Regulier werk'!$G$95</definedName>
    <definedName name="prodnorm115">'Regulier werk'!$G$96</definedName>
    <definedName name="prodnorm116">'Regulier werk'!$G$97</definedName>
    <definedName name="prodnorm117">'Regulier werk'!$G$98</definedName>
    <definedName name="prodnorm119">'Regulier werk'!$G$107</definedName>
    <definedName name="prodnorm12">'Glas per locatie'!$I$140</definedName>
    <definedName name="prodnorm120">'Regulier werk'!$G$108</definedName>
    <definedName name="prodnorm121">'Regulier werk'!$G$109</definedName>
    <definedName name="prodnorm122">'Regulier werk'!$G$110</definedName>
    <definedName name="prodnorm123">'Regulier werk'!$G$111</definedName>
    <definedName name="prodnorm124">'Regulier werk'!$G$112</definedName>
    <definedName name="prodnorm125">'Regulier werk'!$G$113</definedName>
    <definedName name="prodnorm126">'Regulier werk'!$G$114</definedName>
    <definedName name="prodnorm127">'Regulier werk'!$G$115</definedName>
    <definedName name="prodnorm128">'Regulier werk'!$G$116</definedName>
    <definedName name="prodnorm129">'Regulier werk'!$G$117</definedName>
    <definedName name="prodnorm13">'Glas per locatie'!$I$131</definedName>
    <definedName name="prodnorm130">'Regulier werk'!$G$118</definedName>
    <definedName name="prodnorm131">'Regulier werk'!$G$119</definedName>
    <definedName name="prodnorm132">'Regulier werk'!$G$120</definedName>
    <definedName name="prodnorm14">'Glas per locatie'!$I$132</definedName>
    <definedName name="prodnorm15">'Glas per locatie'!$I$133</definedName>
    <definedName name="prodnorm18">'Glas per locatie'!$I$134</definedName>
    <definedName name="prodnorm19">'Glas per locatie'!$I$54</definedName>
    <definedName name="prodnorm20">'Glas per locatie'!$I$61</definedName>
    <definedName name="prodnorm21">'Glas per locatie'!$I$79</definedName>
    <definedName name="prodnorm22">'Additioneel werk per locatie'!$I$50</definedName>
    <definedName name="prodnorm23">'Regulier werk'!$G$99</definedName>
    <definedName name="prodnorm24">'Regulier werk'!$G$100</definedName>
    <definedName name="prodnorm25">'Regulier werk'!$G$6</definedName>
    <definedName name="prodnorm26">'Regulier werk'!$G$7</definedName>
    <definedName name="prodnorm27">'Regulier werk'!$G$8</definedName>
    <definedName name="prodnorm28">'Regulier werk'!$G$9</definedName>
    <definedName name="prodnorm29">'Regulier werk'!$G$10</definedName>
    <definedName name="prodnorm30">'Regulier werk'!$G$11</definedName>
    <definedName name="prodnorm31">'Regulier werk'!$G$12</definedName>
    <definedName name="prodnorm32">'Regulier werk'!$G$13</definedName>
    <definedName name="prodnorm33">'Regulier werk'!$G$14</definedName>
    <definedName name="prodnorm34">'Regulier werk'!$G$15</definedName>
    <definedName name="prodnorm35">'Regulier werk'!$G$16</definedName>
    <definedName name="prodnorm36">'Regulier werk'!$G$17</definedName>
    <definedName name="prodnorm37">'Regulier werk'!$G$18</definedName>
    <definedName name="prodnorm38">'Regulier werk'!$G$19</definedName>
    <definedName name="prodnorm39">'Regulier werk'!$G$20</definedName>
    <definedName name="prodnorm40">'Regulier werk'!$G$21</definedName>
    <definedName name="prodnorm41">'Regulier werk'!$G$22</definedName>
    <definedName name="prodnorm42">'Regulier werk'!$G$23</definedName>
    <definedName name="prodnorm43">'Regulier werk'!$G$24</definedName>
    <definedName name="prodnorm44">'Regulier werk'!$G$25</definedName>
    <definedName name="prodnorm45">'Regulier werk'!$G$26</definedName>
    <definedName name="prodnorm46">'Regulier werk'!$G$27</definedName>
    <definedName name="prodnorm47">'Regulier werk'!$G$28</definedName>
    <definedName name="prodnorm48">'Regulier werk'!$G$29</definedName>
    <definedName name="prodnorm49">'Regulier werk'!$G$30</definedName>
    <definedName name="prodnorm50">'Regulier werk'!$G$31</definedName>
    <definedName name="prodnorm51">'Regulier werk'!$G$32</definedName>
    <definedName name="prodnorm52">'Regulier werk'!$G$33</definedName>
    <definedName name="prodnorm53">'Regulier werk'!$G$34</definedName>
    <definedName name="prodnorm54">'Regulier werk'!$G$35</definedName>
    <definedName name="prodnorm55">'Regulier werk'!$G$36</definedName>
    <definedName name="prodnorm56">'Regulier werk'!$G$37</definedName>
    <definedName name="prodnorm57">'Regulier werk'!$G$38</definedName>
    <definedName name="prodnorm58">'Regulier werk'!$G$39</definedName>
    <definedName name="prodnorm59">'Regulier werk'!$G$40</definedName>
    <definedName name="prodnorm60">'Regulier werk'!$G$41</definedName>
    <definedName name="prodnorm61">'Regulier werk'!$G$42</definedName>
    <definedName name="prodnorm62">'Regulier werk'!$G$43</definedName>
    <definedName name="prodnorm63">'Regulier werk'!$G$44</definedName>
    <definedName name="prodnorm64">'Regulier werk'!$G$45</definedName>
    <definedName name="prodnorm65">'Regulier werk'!$G$46</definedName>
    <definedName name="prodnorm66">'Regulier werk'!$G$47</definedName>
    <definedName name="prodnorm67">'Regulier werk'!$G$48</definedName>
    <definedName name="prodnorm68">'Regulier werk'!$G$49</definedName>
    <definedName name="prodnorm69">'Regulier werk'!$G$50</definedName>
    <definedName name="prodnorm70">'Regulier werk'!$G$51</definedName>
    <definedName name="prodnorm71">'Regulier werk'!$G$52</definedName>
    <definedName name="prodnorm72">'Regulier werk'!$G$53</definedName>
    <definedName name="prodnorm73">'Regulier werk'!$G$54</definedName>
    <definedName name="prodnorm74">'Regulier werk'!$G$55</definedName>
    <definedName name="prodnorm75">'Regulier werk'!$G$56</definedName>
    <definedName name="prodnorm76">'Regulier werk'!$G$57</definedName>
    <definedName name="prodnorm77">'Regulier werk'!$G$58</definedName>
    <definedName name="prodnorm78">'Regulier werk'!$G$59</definedName>
    <definedName name="prodnorm79">'Regulier werk'!$G$60</definedName>
    <definedName name="prodnorm8">'Glas per locatie'!$I$138</definedName>
    <definedName name="prodnorm80">'Regulier werk'!$G$61</definedName>
    <definedName name="prodnorm81">'Regulier werk'!$G$62</definedName>
    <definedName name="prodnorm82">'Regulier werk'!$G$63</definedName>
    <definedName name="prodnorm83">'Regulier werk'!$G$64</definedName>
    <definedName name="prodnorm84">'Regulier werk'!$G$65</definedName>
    <definedName name="prodnorm85">'Regulier werk'!$G$66</definedName>
    <definedName name="prodnorm86">'Regulier werk'!$G$67</definedName>
    <definedName name="prodnorm87">'Regulier werk'!$G$68</definedName>
    <definedName name="prodnorm88">'Regulier werk'!$G$69</definedName>
    <definedName name="prodnorm89">'Regulier werk'!$G$70</definedName>
    <definedName name="prodnorm9">'Glas per locatie'!$I$129</definedName>
    <definedName name="prodnorm90">'Regulier werk'!$G$71</definedName>
    <definedName name="prodnorm91">'Regulier werk'!$G$72</definedName>
    <definedName name="prodnorm92">'Regulier werk'!$G$73</definedName>
    <definedName name="prodnorm93">'Regulier werk'!$G$74</definedName>
    <definedName name="prodnorm94">'Regulier werk'!$G$75</definedName>
    <definedName name="prodnorm95">'Regulier werk'!$G$76</definedName>
    <definedName name="prodnorm96">'Regulier werk'!$G$77</definedName>
    <definedName name="prodnorm97">'Regulier werk'!$G$78</definedName>
    <definedName name="prodnorm98">'Regulier werk'!$G$79</definedName>
    <definedName name="prodnorm99">'Regulier werk'!$G$80</definedName>
    <definedName name="taakfreqtabel1">Objectinformatie!$E$5:$E$99</definedName>
    <definedName name="taakfreqtabel3">Objectinformatie!$E$102:$E$115</definedName>
    <definedName name="tabeltype">Omreken!$B$5:$B$5</definedName>
    <definedName name="Tariefopbouw1">Tariefopbouw!$B$53</definedName>
    <definedName name="Tariefopbouw2">Tariefopbouw!$D$53</definedName>
    <definedName name="Tariefopbouw3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tabel1">Objectinformatie!$I$5:$I$99</definedName>
    <definedName name="tarieftabel3">Objectinformatie!$I$102:$I$115</definedName>
    <definedName name="TariefUitvoering1">Tariefopbouw!$C$50</definedName>
    <definedName name="TariefUitvoering2">Tariefopbouw!$E$50</definedName>
    <definedName name="TariefUitvoering3">Tariefopbouw!$G$50</definedName>
    <definedName name="urendag1">'Regulier werk'!$K$101</definedName>
    <definedName name="urendag3">'Regulier werk'!$K$121</definedName>
    <definedName name="urenjaar">'Regulier werk'!$M$126</definedName>
    <definedName name="urenjaar1">'Regulier werk'!$M$101</definedName>
    <definedName name="urenjaar3">'Regulier werk'!$M$121</definedName>
    <definedName name="urenjaartotaal">Objecten!$Q$46</definedName>
    <definedName name="urenjaartotaal1">Objecten!$Q$38</definedName>
    <definedName name="urenjaartotaal3">Objecten!$Q$43</definedName>
    <definedName name="urenjaartotaalhf">Objecten!$P$46</definedName>
    <definedName name="urenjaartotaalhf1">Objecten!$P$38</definedName>
    <definedName name="urenjaartotaalhf3">Objecten!$P$43</definedName>
    <definedName name="urenjaartotaaloverzicht">'Totaalblad Objecten'!$F$37</definedName>
    <definedName name="urenjaartotaaloverzichthf">'Totaalblad Objecten'!$E$37</definedName>
    <definedName name="uurfactortabel1">Objectinformatie!$F$5:$F$99</definedName>
    <definedName name="uurfactortabel3">Objectinformatie!$F$102:$F$115</definedName>
    <definedName name="uurtarief0">'Afroep incidenteel'!$E$91</definedName>
    <definedName name="uurtarief10">'Glas per locatie'!$J$139</definedName>
    <definedName name="uurtarief100">'Regulier werk'!$J$81</definedName>
    <definedName name="uurtarief101">'Regulier werk'!$J$82</definedName>
    <definedName name="uurtarief102">'Regulier werk'!$J$83</definedName>
    <definedName name="uurtarief103">'Regulier werk'!$J$84</definedName>
    <definedName name="uurtarief104">'Regulier werk'!$J$85</definedName>
    <definedName name="uurtarief105">'Regulier werk'!$J$86</definedName>
    <definedName name="uurtarief106">'Regulier werk'!$J$87</definedName>
    <definedName name="uurtarief107">'Regulier werk'!$J$88</definedName>
    <definedName name="uurtarief108">'Regulier werk'!$J$89</definedName>
    <definedName name="uurtarief109">'Regulier werk'!$J$90</definedName>
    <definedName name="uurtarief11">'Glas per locatie'!$J$130</definedName>
    <definedName name="uurtarief110">'Regulier werk'!$J$91</definedName>
    <definedName name="uurtarief111">'Regulier werk'!$J$92</definedName>
    <definedName name="uurtarief112">'Regulier werk'!$J$93</definedName>
    <definedName name="uurtarief113">'Regulier werk'!$J$94</definedName>
    <definedName name="uurtarief114">'Regulier werk'!$J$95</definedName>
    <definedName name="uurtarief115">'Regulier werk'!$J$96</definedName>
    <definedName name="uurtarief116">'Regulier werk'!$J$97</definedName>
    <definedName name="uurtarief117">'Regulier werk'!$J$98</definedName>
    <definedName name="uurtarief119">'Regulier werk'!$J$107</definedName>
    <definedName name="uurtarief12">'Glas per locatie'!$J$140</definedName>
    <definedName name="uurtarief120">'Regulier werk'!$J$108</definedName>
    <definedName name="uurtarief121">'Regulier werk'!$J$109</definedName>
    <definedName name="uurtarief122">'Regulier werk'!$J$110</definedName>
    <definedName name="uurtarief123">'Regulier werk'!$J$111</definedName>
    <definedName name="uurtarief124">'Regulier werk'!$J$112</definedName>
    <definedName name="uurtarief125">'Regulier werk'!$J$113</definedName>
    <definedName name="uurtarief126">'Regulier werk'!$J$114</definedName>
    <definedName name="uurtarief127">'Regulier werk'!$J$115</definedName>
    <definedName name="uurtarief128">'Regulier werk'!$J$116</definedName>
    <definedName name="uurtarief129">'Regulier werk'!$J$117</definedName>
    <definedName name="uurtarief13">'Glas per locatie'!$J$131</definedName>
    <definedName name="uurtarief130">'Regulier werk'!$J$118</definedName>
    <definedName name="uurtarief131">'Regulier werk'!$J$119</definedName>
    <definedName name="uurtarief132">'Regulier werk'!$J$120</definedName>
    <definedName name="uurtarief14">'Glas per locatie'!$J$132</definedName>
    <definedName name="uurtarief15">'Glas per locatie'!$J$133</definedName>
    <definedName name="uurtarief18">'Glas per locatie'!$J$134</definedName>
    <definedName name="uurtarief19">'Glas per locatie'!$J$54</definedName>
    <definedName name="uurtarief20">'Glas per locatie'!$J$61</definedName>
    <definedName name="uurtarief21">'Glas per locatie'!$J$79</definedName>
    <definedName name="uurtarief22">'Additioneel werk per locatie'!$H$50</definedName>
    <definedName name="uurtarief23">'Regulier werk'!$J$99</definedName>
    <definedName name="uurtarief24">'Regulier werk'!$J$100</definedName>
    <definedName name="uurtarief25">'Regulier werk'!$J$6</definedName>
    <definedName name="uurtarief26">'Regulier werk'!$J$7</definedName>
    <definedName name="uurtarief27">'Regulier werk'!$J$8</definedName>
    <definedName name="uurtarief28">'Regulier werk'!$J$9</definedName>
    <definedName name="uurtarief29">'Regulier werk'!$J$10</definedName>
    <definedName name="uurtarief30">'Regulier werk'!$J$11</definedName>
    <definedName name="uurtarief31">'Regulier werk'!$J$12</definedName>
    <definedName name="uurtarief32">'Regulier werk'!$J$13</definedName>
    <definedName name="uurtarief33">'Regulier werk'!$J$14</definedName>
    <definedName name="uurtarief34">'Regulier werk'!$J$15</definedName>
    <definedName name="uurtarief35">'Regulier werk'!$J$16</definedName>
    <definedName name="uurtarief36">'Regulier werk'!$J$17</definedName>
    <definedName name="uurtarief37">'Regulier werk'!$J$18</definedName>
    <definedName name="uurtarief38">'Regulier werk'!$J$19</definedName>
    <definedName name="uurtarief39">'Regulier werk'!$J$20</definedName>
    <definedName name="uurtarief40">'Regulier werk'!$J$21</definedName>
    <definedName name="uurtarief41">'Regulier werk'!$J$22</definedName>
    <definedName name="uurtarief42">'Regulier werk'!$J$23</definedName>
    <definedName name="uurtarief43">'Regulier werk'!$J$24</definedName>
    <definedName name="uurtarief44">'Regulier werk'!$J$25</definedName>
    <definedName name="uurtarief45">'Regulier werk'!$J$26</definedName>
    <definedName name="uurtarief46">'Regulier werk'!$J$27</definedName>
    <definedName name="uurtarief47">'Regulier werk'!$J$28</definedName>
    <definedName name="uurtarief48">'Regulier werk'!$J$29</definedName>
    <definedName name="uurtarief49">'Regulier werk'!$J$30</definedName>
    <definedName name="uurtarief50">'Regulier werk'!$J$31</definedName>
    <definedName name="uurtarief51">'Regulier werk'!$J$32</definedName>
    <definedName name="uurtarief52">'Regulier werk'!$J$33</definedName>
    <definedName name="uurtarief53">'Regulier werk'!$J$34</definedName>
    <definedName name="uurtarief54">'Regulier werk'!$J$35</definedName>
    <definedName name="uurtarief55">'Regulier werk'!$J$36</definedName>
    <definedName name="uurtarief56">'Regulier werk'!$J$37</definedName>
    <definedName name="uurtarief57">'Regulier werk'!$J$38</definedName>
    <definedName name="uurtarief58">'Regulier werk'!$J$39</definedName>
    <definedName name="uurtarief59">'Regulier werk'!$J$40</definedName>
    <definedName name="uurtarief60">'Regulier werk'!$J$41</definedName>
    <definedName name="uurtarief61">'Regulier werk'!$J$42</definedName>
    <definedName name="uurtarief62">'Regulier werk'!$J$43</definedName>
    <definedName name="uurtarief63">'Regulier werk'!$J$44</definedName>
    <definedName name="uurtarief64">'Regulier werk'!$J$45</definedName>
    <definedName name="uurtarief65">'Regulier werk'!$J$46</definedName>
    <definedName name="uurtarief66">'Regulier werk'!$J$47</definedName>
    <definedName name="uurtarief67">'Regulier werk'!$J$48</definedName>
    <definedName name="uurtarief68">'Regulier werk'!$J$49</definedName>
    <definedName name="uurtarief69">'Regulier werk'!$J$50</definedName>
    <definedName name="uurtarief70">'Regulier werk'!$J$51</definedName>
    <definedName name="uurtarief71">'Regulier werk'!$J$52</definedName>
    <definedName name="uurtarief72">'Regulier werk'!$J$53</definedName>
    <definedName name="uurtarief73">'Regulier werk'!$J$54</definedName>
    <definedName name="uurtarief74">'Regulier werk'!$J$55</definedName>
    <definedName name="uurtarief75">'Regulier werk'!$J$56</definedName>
    <definedName name="uurtarief76">'Regulier werk'!$J$57</definedName>
    <definedName name="uurtarief77">'Regulier werk'!$J$58</definedName>
    <definedName name="uurtarief78">'Regulier werk'!$J$59</definedName>
    <definedName name="uurtarief79">'Regulier werk'!$J$60</definedName>
    <definedName name="uurtarief8">'Glas per locatie'!$J$138</definedName>
    <definedName name="uurtarief80">'Regulier werk'!$J$61</definedName>
    <definedName name="uurtarief81">'Regulier werk'!$J$62</definedName>
    <definedName name="uurtarief82">'Regulier werk'!$J$63</definedName>
    <definedName name="uurtarief83">'Regulier werk'!$J$64</definedName>
    <definedName name="uurtarief84">'Regulier werk'!$J$65</definedName>
    <definedName name="uurtarief85">'Regulier werk'!$J$66</definedName>
    <definedName name="uurtarief86">'Regulier werk'!$J$67</definedName>
    <definedName name="uurtarief87">'Regulier werk'!$J$68</definedName>
    <definedName name="uurtarief88">'Regulier werk'!$J$69</definedName>
    <definedName name="uurtarief89">'Regulier werk'!$J$70</definedName>
    <definedName name="uurtarief9">'Glas per locatie'!$J$129</definedName>
    <definedName name="uurtarief90">'Regulier werk'!$J$71</definedName>
    <definedName name="uurtarief91">'Regulier werk'!$J$72</definedName>
    <definedName name="uurtarief92">'Regulier werk'!$J$73</definedName>
    <definedName name="uurtarief93">'Regulier werk'!$J$74</definedName>
    <definedName name="uurtarief94">'Regulier werk'!$J$75</definedName>
    <definedName name="uurtarief95">'Regulier werk'!$J$76</definedName>
    <definedName name="uurtarief96">'Regulier werk'!$J$77</definedName>
    <definedName name="uurtarief97">'Regulier werk'!$J$78</definedName>
    <definedName name="uurtarief98">'Regulier werk'!$J$79</definedName>
    <definedName name="uurtarief99">'Regulier werk'!$J$80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6" l="1"/>
  <c r="J140" i="15"/>
  <c r="K140" i="15" s="1"/>
  <c r="H140" i="15"/>
  <c r="J139" i="15"/>
  <c r="K139" i="15" s="1"/>
  <c r="H139" i="15"/>
  <c r="J138" i="15"/>
  <c r="K138" i="15" s="1"/>
  <c r="K141" i="15" s="1"/>
  <c r="H138" i="15"/>
  <c r="J134" i="15"/>
  <c r="K134" i="15" s="1"/>
  <c r="H134" i="15"/>
  <c r="J133" i="15"/>
  <c r="K133" i="15" s="1"/>
  <c r="H133" i="15"/>
  <c r="J132" i="15"/>
  <c r="K132" i="15" s="1"/>
  <c r="H132" i="15"/>
  <c r="J131" i="15"/>
  <c r="K131" i="15" s="1"/>
  <c r="H131" i="15"/>
  <c r="J130" i="15"/>
  <c r="K130" i="15" s="1"/>
  <c r="H130" i="15"/>
  <c r="J129" i="15"/>
  <c r="K129" i="15" s="1"/>
  <c r="K135" i="15" s="1"/>
  <c r="H129" i="15"/>
  <c r="J125" i="15"/>
  <c r="K125" i="15" s="1"/>
  <c r="H125" i="15"/>
  <c r="J124" i="15"/>
  <c r="K124" i="15" s="1"/>
  <c r="H124" i="15"/>
  <c r="J123" i="15"/>
  <c r="K123" i="15" s="1"/>
  <c r="K126" i="15" s="1"/>
  <c r="H123" i="15"/>
  <c r="J119" i="15"/>
  <c r="K119" i="15" s="1"/>
  <c r="H119" i="15"/>
  <c r="J118" i="15"/>
  <c r="K118" i="15" s="1"/>
  <c r="K120" i="15" s="1"/>
  <c r="H118" i="15"/>
  <c r="J114" i="15"/>
  <c r="K114" i="15" s="1"/>
  <c r="H114" i="15"/>
  <c r="J113" i="15"/>
  <c r="K113" i="15" s="1"/>
  <c r="H113" i="15"/>
  <c r="J112" i="15"/>
  <c r="K112" i="15" s="1"/>
  <c r="K115" i="15" s="1"/>
  <c r="H112" i="15"/>
  <c r="J108" i="15"/>
  <c r="K108" i="15" s="1"/>
  <c r="H108" i="15"/>
  <c r="J107" i="15"/>
  <c r="K107" i="15" s="1"/>
  <c r="H107" i="15"/>
  <c r="J106" i="15"/>
  <c r="K106" i="15" s="1"/>
  <c r="K109" i="15" s="1"/>
  <c r="H106" i="15"/>
  <c r="J102" i="15"/>
  <c r="K102" i="15" s="1"/>
  <c r="H102" i="15"/>
  <c r="J101" i="15"/>
  <c r="K101" i="15" s="1"/>
  <c r="H101" i="15"/>
  <c r="J100" i="15"/>
  <c r="K100" i="15" s="1"/>
  <c r="K103" i="15" s="1"/>
  <c r="H100" i="15"/>
  <c r="J96" i="15"/>
  <c r="K96" i="15" s="1"/>
  <c r="H96" i="15"/>
  <c r="J95" i="15"/>
  <c r="K95" i="15" s="1"/>
  <c r="K97" i="15" s="1"/>
  <c r="H95" i="15"/>
  <c r="J91" i="15"/>
  <c r="K91" i="15" s="1"/>
  <c r="H91" i="15"/>
  <c r="J90" i="15"/>
  <c r="K90" i="15" s="1"/>
  <c r="H90" i="15"/>
  <c r="J89" i="15"/>
  <c r="K89" i="15" s="1"/>
  <c r="K92" i="15" s="1"/>
  <c r="H89" i="15"/>
  <c r="J85" i="15"/>
  <c r="K85" i="15" s="1"/>
  <c r="H85" i="15"/>
  <c r="J84" i="15"/>
  <c r="K84" i="15" s="1"/>
  <c r="H84" i="15"/>
  <c r="J83" i="15"/>
  <c r="K83" i="15" s="1"/>
  <c r="K86" i="15" s="1"/>
  <c r="H83" i="15"/>
  <c r="J79" i="15"/>
  <c r="K79" i="15" s="1"/>
  <c r="H79" i="15"/>
  <c r="J78" i="15"/>
  <c r="K78" i="15" s="1"/>
  <c r="H78" i="15"/>
  <c r="J77" i="15"/>
  <c r="K77" i="15" s="1"/>
  <c r="H77" i="15"/>
  <c r="J76" i="15"/>
  <c r="K76" i="15" s="1"/>
  <c r="K80" i="15" s="1"/>
  <c r="H76" i="15"/>
  <c r="J72" i="15"/>
  <c r="K72" i="15" s="1"/>
  <c r="H72" i="15"/>
  <c r="J71" i="15"/>
  <c r="K71" i="15" s="1"/>
  <c r="K73" i="15" s="1"/>
  <c r="H71" i="15"/>
  <c r="J67" i="15"/>
  <c r="K67" i="15" s="1"/>
  <c r="H67" i="15"/>
  <c r="J66" i="15"/>
  <c r="K66" i="15" s="1"/>
  <c r="H66" i="15"/>
  <c r="J65" i="15"/>
  <c r="K65" i="15" s="1"/>
  <c r="K68" i="15" s="1"/>
  <c r="H65" i="15"/>
  <c r="J61" i="15"/>
  <c r="K61" i="15" s="1"/>
  <c r="H61" i="15"/>
  <c r="J60" i="15"/>
  <c r="K60" i="15" s="1"/>
  <c r="H60" i="15"/>
  <c r="J59" i="15"/>
  <c r="K59" i="15" s="1"/>
  <c r="H59" i="15"/>
  <c r="J58" i="15"/>
  <c r="K58" i="15" s="1"/>
  <c r="K62" i="15" s="1"/>
  <c r="H58" i="15"/>
  <c r="J54" i="15"/>
  <c r="K54" i="15" s="1"/>
  <c r="H54" i="15"/>
  <c r="J53" i="15"/>
  <c r="K53" i="15" s="1"/>
  <c r="H53" i="15"/>
  <c r="J52" i="15"/>
  <c r="K52" i="15" s="1"/>
  <c r="H52" i="15"/>
  <c r="J51" i="15"/>
  <c r="K51" i="15" s="1"/>
  <c r="K55" i="15" s="1"/>
  <c r="H51" i="15"/>
  <c r="J47" i="15"/>
  <c r="K47" i="15" s="1"/>
  <c r="H47" i="15"/>
  <c r="J46" i="15"/>
  <c r="K46" i="15" s="1"/>
  <c r="K48" i="15" s="1"/>
  <c r="H46" i="15"/>
  <c r="J42" i="15"/>
  <c r="K42" i="15" s="1"/>
  <c r="H42" i="15"/>
  <c r="J41" i="15"/>
  <c r="K41" i="15" s="1"/>
  <c r="H41" i="15"/>
  <c r="J40" i="15"/>
  <c r="K40" i="15" s="1"/>
  <c r="K43" i="15" s="1"/>
  <c r="H40" i="15"/>
  <c r="J36" i="15"/>
  <c r="K36" i="15" s="1"/>
  <c r="H36" i="15"/>
  <c r="J35" i="15"/>
  <c r="K35" i="15" s="1"/>
  <c r="K37" i="15" s="1"/>
  <c r="H35" i="15"/>
  <c r="J31" i="15"/>
  <c r="K31" i="15" s="1"/>
  <c r="H31" i="15"/>
  <c r="J30" i="15"/>
  <c r="K30" i="15" s="1"/>
  <c r="H30" i="15"/>
  <c r="J29" i="15"/>
  <c r="K29" i="15" s="1"/>
  <c r="K32" i="15" s="1"/>
  <c r="H29" i="15"/>
  <c r="J25" i="15"/>
  <c r="K25" i="15" s="1"/>
  <c r="H25" i="15"/>
  <c r="J24" i="15"/>
  <c r="K24" i="15" s="1"/>
  <c r="H24" i="15"/>
  <c r="J23" i="15"/>
  <c r="K23" i="15" s="1"/>
  <c r="K26" i="15" s="1"/>
  <c r="H23" i="15"/>
  <c r="J19" i="15"/>
  <c r="K19" i="15" s="1"/>
  <c r="H19" i="15"/>
  <c r="J18" i="15"/>
  <c r="K18" i="15" s="1"/>
  <c r="K20" i="15" s="1"/>
  <c r="H18" i="15"/>
  <c r="J14" i="15"/>
  <c r="K14" i="15" s="1"/>
  <c r="H14" i="15"/>
  <c r="J13" i="15"/>
  <c r="K13" i="15" s="1"/>
  <c r="H13" i="15"/>
  <c r="J12" i="15"/>
  <c r="K12" i="15" s="1"/>
  <c r="K15" i="15" s="1"/>
  <c r="H12" i="15"/>
  <c r="J8" i="15"/>
  <c r="K8" i="15" s="1"/>
  <c r="H8" i="15"/>
  <c r="J7" i="15"/>
  <c r="K7" i="15" s="1"/>
  <c r="H7" i="15"/>
  <c r="J6" i="15"/>
  <c r="K6" i="15" s="1"/>
  <c r="K9" i="15" s="1"/>
  <c r="H6" i="15"/>
  <c r="A1" i="15"/>
  <c r="J17" i="14"/>
  <c r="J16" i="14"/>
  <c r="J15" i="14"/>
  <c r="J14" i="14"/>
  <c r="J13" i="14"/>
  <c r="J12" i="14"/>
  <c r="J11" i="14"/>
  <c r="J10" i="14"/>
  <c r="J9" i="14"/>
  <c r="J8" i="14"/>
  <c r="J7" i="14"/>
  <c r="J6" i="14"/>
  <c r="A1" i="14"/>
  <c r="A1" i="13"/>
  <c r="J15" i="12"/>
  <c r="J14" i="12"/>
  <c r="J13" i="12"/>
  <c r="J9" i="12"/>
  <c r="J8" i="12"/>
  <c r="J7" i="12"/>
  <c r="J6" i="12"/>
  <c r="A1" i="12"/>
  <c r="I50" i="11"/>
  <c r="H50" i="11"/>
  <c r="I46" i="11"/>
  <c r="H46" i="11"/>
  <c r="I42" i="11"/>
  <c r="H42" i="11"/>
  <c r="I38" i="11"/>
  <c r="H38" i="11"/>
  <c r="I34" i="11"/>
  <c r="H34" i="11"/>
  <c r="I30" i="11"/>
  <c r="H30" i="11"/>
  <c r="I26" i="11"/>
  <c r="H26" i="11"/>
  <c r="I22" i="11"/>
  <c r="H22" i="11"/>
  <c r="I18" i="11"/>
  <c r="H18" i="11"/>
  <c r="I14" i="11"/>
  <c r="H14" i="11"/>
  <c r="I10" i="11"/>
  <c r="H10" i="11"/>
  <c r="I6" i="11"/>
  <c r="H6" i="11"/>
  <c r="A1" i="11"/>
  <c r="J6" i="10"/>
  <c r="A1" i="10"/>
  <c r="A1" i="9"/>
  <c r="A1" i="8"/>
  <c r="H99" i="7"/>
  <c r="G99" i="7"/>
  <c r="H98" i="7"/>
  <c r="H97" i="7"/>
  <c r="G97" i="7"/>
  <c r="H96" i="7"/>
  <c r="G96" i="7"/>
  <c r="H95" i="7"/>
  <c r="G95" i="7"/>
  <c r="A1" i="6"/>
  <c r="O941" i="5"/>
  <c r="N941" i="5"/>
  <c r="O920" i="5"/>
  <c r="N920" i="5"/>
  <c r="O841" i="5"/>
  <c r="N841" i="5"/>
  <c r="O808" i="5"/>
  <c r="N808" i="5"/>
  <c r="O796" i="5"/>
  <c r="N796" i="5"/>
  <c r="O764" i="5"/>
  <c r="N764" i="5"/>
  <c r="O759" i="5"/>
  <c r="N759" i="5"/>
  <c r="O572" i="5"/>
  <c r="N572" i="5"/>
  <c r="A1" i="5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K98" i="4"/>
  <c r="M98" i="4" s="1"/>
  <c r="K97" i="4"/>
  <c r="M97" i="4" s="1"/>
  <c r="K96" i="4"/>
  <c r="M96" i="4" s="1"/>
  <c r="H95" i="4"/>
  <c r="G95" i="4"/>
  <c r="J94" i="4"/>
  <c r="H94" i="4"/>
  <c r="G94" i="4"/>
  <c r="J93" i="4"/>
  <c r="H93" i="4"/>
  <c r="G93" i="4"/>
  <c r="H92" i="4"/>
  <c r="G92" i="4"/>
  <c r="J91" i="4"/>
  <c r="H91" i="4"/>
  <c r="G91" i="4"/>
  <c r="J90" i="4"/>
  <c r="H90" i="4"/>
  <c r="G90" i="4"/>
  <c r="H89" i="4"/>
  <c r="G89" i="4"/>
  <c r="J88" i="4"/>
  <c r="H88" i="4"/>
  <c r="G88" i="4"/>
  <c r="H87" i="4"/>
  <c r="G87" i="4"/>
  <c r="J86" i="4"/>
  <c r="H86" i="4"/>
  <c r="G86" i="4"/>
  <c r="H85" i="4"/>
  <c r="G85" i="4"/>
  <c r="J84" i="4"/>
  <c r="H84" i="4"/>
  <c r="G84" i="4"/>
  <c r="J83" i="4"/>
  <c r="H83" i="4"/>
  <c r="G83" i="4"/>
  <c r="J82" i="4"/>
  <c r="H82" i="4"/>
  <c r="G82" i="4"/>
  <c r="J81" i="4"/>
  <c r="H81" i="4"/>
  <c r="G81" i="4"/>
  <c r="H80" i="4"/>
  <c r="G80" i="4"/>
  <c r="J79" i="4"/>
  <c r="H79" i="4"/>
  <c r="G79" i="4"/>
  <c r="J78" i="4"/>
  <c r="H78" i="4"/>
  <c r="G78" i="4"/>
  <c r="H77" i="4"/>
  <c r="G77" i="4"/>
  <c r="J76" i="4"/>
  <c r="H76" i="4"/>
  <c r="G76" i="4"/>
  <c r="J75" i="4"/>
  <c r="H75" i="4"/>
  <c r="G75" i="4"/>
  <c r="H74" i="4"/>
  <c r="G74" i="4"/>
  <c r="H73" i="4"/>
  <c r="G73" i="4"/>
  <c r="J72" i="4"/>
  <c r="H72" i="4"/>
  <c r="G72" i="4"/>
  <c r="J71" i="4"/>
  <c r="H71" i="4"/>
  <c r="G71" i="4"/>
  <c r="J70" i="4"/>
  <c r="H70" i="4"/>
  <c r="G70" i="4"/>
  <c r="J69" i="4"/>
  <c r="H69" i="4"/>
  <c r="G69" i="4"/>
  <c r="J68" i="4"/>
  <c r="H68" i="4"/>
  <c r="G68" i="4"/>
  <c r="J67" i="4"/>
  <c r="H67" i="4"/>
  <c r="G67" i="4"/>
  <c r="J66" i="4"/>
  <c r="H66" i="4"/>
  <c r="G66" i="4"/>
  <c r="J65" i="4"/>
  <c r="H65" i="4"/>
  <c r="G65" i="4"/>
  <c r="J64" i="4"/>
  <c r="H64" i="4"/>
  <c r="G64" i="4"/>
  <c r="J63" i="4"/>
  <c r="H63" i="4"/>
  <c r="G63" i="4"/>
  <c r="J62" i="4"/>
  <c r="H62" i="4"/>
  <c r="G62" i="4"/>
  <c r="J61" i="4"/>
  <c r="H61" i="4"/>
  <c r="G61" i="4"/>
  <c r="H60" i="4"/>
  <c r="G60" i="4"/>
  <c r="H59" i="4"/>
  <c r="G59" i="4"/>
  <c r="J58" i="4"/>
  <c r="H58" i="4"/>
  <c r="G58" i="4"/>
  <c r="J57" i="4"/>
  <c r="H57" i="4"/>
  <c r="G57" i="4"/>
  <c r="J56" i="4"/>
  <c r="H56" i="4"/>
  <c r="G56" i="4"/>
  <c r="J55" i="4"/>
  <c r="H55" i="4"/>
  <c r="G55" i="4"/>
  <c r="J54" i="4"/>
  <c r="H54" i="4"/>
  <c r="G54" i="4"/>
  <c r="J53" i="4"/>
  <c r="H53" i="4"/>
  <c r="G53" i="4"/>
  <c r="J52" i="4"/>
  <c r="H52" i="4"/>
  <c r="G52" i="4"/>
  <c r="J51" i="4"/>
  <c r="H51" i="4"/>
  <c r="G51" i="4"/>
  <c r="J50" i="4"/>
  <c r="H50" i="4"/>
  <c r="G50" i="4"/>
  <c r="J49" i="4"/>
  <c r="H49" i="4"/>
  <c r="G49" i="4"/>
  <c r="J48" i="4"/>
  <c r="H48" i="4"/>
  <c r="G48" i="4"/>
  <c r="J47" i="4"/>
  <c r="H47" i="4"/>
  <c r="G47" i="4"/>
  <c r="J46" i="4"/>
  <c r="H46" i="4"/>
  <c r="G46" i="4"/>
  <c r="J45" i="4"/>
  <c r="H45" i="4"/>
  <c r="G45" i="4"/>
  <c r="J44" i="4"/>
  <c r="H44" i="4"/>
  <c r="G44" i="4"/>
  <c r="J43" i="4"/>
  <c r="H43" i="4"/>
  <c r="G43" i="4"/>
  <c r="H42" i="4"/>
  <c r="G42" i="4"/>
  <c r="J41" i="4"/>
  <c r="H41" i="4"/>
  <c r="G41" i="4"/>
  <c r="J40" i="4"/>
  <c r="H40" i="4"/>
  <c r="G40" i="4"/>
  <c r="J39" i="4"/>
  <c r="H39" i="4"/>
  <c r="G39" i="4"/>
  <c r="J38" i="4"/>
  <c r="H38" i="4"/>
  <c r="G38" i="4"/>
  <c r="H37" i="4"/>
  <c r="G37" i="4"/>
  <c r="H36" i="4"/>
  <c r="G36" i="4"/>
  <c r="J35" i="4"/>
  <c r="H35" i="4"/>
  <c r="G35" i="4"/>
  <c r="J34" i="4"/>
  <c r="H34" i="4"/>
  <c r="G34" i="4"/>
  <c r="J33" i="4"/>
  <c r="H33" i="4"/>
  <c r="G33" i="4"/>
  <c r="J32" i="4"/>
  <c r="H32" i="4"/>
  <c r="G32" i="4"/>
  <c r="H31" i="4"/>
  <c r="G31" i="4"/>
  <c r="J30" i="4"/>
  <c r="H30" i="4"/>
  <c r="G30" i="4"/>
  <c r="J29" i="4"/>
  <c r="H29" i="4"/>
  <c r="G29" i="4"/>
  <c r="J28" i="4"/>
  <c r="H28" i="4"/>
  <c r="G28" i="4"/>
  <c r="H27" i="4"/>
  <c r="G27" i="4"/>
  <c r="H26" i="4"/>
  <c r="G26" i="4"/>
  <c r="J25" i="4"/>
  <c r="H25" i="4"/>
  <c r="G25" i="4"/>
  <c r="J24" i="4"/>
  <c r="H24" i="4"/>
  <c r="G24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H9" i="4"/>
  <c r="G9" i="4"/>
  <c r="J8" i="4"/>
  <c r="H8" i="4"/>
  <c r="G8" i="4"/>
  <c r="J7" i="4"/>
  <c r="H7" i="4"/>
  <c r="G7" i="4"/>
  <c r="J6" i="4"/>
  <c r="H6" i="4"/>
  <c r="G6" i="4"/>
  <c r="A1" i="4"/>
  <c r="A1" i="3"/>
  <c r="A52" i="2"/>
  <c r="A51" i="2"/>
  <c r="F50" i="2"/>
  <c r="D50" i="2"/>
  <c r="B50" i="2"/>
  <c r="A49" i="2"/>
  <c r="A48" i="2"/>
  <c r="A47" i="2"/>
  <c r="N9" i="2"/>
  <c r="L9" i="2"/>
  <c r="J9" i="2"/>
  <c r="H9" i="2"/>
  <c r="F9" i="2"/>
  <c r="D9" i="2"/>
  <c r="B9" i="2"/>
  <c r="H17" i="1"/>
  <c r="H16" i="1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99" i="7" l="1"/>
  <c r="E98" i="7"/>
  <c r="E94" i="7"/>
  <c r="E92" i="7"/>
  <c r="E91" i="7"/>
  <c r="E89" i="7"/>
  <c r="E88" i="7"/>
  <c r="E87" i="7"/>
  <c r="E86" i="7"/>
  <c r="E85" i="7"/>
  <c r="E84" i="7"/>
  <c r="E82" i="7"/>
  <c r="E79" i="7"/>
  <c r="E78" i="7"/>
  <c r="E76" i="7"/>
  <c r="E74" i="7"/>
  <c r="E69" i="7"/>
  <c r="E66" i="7"/>
  <c r="E62" i="7"/>
  <c r="E59" i="7"/>
  <c r="E55" i="7"/>
  <c r="E51" i="7"/>
  <c r="E49" i="7"/>
  <c r="E47" i="7"/>
  <c r="E45" i="7"/>
  <c r="E43" i="7"/>
  <c r="E39" i="7"/>
  <c r="E31" i="7"/>
  <c r="E28" i="7"/>
  <c r="E26" i="7"/>
  <c r="E24" i="7"/>
  <c r="E21" i="7"/>
  <c r="E17" i="7"/>
  <c r="E12" i="7"/>
  <c r="E9" i="7"/>
  <c r="E7" i="7"/>
  <c r="M1201" i="5"/>
  <c r="M1200" i="5"/>
  <c r="M1199" i="5"/>
  <c r="M1195" i="5"/>
  <c r="M1194" i="5"/>
  <c r="M1193" i="5"/>
  <c r="M1192" i="5"/>
  <c r="M1191" i="5"/>
  <c r="M1190" i="5"/>
  <c r="M1189" i="5"/>
  <c r="M1188" i="5"/>
  <c r="M1187" i="5"/>
  <c r="M1186" i="5"/>
  <c r="M1185" i="5"/>
  <c r="M1184" i="5"/>
  <c r="M1183" i="5"/>
  <c r="M1182" i="5"/>
  <c r="M1181" i="5"/>
  <c r="M1180" i="5"/>
  <c r="M1175" i="5"/>
  <c r="M1174" i="5"/>
  <c r="M1150" i="5"/>
  <c r="M1147" i="5"/>
  <c r="M1140" i="5"/>
  <c r="M1139" i="5"/>
  <c r="M1138" i="5"/>
  <c r="M1137" i="5"/>
  <c r="M1136" i="5"/>
  <c r="M1135" i="5"/>
  <c r="M1134" i="5"/>
  <c r="M1133" i="5"/>
  <c r="M1131" i="5"/>
  <c r="M1130" i="5"/>
  <c r="M1129" i="5"/>
  <c r="M1128" i="5"/>
  <c r="M1127" i="5"/>
  <c r="M1126" i="5"/>
  <c r="M1125" i="5"/>
  <c r="M1124" i="5"/>
  <c r="M1123" i="5"/>
  <c r="M1122" i="5"/>
  <c r="M1121" i="5"/>
  <c r="M1120" i="5"/>
  <c r="M1119" i="5"/>
  <c r="M1118" i="5"/>
  <c r="M1117" i="5"/>
  <c r="M1116" i="5"/>
  <c r="M1115" i="5"/>
  <c r="M1114" i="5"/>
  <c r="M1113" i="5"/>
  <c r="M1112" i="5"/>
  <c r="M1111" i="5"/>
  <c r="M1110" i="5"/>
  <c r="M1109" i="5"/>
  <c r="M1108" i="5"/>
  <c r="M1107" i="5"/>
  <c r="M1106" i="5"/>
  <c r="M1105" i="5"/>
  <c r="M1104" i="5"/>
  <c r="M1103" i="5"/>
  <c r="M1102" i="5"/>
  <c r="M1101" i="5"/>
  <c r="M1100" i="5"/>
  <c r="M1099" i="5"/>
  <c r="M1098" i="5"/>
  <c r="M1097" i="5"/>
  <c r="M1096" i="5"/>
  <c r="M1095" i="5"/>
  <c r="M1094" i="5"/>
  <c r="M1093" i="5"/>
  <c r="M1092" i="5"/>
  <c r="M1091" i="5"/>
  <c r="M1089" i="5"/>
  <c r="M1088" i="5"/>
  <c r="M1087" i="5"/>
  <c r="M1086" i="5"/>
  <c r="M1085" i="5"/>
  <c r="M1084" i="5"/>
  <c r="M1083" i="5"/>
  <c r="M1082" i="5"/>
  <c r="M1081" i="5"/>
  <c r="M1080" i="5"/>
  <c r="M1079" i="5"/>
  <c r="M1078" i="5"/>
  <c r="M1077" i="5"/>
  <c r="M1076" i="5"/>
  <c r="M1074" i="5"/>
  <c r="M1073" i="5"/>
  <c r="M1072" i="5"/>
  <c r="M1071" i="5"/>
  <c r="M1070" i="5"/>
  <c r="M1069" i="5"/>
  <c r="M1068" i="5"/>
  <c r="M1067" i="5"/>
  <c r="M1066" i="5"/>
  <c r="M1065" i="5"/>
  <c r="M1063" i="5"/>
  <c r="M1062" i="5"/>
  <c r="M1059" i="5"/>
  <c r="M1058" i="5"/>
  <c r="M1056" i="5"/>
  <c r="M1055" i="5"/>
  <c r="M1048" i="5"/>
  <c r="M1047" i="5"/>
  <c r="M1046" i="5"/>
  <c r="M1045" i="5"/>
  <c r="M1044" i="5"/>
  <c r="M1043" i="5"/>
  <c r="M1041" i="5"/>
  <c r="M1040" i="5"/>
  <c r="M1039" i="5"/>
  <c r="M1036" i="5"/>
  <c r="M1035" i="5"/>
  <c r="M1034" i="5"/>
  <c r="M1033" i="5"/>
  <c r="M1032" i="5"/>
  <c r="M1031" i="5"/>
  <c r="M1030" i="5"/>
  <c r="M1029" i="5"/>
  <c r="M1028" i="5"/>
  <c r="M1027" i="5"/>
  <c r="M1026" i="5"/>
  <c r="M1023" i="5"/>
  <c r="M1022" i="5"/>
  <c r="M1021" i="5"/>
  <c r="M1020" i="5"/>
  <c r="M1019" i="5"/>
  <c r="M1018" i="5"/>
  <c r="M1017" i="5"/>
  <c r="M1015" i="5"/>
  <c r="M1014" i="5"/>
  <c r="M1013" i="5"/>
  <c r="M1012" i="5"/>
  <c r="M1009" i="5"/>
  <c r="M1007" i="5"/>
  <c r="M1006" i="5"/>
  <c r="M1005" i="5"/>
  <c r="M1004" i="5"/>
  <c r="M1003" i="5"/>
  <c r="M1000" i="5"/>
  <c r="M999" i="5"/>
  <c r="M998" i="5"/>
  <c r="M997" i="5"/>
  <c r="M996" i="5"/>
  <c r="M995" i="5"/>
  <c r="M994" i="5"/>
  <c r="M993" i="5"/>
  <c r="M992" i="5"/>
  <c r="M991" i="5"/>
  <c r="M990" i="5"/>
  <c r="M987" i="5"/>
  <c r="M986" i="5"/>
  <c r="M985" i="5"/>
  <c r="M984" i="5"/>
  <c r="M983" i="5"/>
  <c r="M982" i="5"/>
  <c r="M981" i="5"/>
  <c r="M980" i="5"/>
  <c r="M979" i="5"/>
  <c r="M977" i="5"/>
  <c r="M975" i="5"/>
  <c r="M974" i="5"/>
  <c r="M972" i="5"/>
  <c r="M971" i="5"/>
  <c r="M970" i="5"/>
  <c r="M969" i="5"/>
  <c r="M968" i="5"/>
  <c r="M967" i="5"/>
  <c r="M966" i="5"/>
  <c r="M965" i="5"/>
  <c r="M964" i="5"/>
  <c r="M640" i="5"/>
  <c r="M639" i="5"/>
  <c r="M638" i="5"/>
  <c r="M637" i="5"/>
  <c r="M636" i="5"/>
  <c r="M635" i="5"/>
  <c r="M634" i="5"/>
  <c r="M629" i="5"/>
  <c r="M628" i="5"/>
  <c r="M626" i="5"/>
  <c r="M625" i="5"/>
  <c r="M624" i="5"/>
  <c r="M623" i="5"/>
  <c r="M622" i="5"/>
  <c r="M621" i="5"/>
  <c r="M620" i="5"/>
  <c r="M619" i="5"/>
  <c r="M618" i="5"/>
  <c r="M617" i="5"/>
  <c r="M616" i="5"/>
  <c r="M615" i="5"/>
  <c r="M614" i="5"/>
  <c r="M572" i="5"/>
  <c r="R572" i="5" s="1"/>
  <c r="U572" i="5" s="1"/>
  <c r="M571" i="5"/>
  <c r="R571" i="5" s="1"/>
  <c r="U571" i="5" s="1"/>
  <c r="M570" i="5"/>
  <c r="M569" i="5"/>
  <c r="M568" i="5"/>
  <c r="M567" i="5"/>
  <c r="M566" i="5"/>
  <c r="M565" i="5"/>
  <c r="M564" i="5"/>
  <c r="M563" i="5"/>
  <c r="M562" i="5"/>
  <c r="M561" i="5"/>
  <c r="M560" i="5"/>
  <c r="M559" i="5"/>
  <c r="M558" i="5"/>
  <c r="M557" i="5"/>
  <c r="M556" i="5"/>
  <c r="M555" i="5"/>
  <c r="M554" i="5"/>
  <c r="M553" i="5"/>
  <c r="M552" i="5"/>
  <c r="M551" i="5"/>
  <c r="M550" i="5"/>
  <c r="M549" i="5"/>
  <c r="M548" i="5"/>
  <c r="M547" i="5"/>
  <c r="M546" i="5"/>
  <c r="M545" i="5"/>
  <c r="M544" i="5"/>
  <c r="M543" i="5"/>
  <c r="M542" i="5"/>
  <c r="M541" i="5"/>
  <c r="M540" i="5"/>
  <c r="M539" i="5"/>
  <c r="M538" i="5"/>
  <c r="M537" i="5"/>
  <c r="M536" i="5"/>
  <c r="M535" i="5"/>
  <c r="M534" i="5"/>
  <c r="M533" i="5"/>
  <c r="M532" i="5"/>
  <c r="M531" i="5"/>
  <c r="M530" i="5"/>
  <c r="M529" i="5"/>
  <c r="M528" i="5"/>
  <c r="M527" i="5"/>
  <c r="M526" i="5"/>
  <c r="M525" i="5"/>
  <c r="M524" i="5"/>
  <c r="M523" i="5"/>
  <c r="M522" i="5"/>
  <c r="M521" i="5"/>
  <c r="M520" i="5"/>
  <c r="M519" i="5"/>
  <c r="M518" i="5"/>
  <c r="M517" i="5"/>
  <c r="M516" i="5"/>
  <c r="M515" i="5"/>
  <c r="M514" i="5"/>
  <c r="M513" i="5"/>
  <c r="M512" i="5"/>
  <c r="M511" i="5"/>
  <c r="M510" i="5"/>
  <c r="M509" i="5"/>
  <c r="M508" i="5"/>
  <c r="M507" i="5"/>
  <c r="M506" i="5"/>
  <c r="M505" i="5"/>
  <c r="M504" i="5"/>
  <c r="M503" i="5"/>
  <c r="M502" i="5"/>
  <c r="M501" i="5"/>
  <c r="M500" i="5"/>
  <c r="M499" i="5"/>
  <c r="M498" i="5"/>
  <c r="M497" i="5"/>
  <c r="M496" i="5"/>
  <c r="M495" i="5"/>
  <c r="M494" i="5"/>
  <c r="M493" i="5"/>
  <c r="M492" i="5"/>
  <c r="M491" i="5"/>
  <c r="M490" i="5"/>
  <c r="M489" i="5"/>
  <c r="M488" i="5"/>
  <c r="M487" i="5"/>
  <c r="M486" i="5"/>
  <c r="M485" i="5"/>
  <c r="F100" i="4"/>
  <c r="K100" i="4" s="1"/>
  <c r="M100" i="4" s="1"/>
  <c r="F99" i="4"/>
  <c r="K99" i="4" s="1"/>
  <c r="M99" i="4" s="1"/>
  <c r="F95" i="4"/>
  <c r="F93" i="4"/>
  <c r="F92" i="4"/>
  <c r="F90" i="4"/>
  <c r="F89" i="4"/>
  <c r="F88" i="4"/>
  <c r="F87" i="4"/>
  <c r="F86" i="4"/>
  <c r="F85" i="4"/>
  <c r="F83" i="4"/>
  <c r="F80" i="4"/>
  <c r="F79" i="4"/>
  <c r="F77" i="4"/>
  <c r="F75" i="4"/>
  <c r="F70" i="4"/>
  <c r="F67" i="4"/>
  <c r="F63" i="4"/>
  <c r="F60" i="4"/>
  <c r="F56" i="4"/>
  <c r="F52" i="4"/>
  <c r="F50" i="4"/>
  <c r="F48" i="4"/>
  <c r="F46" i="4"/>
  <c r="F44" i="4"/>
  <c r="F40" i="4"/>
  <c r="F32" i="4"/>
  <c r="F29" i="4"/>
  <c r="F27" i="4"/>
  <c r="F25" i="4"/>
  <c r="F22" i="4"/>
  <c r="F18" i="4"/>
  <c r="F13" i="4"/>
  <c r="F10" i="4"/>
  <c r="F8" i="4"/>
  <c r="E33" i="7"/>
  <c r="M807" i="5"/>
  <c r="F34" i="4"/>
  <c r="E73" i="7"/>
  <c r="E68" i="7"/>
  <c r="E65" i="7"/>
  <c r="E61" i="7"/>
  <c r="E58" i="7"/>
  <c r="E54" i="7"/>
  <c r="E53" i="7"/>
  <c r="E50" i="7"/>
  <c r="E48" i="7"/>
  <c r="E46" i="7"/>
  <c r="E44" i="7"/>
  <c r="E42" i="7"/>
  <c r="E41" i="7"/>
  <c r="E38" i="7"/>
  <c r="E35" i="7"/>
  <c r="E32" i="7"/>
  <c r="E30" i="7"/>
  <c r="E27" i="7"/>
  <c r="E25" i="7"/>
  <c r="E23" i="7"/>
  <c r="E22" i="7"/>
  <c r="E20" i="7"/>
  <c r="E16" i="7"/>
  <c r="E11" i="7"/>
  <c r="E6" i="7"/>
  <c r="M1226" i="5"/>
  <c r="M1224" i="5"/>
  <c r="M1223" i="5"/>
  <c r="M1222" i="5"/>
  <c r="M1221" i="5"/>
  <c r="M1220" i="5"/>
  <c r="M1219" i="5"/>
  <c r="M1218" i="5"/>
  <c r="M1215" i="5"/>
  <c r="M1214" i="5"/>
  <c r="M1213" i="5"/>
  <c r="M1212" i="5"/>
  <c r="M1211" i="5"/>
  <c r="M1210" i="5"/>
  <c r="M1209" i="5"/>
  <c r="M1208" i="5"/>
  <c r="M1207" i="5"/>
  <c r="M1206" i="5"/>
  <c r="M1204" i="5"/>
  <c r="M1173" i="5"/>
  <c r="M1172" i="5"/>
  <c r="M1171" i="5"/>
  <c r="M1170" i="5"/>
  <c r="M1169" i="5"/>
  <c r="M1168" i="5"/>
  <c r="M1167" i="5"/>
  <c r="M1166" i="5"/>
  <c r="M1165" i="5"/>
  <c r="M1164" i="5"/>
  <c r="M1163" i="5"/>
  <c r="M1162" i="5"/>
  <c r="M1161" i="5"/>
  <c r="M1160" i="5"/>
  <c r="M1159" i="5"/>
  <c r="M1158" i="5"/>
  <c r="M1157" i="5"/>
  <c r="M1156" i="5"/>
  <c r="M1155" i="5"/>
  <c r="M1154" i="5"/>
  <c r="M1153" i="5"/>
  <c r="M1152" i="5"/>
  <c r="M1151" i="5"/>
  <c r="M1149" i="5"/>
  <c r="M1148" i="5"/>
  <c r="M1141" i="5"/>
  <c r="M1057" i="5"/>
  <c r="M1054" i="5"/>
  <c r="M1052" i="5"/>
  <c r="M961" i="5"/>
  <c r="M960" i="5"/>
  <c r="M959" i="5"/>
  <c r="M958" i="5"/>
  <c r="M957" i="5"/>
  <c r="M956" i="5"/>
  <c r="M955" i="5"/>
  <c r="M954" i="5"/>
  <c r="M953" i="5"/>
  <c r="M952" i="5"/>
  <c r="M951" i="5"/>
  <c r="M950" i="5"/>
  <c r="M949" i="5"/>
  <c r="M948" i="5"/>
  <c r="M947" i="5"/>
  <c r="M946" i="5"/>
  <c r="M945" i="5"/>
  <c r="M944" i="5"/>
  <c r="M943" i="5"/>
  <c r="M942" i="5"/>
  <c r="M940" i="5"/>
  <c r="M939" i="5"/>
  <c r="M938" i="5"/>
  <c r="M937" i="5"/>
  <c r="M936" i="5"/>
  <c r="M935" i="5"/>
  <c r="M934" i="5"/>
  <c r="M933" i="5"/>
  <c r="M932" i="5"/>
  <c r="M931" i="5"/>
  <c r="M930" i="5"/>
  <c r="M929" i="5"/>
  <c r="M928" i="5"/>
  <c r="M927" i="5"/>
  <c r="M926" i="5"/>
  <c r="M925" i="5"/>
  <c r="M924" i="5"/>
  <c r="M923" i="5"/>
  <c r="M922" i="5"/>
  <c r="M921" i="5"/>
  <c r="M919" i="5"/>
  <c r="M918" i="5"/>
  <c r="M917" i="5"/>
  <c r="M916" i="5"/>
  <c r="M915" i="5"/>
  <c r="M914" i="5"/>
  <c r="M913" i="5"/>
  <c r="M912" i="5"/>
  <c r="M910" i="5"/>
  <c r="M909" i="5"/>
  <c r="M908" i="5"/>
  <c r="M907" i="5"/>
  <c r="M906" i="5"/>
  <c r="M905" i="5"/>
  <c r="M904" i="5"/>
  <c r="M902" i="5"/>
  <c r="M901" i="5"/>
  <c r="M900" i="5"/>
  <c r="M899" i="5"/>
  <c r="M898" i="5"/>
  <c r="M896" i="5"/>
  <c r="M895" i="5"/>
  <c r="M894" i="5"/>
  <c r="M893" i="5"/>
  <c r="M892" i="5"/>
  <c r="M891" i="5"/>
  <c r="M890" i="5"/>
  <c r="M889" i="5"/>
  <c r="M888" i="5"/>
  <c r="M885" i="5"/>
  <c r="M884" i="5"/>
  <c r="M883" i="5"/>
  <c r="M882" i="5"/>
  <c r="M881" i="5"/>
  <c r="M880" i="5"/>
  <c r="M879" i="5"/>
  <c r="M878" i="5"/>
  <c r="M877" i="5"/>
  <c r="M876" i="5"/>
  <c r="M875" i="5"/>
  <c r="M874" i="5"/>
  <c r="M873" i="5"/>
  <c r="M872" i="5"/>
  <c r="M871" i="5"/>
  <c r="M870" i="5"/>
  <c r="M869" i="5"/>
  <c r="M868" i="5"/>
  <c r="M867" i="5"/>
  <c r="M866" i="5"/>
  <c r="M865" i="5"/>
  <c r="M864" i="5"/>
  <c r="M863" i="5"/>
  <c r="M862" i="5"/>
  <c r="M861" i="5"/>
  <c r="M860" i="5"/>
  <c r="M859" i="5"/>
  <c r="M858" i="5"/>
  <c r="M857" i="5"/>
  <c r="M856" i="5"/>
  <c r="M855" i="5"/>
  <c r="M854" i="5"/>
  <c r="M853" i="5"/>
  <c r="M852" i="5"/>
  <c r="M851" i="5"/>
  <c r="M850" i="5"/>
  <c r="M849" i="5"/>
  <c r="M848" i="5"/>
  <c r="M847" i="5"/>
  <c r="M846" i="5"/>
  <c r="M845" i="5"/>
  <c r="M844" i="5"/>
  <c r="M843" i="5"/>
  <c r="M842" i="5"/>
  <c r="M840" i="5"/>
  <c r="M839" i="5"/>
  <c r="M838" i="5"/>
  <c r="M837" i="5"/>
  <c r="M836" i="5"/>
  <c r="M835" i="5"/>
  <c r="M834" i="5"/>
  <c r="M833" i="5"/>
  <c r="M832" i="5"/>
  <c r="M831" i="5"/>
  <c r="M830" i="5"/>
  <c r="M829" i="5"/>
  <c r="M828" i="5"/>
  <c r="M827" i="5"/>
  <c r="M826" i="5"/>
  <c r="M825" i="5"/>
  <c r="M824" i="5"/>
  <c r="M823" i="5"/>
  <c r="M820" i="5"/>
  <c r="M819" i="5"/>
  <c r="M818" i="5"/>
  <c r="M817" i="5"/>
  <c r="M816" i="5"/>
  <c r="M815" i="5"/>
  <c r="M814" i="5"/>
  <c r="M813" i="5"/>
  <c r="M812" i="5"/>
  <c r="M811" i="5"/>
  <c r="M810" i="5"/>
  <c r="M809" i="5"/>
  <c r="M804" i="5"/>
  <c r="M803" i="5"/>
  <c r="M802" i="5"/>
  <c r="M801" i="5"/>
  <c r="M800" i="5"/>
  <c r="M799" i="5"/>
  <c r="M798" i="5"/>
  <c r="M795" i="5"/>
  <c r="M791" i="5"/>
  <c r="M790" i="5"/>
  <c r="M789" i="5"/>
  <c r="M788" i="5"/>
  <c r="M787" i="5"/>
  <c r="M786" i="5"/>
  <c r="M785" i="5"/>
  <c r="M784" i="5"/>
  <c r="M783" i="5"/>
  <c r="M782" i="5"/>
  <c r="M781" i="5"/>
  <c r="M780" i="5"/>
  <c r="M779" i="5"/>
  <c r="M778" i="5"/>
  <c r="M777" i="5"/>
  <c r="M776" i="5"/>
  <c r="M775" i="5"/>
  <c r="M774" i="5"/>
  <c r="M771" i="5"/>
  <c r="M770" i="5"/>
  <c r="M769" i="5"/>
  <c r="M768" i="5"/>
  <c r="M767" i="5"/>
  <c r="M766" i="5"/>
  <c r="M763" i="5"/>
  <c r="M758" i="5"/>
  <c r="M757" i="5"/>
  <c r="M756" i="5"/>
  <c r="M755" i="5"/>
  <c r="M754" i="5"/>
  <c r="M753" i="5"/>
  <c r="M752" i="5"/>
  <c r="M751" i="5"/>
  <c r="M750" i="5"/>
  <c r="M749" i="5"/>
  <c r="M748" i="5"/>
  <c r="M747" i="5"/>
  <c r="M744" i="5"/>
  <c r="M743" i="5"/>
  <c r="M742" i="5"/>
  <c r="M741" i="5"/>
  <c r="M740" i="5"/>
  <c r="M739" i="5"/>
  <c r="M738" i="5"/>
  <c r="M737" i="5"/>
  <c r="M736" i="5"/>
  <c r="M735" i="5"/>
  <c r="M734" i="5"/>
  <c r="M731" i="5"/>
  <c r="M730" i="5"/>
  <c r="M729" i="5"/>
  <c r="M728" i="5"/>
  <c r="M725" i="5"/>
  <c r="M721" i="5"/>
  <c r="M720" i="5"/>
  <c r="M719" i="5"/>
  <c r="M718" i="5"/>
  <c r="M717" i="5"/>
  <c r="M716" i="5"/>
  <c r="M715" i="5"/>
  <c r="M714" i="5"/>
  <c r="M713" i="5"/>
  <c r="M712" i="5"/>
  <c r="M711" i="5"/>
  <c r="M710" i="5"/>
  <c r="M709" i="5"/>
  <c r="M708" i="5"/>
  <c r="M707" i="5"/>
  <c r="M706" i="5"/>
  <c r="M705" i="5"/>
  <c r="M704" i="5"/>
  <c r="M703" i="5"/>
  <c r="M702" i="5"/>
  <c r="M701" i="5"/>
  <c r="M700" i="5"/>
  <c r="M699" i="5"/>
  <c r="M698" i="5"/>
  <c r="M697" i="5"/>
  <c r="M696" i="5"/>
  <c r="M695" i="5"/>
  <c r="M694" i="5"/>
  <c r="M693" i="5"/>
  <c r="M692" i="5"/>
  <c r="M691" i="5"/>
  <c r="M690" i="5"/>
  <c r="M689" i="5"/>
  <c r="M688" i="5"/>
  <c r="M687" i="5"/>
  <c r="M686" i="5"/>
  <c r="M685" i="5"/>
  <c r="M684" i="5"/>
  <c r="M683" i="5"/>
  <c r="M682" i="5"/>
  <c r="M681" i="5"/>
  <c r="M680" i="5"/>
  <c r="M679" i="5"/>
  <c r="M678" i="5"/>
  <c r="M677" i="5"/>
  <c r="M676" i="5"/>
  <c r="M675" i="5"/>
  <c r="M672" i="5"/>
  <c r="M671" i="5"/>
  <c r="M670" i="5"/>
  <c r="M669" i="5"/>
  <c r="M668" i="5"/>
  <c r="M667" i="5"/>
  <c r="M666" i="5"/>
  <c r="M665" i="5"/>
  <c r="M664" i="5"/>
  <c r="M663" i="5"/>
  <c r="M662" i="5"/>
  <c r="M661" i="5"/>
  <c r="M660" i="5"/>
  <c r="M659" i="5"/>
  <c r="M658" i="5"/>
  <c r="M657" i="5"/>
  <c r="M656" i="5"/>
  <c r="M655" i="5"/>
  <c r="M654" i="5"/>
  <c r="M653" i="5"/>
  <c r="M652" i="5"/>
  <c r="M651" i="5"/>
  <c r="M650" i="5"/>
  <c r="M649" i="5"/>
  <c r="M648" i="5"/>
  <c r="M647" i="5"/>
  <c r="M646" i="5"/>
  <c r="M645" i="5"/>
  <c r="M644" i="5"/>
  <c r="M643" i="5"/>
  <c r="M482" i="5"/>
  <c r="M481" i="5"/>
  <c r="M480" i="5"/>
  <c r="M479" i="5"/>
  <c r="M478" i="5"/>
  <c r="M477" i="5"/>
  <c r="M476" i="5"/>
  <c r="M475" i="5"/>
  <c r="M474" i="5"/>
  <c r="M473" i="5"/>
  <c r="M472" i="5"/>
  <c r="M471" i="5"/>
  <c r="M470" i="5"/>
  <c r="M469" i="5"/>
  <c r="M468" i="5"/>
  <c r="M467" i="5"/>
  <c r="M466" i="5"/>
  <c r="M465" i="5"/>
  <c r="M464" i="5"/>
  <c r="M463" i="5"/>
  <c r="M462" i="5"/>
  <c r="M461" i="5"/>
  <c r="M460" i="5"/>
  <c r="M459" i="5"/>
  <c r="M458" i="5"/>
  <c r="M457" i="5"/>
  <c r="M456" i="5"/>
  <c r="M455" i="5"/>
  <c r="M454" i="5"/>
  <c r="M453" i="5"/>
  <c r="M452" i="5"/>
  <c r="M451" i="5"/>
  <c r="M450" i="5"/>
  <c r="M449" i="5"/>
  <c r="M448" i="5"/>
  <c r="M447" i="5"/>
  <c r="M446" i="5"/>
  <c r="M445" i="5"/>
  <c r="M444" i="5"/>
  <c r="M443" i="5"/>
  <c r="M442" i="5"/>
  <c r="M441" i="5"/>
  <c r="M440" i="5"/>
  <c r="M439" i="5"/>
  <c r="M438" i="5"/>
  <c r="M437" i="5"/>
  <c r="M436" i="5"/>
  <c r="M435" i="5"/>
  <c r="M434" i="5"/>
  <c r="M433" i="5"/>
  <c r="M432" i="5"/>
  <c r="M431" i="5"/>
  <c r="M430" i="5"/>
  <c r="M429" i="5"/>
  <c r="M428" i="5"/>
  <c r="M427" i="5"/>
  <c r="M426" i="5"/>
  <c r="M425" i="5"/>
  <c r="M424" i="5"/>
  <c r="M423" i="5"/>
  <c r="M422" i="5"/>
  <c r="M421" i="5"/>
  <c r="M420" i="5"/>
  <c r="M419" i="5"/>
  <c r="M418" i="5"/>
  <c r="M417" i="5"/>
  <c r="M416" i="5"/>
  <c r="M415" i="5"/>
  <c r="M414" i="5"/>
  <c r="M413" i="5"/>
  <c r="M412" i="5"/>
  <c r="M411" i="5"/>
  <c r="M410" i="5"/>
  <c r="M409" i="5"/>
  <c r="M408" i="5"/>
  <c r="M407" i="5"/>
  <c r="M406" i="5"/>
  <c r="M405" i="5"/>
  <c r="M404" i="5"/>
  <c r="M403" i="5"/>
  <c r="M402" i="5"/>
  <c r="M401" i="5"/>
  <c r="M400" i="5"/>
  <c r="M399" i="5"/>
  <c r="M398" i="5"/>
  <c r="M397" i="5"/>
  <c r="M396" i="5"/>
  <c r="M395" i="5"/>
  <c r="M394" i="5"/>
  <c r="M393" i="5"/>
  <c r="M392" i="5"/>
  <c r="M391" i="5"/>
  <c r="M390" i="5"/>
  <c r="M389" i="5"/>
  <c r="M388" i="5"/>
  <c r="M387" i="5"/>
  <c r="M386" i="5"/>
  <c r="M385" i="5"/>
  <c r="M384" i="5"/>
  <c r="M383" i="5"/>
  <c r="M382" i="5"/>
  <c r="M381" i="5"/>
  <c r="M380" i="5"/>
  <c r="M379" i="5"/>
  <c r="M378" i="5"/>
  <c r="M377" i="5"/>
  <c r="M376" i="5"/>
  <c r="M375" i="5"/>
  <c r="M374" i="5"/>
  <c r="M373" i="5"/>
  <c r="M372" i="5"/>
  <c r="M371" i="5"/>
  <c r="M370" i="5"/>
  <c r="M369" i="5"/>
  <c r="M368" i="5"/>
  <c r="M367" i="5"/>
  <c r="M366" i="5"/>
  <c r="M365" i="5"/>
  <c r="M364" i="5"/>
  <c r="M363" i="5"/>
  <c r="M362" i="5"/>
  <c r="M361" i="5"/>
  <c r="M360" i="5"/>
  <c r="M359" i="5"/>
  <c r="M358" i="5"/>
  <c r="M357" i="5"/>
  <c r="M356" i="5"/>
  <c r="M355" i="5"/>
  <c r="M354" i="5"/>
  <c r="M353" i="5"/>
  <c r="M352" i="5"/>
  <c r="M351" i="5"/>
  <c r="M350" i="5"/>
  <c r="M349" i="5"/>
  <c r="M346" i="5"/>
  <c r="M345" i="5"/>
  <c r="M344" i="5"/>
  <c r="M343" i="5"/>
  <c r="M342" i="5"/>
  <c r="M341" i="5"/>
  <c r="M340" i="5"/>
  <c r="M339" i="5"/>
  <c r="M335" i="5"/>
  <c r="M334" i="5"/>
  <c r="M333" i="5"/>
  <c r="M332" i="5"/>
  <c r="M331" i="5"/>
  <c r="M330" i="5"/>
  <c r="M329" i="5"/>
  <c r="M328" i="5"/>
  <c r="M327" i="5"/>
  <c r="M326" i="5"/>
  <c r="M325" i="5"/>
  <c r="M323" i="5"/>
  <c r="M322" i="5"/>
  <c r="M320" i="5"/>
  <c r="M319" i="5"/>
  <c r="M318" i="5"/>
  <c r="M317" i="5"/>
  <c r="M316" i="5"/>
  <c r="M315" i="5"/>
  <c r="M314" i="5"/>
  <c r="M313" i="5"/>
  <c r="M312" i="5"/>
  <c r="M311" i="5"/>
  <c r="M310" i="5"/>
  <c r="M309" i="5"/>
  <c r="M308" i="5"/>
  <c r="M307" i="5"/>
  <c r="M306" i="5"/>
  <c r="M305" i="5"/>
  <c r="M304" i="5"/>
  <c r="M303" i="5"/>
  <c r="M302" i="5"/>
  <c r="M301" i="5"/>
  <c r="M300" i="5"/>
  <c r="M299" i="5"/>
  <c r="M298" i="5"/>
  <c r="M297" i="5"/>
  <c r="M296" i="5"/>
  <c r="M295" i="5"/>
  <c r="M294" i="5"/>
  <c r="M293" i="5"/>
  <c r="M292" i="5"/>
  <c r="M291" i="5"/>
  <c r="M290" i="5"/>
  <c r="M289" i="5"/>
  <c r="M288" i="5"/>
  <c r="M287" i="5"/>
  <c r="M286" i="5"/>
  <c r="M285" i="5"/>
  <c r="M284" i="5"/>
  <c r="M283" i="5"/>
  <c r="M282" i="5"/>
  <c r="M281" i="5"/>
  <c r="M278" i="5"/>
  <c r="M277" i="5"/>
  <c r="M276" i="5"/>
  <c r="M275" i="5"/>
  <c r="M274" i="5"/>
  <c r="M273" i="5"/>
  <c r="M272" i="5"/>
  <c r="M271" i="5"/>
  <c r="M270" i="5"/>
  <c r="M267" i="5"/>
  <c r="M265" i="5"/>
  <c r="M264" i="5"/>
  <c r="M263" i="5"/>
  <c r="M262" i="5"/>
  <c r="M261" i="5"/>
  <c r="M260" i="5"/>
  <c r="M259" i="5"/>
  <c r="M258" i="5"/>
  <c r="M257" i="5"/>
  <c r="M256" i="5"/>
  <c r="M255" i="5"/>
  <c r="M254" i="5"/>
  <c r="M253" i="5"/>
  <c r="M252" i="5"/>
  <c r="M251" i="5"/>
  <c r="M250" i="5"/>
  <c r="M249" i="5"/>
  <c r="M248" i="5"/>
  <c r="M247" i="5"/>
  <c r="M246" i="5"/>
  <c r="M245" i="5"/>
  <c r="M244" i="5"/>
  <c r="M243" i="5"/>
  <c r="M242" i="5"/>
  <c r="M241" i="5"/>
  <c r="M240" i="5"/>
  <c r="M239" i="5"/>
  <c r="M238" i="5"/>
  <c r="M237" i="5"/>
  <c r="M236" i="5"/>
  <c r="M235" i="5"/>
  <c r="M234" i="5"/>
  <c r="M233" i="5"/>
  <c r="M232" i="5"/>
  <c r="M231" i="5"/>
  <c r="M230" i="5"/>
  <c r="M229" i="5"/>
  <c r="M228" i="5"/>
  <c r="M227" i="5"/>
  <c r="M226" i="5"/>
  <c r="M225" i="5"/>
  <c r="M224" i="5"/>
  <c r="M223" i="5"/>
  <c r="M222" i="5"/>
  <c r="M221" i="5"/>
  <c r="M220" i="5"/>
  <c r="M219" i="5"/>
  <c r="M218" i="5"/>
  <c r="M217" i="5"/>
  <c r="M216" i="5"/>
  <c r="M214" i="5"/>
  <c r="M213" i="5"/>
  <c r="M210" i="5"/>
  <c r="M208" i="5"/>
  <c r="M207" i="5"/>
  <c r="M206" i="5"/>
  <c r="M205" i="5"/>
  <c r="M204" i="5"/>
  <c r="M203" i="5"/>
  <c r="M202" i="5"/>
  <c r="M201" i="5"/>
  <c r="M200" i="5"/>
  <c r="M199" i="5"/>
  <c r="M198" i="5"/>
  <c r="M197" i="5"/>
  <c r="M196" i="5"/>
  <c r="M195" i="5"/>
  <c r="M194" i="5"/>
  <c r="M193" i="5"/>
  <c r="M192" i="5"/>
  <c r="M191" i="5"/>
  <c r="M190" i="5"/>
  <c r="M189" i="5"/>
  <c r="M188" i="5"/>
  <c r="M187" i="5"/>
  <c r="M186" i="5"/>
  <c r="M185" i="5"/>
  <c r="M184" i="5"/>
  <c r="M183" i="5"/>
  <c r="M182" i="5"/>
  <c r="M181" i="5"/>
  <c r="M180" i="5"/>
  <c r="M179" i="5"/>
  <c r="M178" i="5"/>
  <c r="M177" i="5"/>
  <c r="M175" i="5"/>
  <c r="M174" i="5"/>
  <c r="M173" i="5"/>
  <c r="M172" i="5"/>
  <c r="M171" i="5"/>
  <c r="M170" i="5"/>
  <c r="M169" i="5"/>
  <c r="M168" i="5"/>
  <c r="M167" i="5"/>
  <c r="M166" i="5"/>
  <c r="M165" i="5"/>
  <c r="M164" i="5"/>
  <c r="M163" i="5"/>
  <c r="M162" i="5"/>
  <c r="M161" i="5"/>
  <c r="M158" i="5"/>
  <c r="M157" i="5"/>
  <c r="M156" i="5"/>
  <c r="M155" i="5"/>
  <c r="M154" i="5"/>
  <c r="M153" i="5"/>
  <c r="M152" i="5"/>
  <c r="M151" i="5"/>
  <c r="M150" i="5"/>
  <c r="M147" i="5"/>
  <c r="M146" i="5"/>
  <c r="M145" i="5"/>
  <c r="M144" i="5"/>
  <c r="M143" i="5"/>
  <c r="M142" i="5"/>
  <c r="M141" i="5"/>
  <c r="M140" i="5"/>
  <c r="M139" i="5"/>
  <c r="M138" i="5"/>
  <c r="M137" i="5"/>
  <c r="M136" i="5"/>
  <c r="M133" i="5"/>
  <c r="M132" i="5"/>
  <c r="M131" i="5"/>
  <c r="M130" i="5"/>
  <c r="M129" i="5"/>
  <c r="M128" i="5"/>
  <c r="M127" i="5"/>
  <c r="M126" i="5"/>
  <c r="M125" i="5"/>
  <c r="M122" i="5"/>
  <c r="M121" i="5"/>
  <c r="M120" i="5"/>
  <c r="M119" i="5"/>
  <c r="M118" i="5"/>
  <c r="M117" i="5"/>
  <c r="M116" i="5"/>
  <c r="M115" i="5"/>
  <c r="M114" i="5"/>
  <c r="M111" i="5"/>
  <c r="M109" i="5"/>
  <c r="M108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3" i="5"/>
  <c r="M42" i="5"/>
  <c r="M39" i="5"/>
  <c r="M37" i="5"/>
  <c r="M36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F74" i="4"/>
  <c r="F69" i="4"/>
  <c r="F66" i="4"/>
  <c r="F62" i="4"/>
  <c r="F59" i="4"/>
  <c r="F55" i="4"/>
  <c r="F54" i="4"/>
  <c r="F51" i="4"/>
  <c r="F49" i="4"/>
  <c r="F47" i="4"/>
  <c r="F45" i="4"/>
  <c r="F43" i="4"/>
  <c r="F42" i="4"/>
  <c r="F39" i="4"/>
  <c r="F36" i="4"/>
  <c r="F33" i="4"/>
  <c r="F31" i="4"/>
  <c r="F28" i="4"/>
  <c r="F26" i="4"/>
  <c r="F24" i="4"/>
  <c r="F23" i="4"/>
  <c r="F21" i="4"/>
  <c r="F17" i="4"/>
  <c r="F12" i="4"/>
  <c r="F7" i="4"/>
  <c r="E57" i="7"/>
  <c r="M911" i="5"/>
  <c r="M903" i="5"/>
  <c r="M897" i="5"/>
  <c r="F58" i="4"/>
  <c r="E81" i="7"/>
  <c r="E67" i="7"/>
  <c r="E37" i="7"/>
  <c r="E15" i="7"/>
  <c r="M1198" i="5"/>
  <c r="M1146" i="5"/>
  <c r="M1053" i="5"/>
  <c r="M1051" i="5"/>
  <c r="M978" i="5"/>
  <c r="M633" i="5"/>
  <c r="M632" i="5"/>
  <c r="M631" i="5"/>
  <c r="M630" i="5"/>
  <c r="F82" i="4"/>
  <c r="F68" i="4"/>
  <c r="F38" i="4"/>
  <c r="F16" i="4"/>
  <c r="E77" i="7"/>
  <c r="M593" i="5"/>
  <c r="F78" i="4"/>
  <c r="E93" i="7"/>
  <c r="E90" i="7"/>
  <c r="E83" i="7"/>
  <c r="E80" i="7"/>
  <c r="E75" i="7"/>
  <c r="E71" i="7"/>
  <c r="E64" i="7"/>
  <c r="E56" i="7"/>
  <c r="E52" i="7"/>
  <c r="E40" i="7"/>
  <c r="E29" i="7"/>
  <c r="E19" i="7"/>
  <c r="E13" i="7"/>
  <c r="M1197" i="5"/>
  <c r="M1196" i="5"/>
  <c r="M1179" i="5"/>
  <c r="M1178" i="5"/>
  <c r="M1177" i="5"/>
  <c r="M1132" i="5"/>
  <c r="M1090" i="5"/>
  <c r="M1075" i="5"/>
  <c r="M1064" i="5"/>
  <c r="M1061" i="5"/>
  <c r="M1060" i="5"/>
  <c r="M1050" i="5"/>
  <c r="M1049" i="5"/>
  <c r="M1042" i="5"/>
  <c r="M611" i="5"/>
  <c r="M610" i="5"/>
  <c r="M609" i="5"/>
  <c r="M608" i="5"/>
  <c r="M607" i="5"/>
  <c r="M606" i="5"/>
  <c r="M605" i="5"/>
  <c r="M604" i="5"/>
  <c r="M603" i="5"/>
  <c r="M600" i="5"/>
  <c r="M599" i="5"/>
  <c r="M598" i="5"/>
  <c r="M597" i="5"/>
  <c r="M596" i="5"/>
  <c r="M595" i="5"/>
  <c r="M594" i="5"/>
  <c r="M592" i="5"/>
  <c r="M591" i="5"/>
  <c r="M590" i="5"/>
  <c r="M589" i="5"/>
  <c r="M588" i="5"/>
  <c r="M587" i="5"/>
  <c r="M586" i="5"/>
  <c r="M585" i="5"/>
  <c r="M584" i="5"/>
  <c r="M583" i="5"/>
  <c r="M582" i="5"/>
  <c r="M580" i="5"/>
  <c r="M579" i="5"/>
  <c r="M578" i="5"/>
  <c r="M577" i="5"/>
  <c r="M576" i="5"/>
  <c r="M575" i="5"/>
  <c r="F94" i="4"/>
  <c r="F91" i="4"/>
  <c r="F84" i="4"/>
  <c r="F81" i="4"/>
  <c r="F76" i="4"/>
  <c r="F72" i="4"/>
  <c r="F65" i="4"/>
  <c r="F57" i="4"/>
  <c r="F53" i="4"/>
  <c r="F41" i="4"/>
  <c r="F30" i="4"/>
  <c r="F20" i="4"/>
  <c r="F14" i="4"/>
  <c r="E70" i="7"/>
  <c r="E63" i="7"/>
  <c r="E36" i="7"/>
  <c r="E34" i="7"/>
  <c r="E18" i="7"/>
  <c r="E14" i="7"/>
  <c r="E8" i="7"/>
  <c r="M1225" i="5"/>
  <c r="M1205" i="5"/>
  <c r="M1145" i="5"/>
  <c r="M1144" i="5"/>
  <c r="M1143" i="5"/>
  <c r="M1142" i="5"/>
  <c r="M797" i="5"/>
  <c r="M792" i="5"/>
  <c r="M765" i="5"/>
  <c r="M760" i="5"/>
  <c r="M727" i="5"/>
  <c r="M726" i="5"/>
  <c r="M724" i="5"/>
  <c r="M723" i="5"/>
  <c r="M722" i="5"/>
  <c r="M674" i="5"/>
  <c r="M673" i="5"/>
  <c r="M336" i="5"/>
  <c r="M324" i="5"/>
  <c r="M321" i="5"/>
  <c r="M266" i="5"/>
  <c r="M215" i="5"/>
  <c r="M209" i="5"/>
  <c r="M176" i="5"/>
  <c r="M110" i="5"/>
  <c r="M107" i="5"/>
  <c r="M44" i="5"/>
  <c r="M38" i="5"/>
  <c r="M35" i="5"/>
  <c r="F71" i="4"/>
  <c r="F64" i="4"/>
  <c r="F37" i="4"/>
  <c r="F35" i="4"/>
  <c r="F19" i="4"/>
  <c r="F15" i="4"/>
  <c r="F9" i="4"/>
  <c r="C133" i="15"/>
  <c r="L133" i="15" s="1"/>
  <c r="M133" i="15" s="1"/>
  <c r="C13" i="14"/>
  <c r="K13" i="14" s="1"/>
  <c r="L13" i="14" s="1"/>
  <c r="C9" i="12"/>
  <c r="K9" i="12" s="1"/>
  <c r="L9" i="12" s="1"/>
  <c r="C8" i="12"/>
  <c r="K8" i="12" s="1"/>
  <c r="L8" i="12" s="1"/>
  <c r="C7" i="12"/>
  <c r="K7" i="12" s="1"/>
  <c r="L7" i="12" s="1"/>
  <c r="C6" i="12"/>
  <c r="K6" i="12" s="1"/>
  <c r="E60" i="7"/>
  <c r="E10" i="7"/>
  <c r="E5" i="7"/>
  <c r="M1016" i="5"/>
  <c r="M1008" i="5"/>
  <c r="M976" i="5"/>
  <c r="M973" i="5"/>
  <c r="M627" i="5"/>
  <c r="M602" i="5"/>
  <c r="M601" i="5"/>
  <c r="M581" i="5"/>
  <c r="F61" i="4"/>
  <c r="F11" i="4"/>
  <c r="F6" i="4"/>
  <c r="E96" i="7"/>
  <c r="M941" i="5"/>
  <c r="M920" i="5"/>
  <c r="F97" i="4"/>
  <c r="E97" i="7"/>
  <c r="E95" i="7"/>
  <c r="M841" i="5"/>
  <c r="M808" i="5"/>
  <c r="M796" i="5"/>
  <c r="M764" i="5"/>
  <c r="M759" i="5"/>
  <c r="F98" i="4"/>
  <c r="F96" i="4"/>
  <c r="C134" i="15"/>
  <c r="L134" i="15" s="1"/>
  <c r="M134" i="15" s="1"/>
  <c r="C132" i="15"/>
  <c r="L132" i="15" s="1"/>
  <c r="M132" i="15" s="1"/>
  <c r="C131" i="15"/>
  <c r="L131" i="15" s="1"/>
  <c r="M131" i="15" s="1"/>
  <c r="C129" i="15"/>
  <c r="L129" i="15" s="1"/>
  <c r="C14" i="14"/>
  <c r="K14" i="14" s="1"/>
  <c r="L14" i="14" s="1"/>
  <c r="C12" i="14"/>
  <c r="K12" i="14" s="1"/>
  <c r="L12" i="14" s="1"/>
  <c r="C11" i="14"/>
  <c r="K11" i="14" s="1"/>
  <c r="L11" i="14" s="1"/>
  <c r="C7" i="14"/>
  <c r="K7" i="14" s="1"/>
  <c r="L7" i="14" s="1"/>
  <c r="E72" i="7"/>
  <c r="M1176" i="5"/>
  <c r="F73" i="4"/>
  <c r="C130" i="15"/>
  <c r="L130" i="15" s="1"/>
  <c r="M130" i="15" s="1"/>
  <c r="C9" i="14"/>
  <c r="K9" i="14" s="1"/>
  <c r="L9" i="14" s="1"/>
  <c r="C140" i="15"/>
  <c r="L140" i="15" s="1"/>
  <c r="M140" i="15" s="1"/>
  <c r="C139" i="15"/>
  <c r="L139" i="15" s="1"/>
  <c r="M139" i="15" s="1"/>
  <c r="C138" i="15"/>
  <c r="L138" i="15" s="1"/>
  <c r="C125" i="15"/>
  <c r="L125" i="15" s="1"/>
  <c r="M125" i="15" s="1"/>
  <c r="C124" i="15"/>
  <c r="L124" i="15" s="1"/>
  <c r="M124" i="15" s="1"/>
  <c r="C123" i="15"/>
  <c r="L123" i="15" s="1"/>
  <c r="C119" i="15"/>
  <c r="L119" i="15" s="1"/>
  <c r="M119" i="15" s="1"/>
  <c r="C118" i="15"/>
  <c r="L118" i="15" s="1"/>
  <c r="C114" i="15"/>
  <c r="L114" i="15" s="1"/>
  <c r="M114" i="15" s="1"/>
  <c r="C113" i="15"/>
  <c r="L113" i="15" s="1"/>
  <c r="M113" i="15" s="1"/>
  <c r="C112" i="15"/>
  <c r="L112" i="15" s="1"/>
  <c r="C108" i="15"/>
  <c r="L108" i="15" s="1"/>
  <c r="M108" i="15" s="1"/>
  <c r="C107" i="15"/>
  <c r="L107" i="15" s="1"/>
  <c r="M107" i="15" s="1"/>
  <c r="C106" i="15"/>
  <c r="L106" i="15" s="1"/>
  <c r="C102" i="15"/>
  <c r="L102" i="15" s="1"/>
  <c r="M102" i="15" s="1"/>
  <c r="C101" i="15"/>
  <c r="L101" i="15" s="1"/>
  <c r="M101" i="15" s="1"/>
  <c r="C100" i="15"/>
  <c r="L100" i="15" s="1"/>
  <c r="C96" i="15"/>
  <c r="L96" i="15" s="1"/>
  <c r="M96" i="15" s="1"/>
  <c r="C95" i="15"/>
  <c r="L95" i="15" s="1"/>
  <c r="C91" i="15"/>
  <c r="L91" i="15" s="1"/>
  <c r="M91" i="15" s="1"/>
  <c r="C90" i="15"/>
  <c r="L90" i="15" s="1"/>
  <c r="M90" i="15" s="1"/>
  <c r="C89" i="15"/>
  <c r="L89" i="15" s="1"/>
  <c r="C85" i="15"/>
  <c r="L85" i="15" s="1"/>
  <c r="M85" i="15" s="1"/>
  <c r="C84" i="15"/>
  <c r="L84" i="15" s="1"/>
  <c r="M84" i="15" s="1"/>
  <c r="C83" i="15"/>
  <c r="L83" i="15" s="1"/>
  <c r="C79" i="15"/>
  <c r="L79" i="15" s="1"/>
  <c r="M79" i="15" s="1"/>
  <c r="C78" i="15"/>
  <c r="L78" i="15" s="1"/>
  <c r="M78" i="15" s="1"/>
  <c r="C77" i="15"/>
  <c r="L77" i="15" s="1"/>
  <c r="M77" i="15" s="1"/>
  <c r="C76" i="15"/>
  <c r="L76" i="15" s="1"/>
  <c r="C72" i="15"/>
  <c r="L72" i="15" s="1"/>
  <c r="M72" i="15" s="1"/>
  <c r="C71" i="15"/>
  <c r="L71" i="15" s="1"/>
  <c r="C67" i="15"/>
  <c r="L67" i="15" s="1"/>
  <c r="M67" i="15" s="1"/>
  <c r="C66" i="15"/>
  <c r="L66" i="15" s="1"/>
  <c r="M66" i="15" s="1"/>
  <c r="C65" i="15"/>
  <c r="L65" i="15" s="1"/>
  <c r="C61" i="15"/>
  <c r="L61" i="15" s="1"/>
  <c r="M61" i="15" s="1"/>
  <c r="C60" i="15"/>
  <c r="L60" i="15" s="1"/>
  <c r="M60" i="15" s="1"/>
  <c r="C59" i="15"/>
  <c r="L59" i="15" s="1"/>
  <c r="M59" i="15" s="1"/>
  <c r="C58" i="15"/>
  <c r="L58" i="15" s="1"/>
  <c r="C54" i="15"/>
  <c r="L54" i="15" s="1"/>
  <c r="M54" i="15" s="1"/>
  <c r="C53" i="15"/>
  <c r="L53" i="15" s="1"/>
  <c r="M53" i="15" s="1"/>
  <c r="C52" i="15"/>
  <c r="L52" i="15" s="1"/>
  <c r="M52" i="15" s="1"/>
  <c r="C51" i="15"/>
  <c r="L51" i="15" s="1"/>
  <c r="C47" i="15"/>
  <c r="L47" i="15" s="1"/>
  <c r="M47" i="15" s="1"/>
  <c r="C46" i="15"/>
  <c r="L46" i="15" s="1"/>
  <c r="C42" i="15"/>
  <c r="L42" i="15" s="1"/>
  <c r="M42" i="15" s="1"/>
  <c r="C41" i="15"/>
  <c r="L41" i="15" s="1"/>
  <c r="M41" i="15" s="1"/>
  <c r="C40" i="15"/>
  <c r="L40" i="15" s="1"/>
  <c r="C36" i="15"/>
  <c r="L36" i="15" s="1"/>
  <c r="M36" i="15" s="1"/>
  <c r="C35" i="15"/>
  <c r="L35" i="15" s="1"/>
  <c r="C31" i="15"/>
  <c r="L31" i="15" s="1"/>
  <c r="M31" i="15" s="1"/>
  <c r="C30" i="15"/>
  <c r="L30" i="15" s="1"/>
  <c r="M30" i="15" s="1"/>
  <c r="C29" i="15"/>
  <c r="L29" i="15" s="1"/>
  <c r="C25" i="15"/>
  <c r="L25" i="15" s="1"/>
  <c r="M25" i="15" s="1"/>
  <c r="C24" i="15"/>
  <c r="L24" i="15" s="1"/>
  <c r="M24" i="15" s="1"/>
  <c r="C23" i="15"/>
  <c r="L23" i="15" s="1"/>
  <c r="C19" i="15"/>
  <c r="L19" i="15" s="1"/>
  <c r="M19" i="15" s="1"/>
  <c r="C18" i="15"/>
  <c r="L18" i="15" s="1"/>
  <c r="C14" i="15"/>
  <c r="L14" i="15" s="1"/>
  <c r="M14" i="15" s="1"/>
  <c r="C13" i="15"/>
  <c r="L13" i="15" s="1"/>
  <c r="M13" i="15" s="1"/>
  <c r="C12" i="15"/>
  <c r="L12" i="15" s="1"/>
  <c r="C8" i="15"/>
  <c r="L8" i="15" s="1"/>
  <c r="M8" i="15" s="1"/>
  <c r="C7" i="15"/>
  <c r="L7" i="15" s="1"/>
  <c r="M7" i="15" s="1"/>
  <c r="C6" i="15"/>
  <c r="L6" i="15" s="1"/>
  <c r="C17" i="14"/>
  <c r="K17" i="14" s="1"/>
  <c r="L17" i="14" s="1"/>
  <c r="C16" i="14"/>
  <c r="K16" i="14" s="1"/>
  <c r="L16" i="14" s="1"/>
  <c r="C15" i="14"/>
  <c r="K15" i="14" s="1"/>
  <c r="L15" i="14" s="1"/>
  <c r="C10" i="14"/>
  <c r="K10" i="14" s="1"/>
  <c r="L10" i="14" s="1"/>
  <c r="C8" i="14"/>
  <c r="K8" i="14" s="1"/>
  <c r="L8" i="14" s="1"/>
  <c r="C6" i="14"/>
  <c r="K6" i="14" s="1"/>
  <c r="C50" i="11"/>
  <c r="C46" i="11"/>
  <c r="C42" i="11"/>
  <c r="C38" i="11"/>
  <c r="C34" i="11"/>
  <c r="C30" i="11"/>
  <c r="C26" i="11"/>
  <c r="C22" i="11"/>
  <c r="C18" i="11"/>
  <c r="C14" i="11"/>
  <c r="C10" i="11"/>
  <c r="C6" i="11"/>
  <c r="C6" i="10"/>
  <c r="K6" i="10" s="1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C15" i="12"/>
  <c r="K15" i="12" s="1"/>
  <c r="L15" i="12" s="1"/>
  <c r="C14" i="12"/>
  <c r="K14" i="12" s="1"/>
  <c r="L14" i="12" s="1"/>
  <c r="C13" i="12"/>
  <c r="K13" i="12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G5" i="7"/>
  <c r="N1016" i="5"/>
  <c r="N1008" i="5"/>
  <c r="N976" i="5"/>
  <c r="N973" i="5"/>
  <c r="N627" i="5"/>
  <c r="K6" i="4"/>
  <c r="H5" i="7"/>
  <c r="O1016" i="5"/>
  <c r="O1008" i="5"/>
  <c r="O976" i="5"/>
  <c r="O973" i="5"/>
  <c r="O627" i="5"/>
  <c r="I5" i="7"/>
  <c r="Q1016" i="5"/>
  <c r="Q1008" i="5"/>
  <c r="Q976" i="5"/>
  <c r="Q973" i="5"/>
  <c r="Q627" i="5"/>
  <c r="L6" i="4"/>
  <c r="G6" i="7"/>
  <c r="N703" i="5"/>
  <c r="K7" i="4"/>
  <c r="M7" i="4" s="1"/>
  <c r="N7" i="4" s="1"/>
  <c r="H6" i="7"/>
  <c r="O703" i="5"/>
  <c r="I6" i="7"/>
  <c r="Q703" i="5"/>
  <c r="L7" i="4"/>
  <c r="G7" i="7"/>
  <c r="N519" i="5"/>
  <c r="N518" i="5"/>
  <c r="K8" i="4"/>
  <c r="M8" i="4" s="1"/>
  <c r="N8" i="4" s="1"/>
  <c r="H7" i="7"/>
  <c r="O519" i="5"/>
  <c r="O518" i="5"/>
  <c r="I7" i="7"/>
  <c r="Q519" i="5"/>
  <c r="Q518" i="5"/>
  <c r="L8" i="4"/>
  <c r="G8" i="7"/>
  <c r="N724" i="5"/>
  <c r="N110" i="5"/>
  <c r="K9" i="4"/>
  <c r="M9" i="4" s="1"/>
  <c r="H8" i="7"/>
  <c r="O724" i="5"/>
  <c r="O110" i="5"/>
  <c r="G9" i="7"/>
  <c r="N553" i="5"/>
  <c r="K10" i="4"/>
  <c r="M10" i="4" s="1"/>
  <c r="N10" i="4" s="1"/>
  <c r="H9" i="7"/>
  <c r="O553" i="5"/>
  <c r="I9" i="7"/>
  <c r="Q553" i="5"/>
  <c r="L10" i="4"/>
  <c r="G10" i="7"/>
  <c r="N602" i="5"/>
  <c r="K11" i="4"/>
  <c r="M11" i="4" s="1"/>
  <c r="N11" i="4" s="1"/>
  <c r="H10" i="7"/>
  <c r="O602" i="5"/>
  <c r="I10" i="7"/>
  <c r="Q602" i="5"/>
  <c r="L11" i="4"/>
  <c r="G11" i="7"/>
  <c r="N725" i="5"/>
  <c r="N683" i="5"/>
  <c r="N450" i="5"/>
  <c r="N449" i="5"/>
  <c r="N396" i="5"/>
  <c r="N395" i="5"/>
  <c r="N390" i="5"/>
  <c r="N381" i="5"/>
  <c r="N380" i="5"/>
  <c r="N379" i="5"/>
  <c r="N378" i="5"/>
  <c r="N366" i="5"/>
  <c r="N331" i="5"/>
  <c r="N210" i="5"/>
  <c r="N111" i="5"/>
  <c r="K12" i="4"/>
  <c r="M12" i="4" s="1"/>
  <c r="N12" i="4" s="1"/>
  <c r="H11" i="7"/>
  <c r="O725" i="5"/>
  <c r="O683" i="5"/>
  <c r="O450" i="5"/>
  <c r="O449" i="5"/>
  <c r="O396" i="5"/>
  <c r="O395" i="5"/>
  <c r="O390" i="5"/>
  <c r="O381" i="5"/>
  <c r="O380" i="5"/>
  <c r="O379" i="5"/>
  <c r="O378" i="5"/>
  <c r="O366" i="5"/>
  <c r="O331" i="5"/>
  <c r="O210" i="5"/>
  <c r="O111" i="5"/>
  <c r="I11" i="7"/>
  <c r="Q725" i="5"/>
  <c r="Q683" i="5"/>
  <c r="Q450" i="5"/>
  <c r="Q449" i="5"/>
  <c r="Q396" i="5"/>
  <c r="Q395" i="5"/>
  <c r="Q390" i="5"/>
  <c r="Q381" i="5"/>
  <c r="Q380" i="5"/>
  <c r="Q379" i="5"/>
  <c r="Q378" i="5"/>
  <c r="Q366" i="5"/>
  <c r="Q331" i="5"/>
  <c r="Q210" i="5"/>
  <c r="Q111" i="5"/>
  <c r="L12" i="4"/>
  <c r="G12" i="7"/>
  <c r="N1036" i="5"/>
  <c r="N1034" i="5"/>
  <c r="N1032" i="5"/>
  <c r="N1022" i="5"/>
  <c r="N1019" i="5"/>
  <c r="N1018" i="5"/>
  <c r="N1017" i="5"/>
  <c r="N1015" i="5"/>
  <c r="N1014" i="5"/>
  <c r="N1004" i="5"/>
  <c r="N987" i="5"/>
  <c r="N986" i="5"/>
  <c r="N980" i="5"/>
  <c r="N972" i="5"/>
  <c r="N971" i="5"/>
  <c r="N970" i="5"/>
  <c r="N969" i="5"/>
  <c r="N555" i="5"/>
  <c r="N535" i="5"/>
  <c r="N521" i="5"/>
  <c r="N520" i="5"/>
  <c r="N517" i="5"/>
  <c r="N512" i="5"/>
  <c r="N499" i="5"/>
  <c r="N489" i="5"/>
  <c r="K13" i="4"/>
  <c r="M13" i="4" s="1"/>
  <c r="N13" i="4" s="1"/>
  <c r="H12" i="7"/>
  <c r="O1036" i="5"/>
  <c r="O1034" i="5"/>
  <c r="O1032" i="5"/>
  <c r="O1022" i="5"/>
  <c r="O1019" i="5"/>
  <c r="O1018" i="5"/>
  <c r="O1017" i="5"/>
  <c r="O1015" i="5"/>
  <c r="O1014" i="5"/>
  <c r="O1004" i="5"/>
  <c r="O987" i="5"/>
  <c r="O986" i="5"/>
  <c r="O980" i="5"/>
  <c r="O972" i="5"/>
  <c r="O971" i="5"/>
  <c r="O970" i="5"/>
  <c r="O969" i="5"/>
  <c r="O555" i="5"/>
  <c r="O535" i="5"/>
  <c r="O521" i="5"/>
  <c r="O520" i="5"/>
  <c r="O517" i="5"/>
  <c r="O512" i="5"/>
  <c r="O499" i="5"/>
  <c r="O489" i="5"/>
  <c r="I12" i="7"/>
  <c r="Q1036" i="5"/>
  <c r="Q1034" i="5"/>
  <c r="Q1032" i="5"/>
  <c r="Q1022" i="5"/>
  <c r="Q1019" i="5"/>
  <c r="Q1018" i="5"/>
  <c r="Q1017" i="5"/>
  <c r="Q1015" i="5"/>
  <c r="Q1014" i="5"/>
  <c r="Q1004" i="5"/>
  <c r="Q987" i="5"/>
  <c r="Q986" i="5"/>
  <c r="Q980" i="5"/>
  <c r="Q972" i="5"/>
  <c r="Q971" i="5"/>
  <c r="Q970" i="5"/>
  <c r="Q969" i="5"/>
  <c r="Q555" i="5"/>
  <c r="Q535" i="5"/>
  <c r="Q521" i="5"/>
  <c r="Q520" i="5"/>
  <c r="Q517" i="5"/>
  <c r="Q512" i="5"/>
  <c r="Q499" i="5"/>
  <c r="Q489" i="5"/>
  <c r="L13" i="4"/>
  <c r="G13" i="7"/>
  <c r="N1075" i="5"/>
  <c r="N1042" i="5"/>
  <c r="K14" i="4"/>
  <c r="M14" i="4" s="1"/>
  <c r="N14" i="4" s="1"/>
  <c r="H13" i="7"/>
  <c r="O1075" i="5"/>
  <c r="O1042" i="5"/>
  <c r="I13" i="7"/>
  <c r="Q1075" i="5"/>
  <c r="Q1042" i="5"/>
  <c r="L14" i="4"/>
  <c r="G14" i="7"/>
  <c r="N726" i="5"/>
  <c r="K15" i="4"/>
  <c r="M15" i="4" s="1"/>
  <c r="H14" i="7"/>
  <c r="O726" i="5"/>
  <c r="G15" i="7"/>
  <c r="N633" i="5"/>
  <c r="N632" i="5"/>
  <c r="N631" i="5"/>
  <c r="N630" i="5"/>
  <c r="K16" i="4"/>
  <c r="M16" i="4" s="1"/>
  <c r="N16" i="4" s="1"/>
  <c r="H15" i="7"/>
  <c r="O633" i="5"/>
  <c r="O632" i="5"/>
  <c r="O631" i="5"/>
  <c r="O630" i="5"/>
  <c r="I15" i="7"/>
  <c r="Q633" i="5"/>
  <c r="Q632" i="5"/>
  <c r="Q631" i="5"/>
  <c r="Q630" i="5"/>
  <c r="L16" i="4"/>
  <c r="G16" i="7"/>
  <c r="N687" i="5"/>
  <c r="N654" i="5"/>
  <c r="N267" i="5"/>
  <c r="K17" i="4"/>
  <c r="M17" i="4" s="1"/>
  <c r="N17" i="4" s="1"/>
  <c r="H16" i="7"/>
  <c r="O687" i="5"/>
  <c r="O654" i="5"/>
  <c r="O267" i="5"/>
  <c r="I16" i="7"/>
  <c r="Q687" i="5"/>
  <c r="Q654" i="5"/>
  <c r="Q267" i="5"/>
  <c r="L17" i="4"/>
  <c r="G17" i="7"/>
  <c r="N1005" i="5"/>
  <c r="N979" i="5"/>
  <c r="N563" i="5"/>
  <c r="N562" i="5"/>
  <c r="N561" i="5"/>
  <c r="N560" i="5"/>
  <c r="N559" i="5"/>
  <c r="N558" i="5"/>
  <c r="N557" i="5"/>
  <c r="N552" i="5"/>
  <c r="N551" i="5"/>
  <c r="N550" i="5"/>
  <c r="N548" i="5"/>
  <c r="N538" i="5"/>
  <c r="N537" i="5"/>
  <c r="N534" i="5"/>
  <c r="N533" i="5"/>
  <c r="N532" i="5"/>
  <c r="N531" i="5"/>
  <c r="N529" i="5"/>
  <c r="N528" i="5"/>
  <c r="N527" i="5"/>
  <c r="N526" i="5"/>
  <c r="N501" i="5"/>
  <c r="N500" i="5"/>
  <c r="N498" i="5"/>
  <c r="N497" i="5"/>
  <c r="N496" i="5"/>
  <c r="N495" i="5"/>
  <c r="N488" i="5"/>
  <c r="K18" i="4"/>
  <c r="M18" i="4" s="1"/>
  <c r="N18" i="4" s="1"/>
  <c r="H17" i="7"/>
  <c r="O1005" i="5"/>
  <c r="O979" i="5"/>
  <c r="O563" i="5"/>
  <c r="O562" i="5"/>
  <c r="O561" i="5"/>
  <c r="O560" i="5"/>
  <c r="O559" i="5"/>
  <c r="O558" i="5"/>
  <c r="O557" i="5"/>
  <c r="O552" i="5"/>
  <c r="O551" i="5"/>
  <c r="O550" i="5"/>
  <c r="O548" i="5"/>
  <c r="O538" i="5"/>
  <c r="O537" i="5"/>
  <c r="O534" i="5"/>
  <c r="O533" i="5"/>
  <c r="O532" i="5"/>
  <c r="O531" i="5"/>
  <c r="O529" i="5"/>
  <c r="O528" i="5"/>
  <c r="O527" i="5"/>
  <c r="O526" i="5"/>
  <c r="O501" i="5"/>
  <c r="O500" i="5"/>
  <c r="O498" i="5"/>
  <c r="O497" i="5"/>
  <c r="O496" i="5"/>
  <c r="O495" i="5"/>
  <c r="O488" i="5"/>
  <c r="I17" i="7"/>
  <c r="Q1005" i="5"/>
  <c r="Q979" i="5"/>
  <c r="Q563" i="5"/>
  <c r="Q562" i="5"/>
  <c r="Q561" i="5"/>
  <c r="Q560" i="5"/>
  <c r="Q559" i="5"/>
  <c r="Q558" i="5"/>
  <c r="Q557" i="5"/>
  <c r="Q552" i="5"/>
  <c r="Q551" i="5"/>
  <c r="Q550" i="5"/>
  <c r="Q548" i="5"/>
  <c r="Q538" i="5"/>
  <c r="Q537" i="5"/>
  <c r="Q534" i="5"/>
  <c r="Q533" i="5"/>
  <c r="Q532" i="5"/>
  <c r="Q531" i="5"/>
  <c r="Q529" i="5"/>
  <c r="Q528" i="5"/>
  <c r="Q527" i="5"/>
  <c r="Q526" i="5"/>
  <c r="Q501" i="5"/>
  <c r="Q500" i="5"/>
  <c r="Q498" i="5"/>
  <c r="Q497" i="5"/>
  <c r="Q496" i="5"/>
  <c r="Q495" i="5"/>
  <c r="Q488" i="5"/>
  <c r="L18" i="4"/>
  <c r="G18" i="7"/>
  <c r="N176" i="5"/>
  <c r="K19" i="4"/>
  <c r="M19" i="4" s="1"/>
  <c r="N19" i="4" s="1"/>
  <c r="H18" i="7"/>
  <c r="O176" i="5"/>
  <c r="I18" i="7"/>
  <c r="Q176" i="5"/>
  <c r="L19" i="4"/>
  <c r="G19" i="7"/>
  <c r="N1050" i="5"/>
  <c r="N1049" i="5"/>
  <c r="K20" i="4"/>
  <c r="M20" i="4" s="1"/>
  <c r="N20" i="4" s="1"/>
  <c r="H19" i="7"/>
  <c r="O1050" i="5"/>
  <c r="O1049" i="5"/>
  <c r="I19" i="7"/>
  <c r="Q1050" i="5"/>
  <c r="Q1049" i="5"/>
  <c r="L20" i="4"/>
  <c r="G20" i="7"/>
  <c r="N1223" i="5"/>
  <c r="N1220" i="5"/>
  <c r="N1212" i="5"/>
  <c r="N1209" i="5"/>
  <c r="N1208" i="5"/>
  <c r="N1170" i="5"/>
  <c r="N1167" i="5"/>
  <c r="N1163" i="5"/>
  <c r="N1160" i="5"/>
  <c r="N1156" i="5"/>
  <c r="N1153" i="5"/>
  <c r="N1054" i="5"/>
  <c r="N1052" i="5"/>
  <c r="N946" i="5"/>
  <c r="N937" i="5"/>
  <c r="N931" i="5"/>
  <c r="N925" i="5"/>
  <c r="N912" i="5"/>
  <c r="N904" i="5"/>
  <c r="N898" i="5"/>
  <c r="N884" i="5"/>
  <c r="N878" i="5"/>
  <c r="N872" i="5"/>
  <c r="N866" i="5"/>
  <c r="N854" i="5"/>
  <c r="N846" i="5"/>
  <c r="N835" i="5"/>
  <c r="N820" i="5"/>
  <c r="N818" i="5"/>
  <c r="N816" i="5"/>
  <c r="N813" i="5"/>
  <c r="N810" i="5"/>
  <c r="N790" i="5"/>
  <c r="N786" i="5"/>
  <c r="N757" i="5"/>
  <c r="N755" i="5"/>
  <c r="N749" i="5"/>
  <c r="N744" i="5"/>
  <c r="N743" i="5"/>
  <c r="N718" i="5"/>
  <c r="N708" i="5"/>
  <c r="N699" i="5"/>
  <c r="N693" i="5"/>
  <c r="N671" i="5"/>
  <c r="N657" i="5"/>
  <c r="N317" i="5"/>
  <c r="N312" i="5"/>
  <c r="N307" i="5"/>
  <c r="N301" i="5"/>
  <c r="N295" i="5"/>
  <c r="N289" i="5"/>
  <c r="N238" i="5"/>
  <c r="N236" i="5"/>
  <c r="N234" i="5"/>
  <c r="N232" i="5"/>
  <c r="N205" i="5"/>
  <c r="N201" i="5"/>
  <c r="N195" i="5"/>
  <c r="N189" i="5"/>
  <c r="N183" i="5"/>
  <c r="N141" i="5"/>
  <c r="N140" i="5"/>
  <c r="N79" i="5"/>
  <c r="N77" i="5"/>
  <c r="N75" i="5"/>
  <c r="N73" i="5"/>
  <c r="N71" i="5"/>
  <c r="N69" i="5"/>
  <c r="N53" i="5"/>
  <c r="N51" i="5"/>
  <c r="N49" i="5"/>
  <c r="N47" i="5"/>
  <c r="N45" i="5"/>
  <c r="N34" i="5"/>
  <c r="N31" i="5"/>
  <c r="N25" i="5"/>
  <c r="N19" i="5"/>
  <c r="N11" i="5"/>
  <c r="K21" i="4"/>
  <c r="M21" i="4" s="1"/>
  <c r="N21" i="4" s="1"/>
  <c r="H20" i="7"/>
  <c r="O1223" i="5"/>
  <c r="O1220" i="5"/>
  <c r="O1212" i="5"/>
  <c r="O1209" i="5"/>
  <c r="O1208" i="5"/>
  <c r="O1170" i="5"/>
  <c r="O1167" i="5"/>
  <c r="O1163" i="5"/>
  <c r="O1160" i="5"/>
  <c r="O1156" i="5"/>
  <c r="O1153" i="5"/>
  <c r="O1054" i="5"/>
  <c r="O1052" i="5"/>
  <c r="O946" i="5"/>
  <c r="O937" i="5"/>
  <c r="O931" i="5"/>
  <c r="O925" i="5"/>
  <c r="O912" i="5"/>
  <c r="O904" i="5"/>
  <c r="O898" i="5"/>
  <c r="O884" i="5"/>
  <c r="O878" i="5"/>
  <c r="O872" i="5"/>
  <c r="O866" i="5"/>
  <c r="O854" i="5"/>
  <c r="O846" i="5"/>
  <c r="O835" i="5"/>
  <c r="O820" i="5"/>
  <c r="O818" i="5"/>
  <c r="O816" i="5"/>
  <c r="O813" i="5"/>
  <c r="O810" i="5"/>
  <c r="O790" i="5"/>
  <c r="O786" i="5"/>
  <c r="O757" i="5"/>
  <c r="O755" i="5"/>
  <c r="O749" i="5"/>
  <c r="O744" i="5"/>
  <c r="O743" i="5"/>
  <c r="O718" i="5"/>
  <c r="O708" i="5"/>
  <c r="O699" i="5"/>
  <c r="O693" i="5"/>
  <c r="O671" i="5"/>
  <c r="O657" i="5"/>
  <c r="O317" i="5"/>
  <c r="O312" i="5"/>
  <c r="O307" i="5"/>
  <c r="O301" i="5"/>
  <c r="O295" i="5"/>
  <c r="O289" i="5"/>
  <c r="O238" i="5"/>
  <c r="O236" i="5"/>
  <c r="O234" i="5"/>
  <c r="O232" i="5"/>
  <c r="O205" i="5"/>
  <c r="O201" i="5"/>
  <c r="O195" i="5"/>
  <c r="O189" i="5"/>
  <c r="O183" i="5"/>
  <c r="O141" i="5"/>
  <c r="O140" i="5"/>
  <c r="O79" i="5"/>
  <c r="O77" i="5"/>
  <c r="O75" i="5"/>
  <c r="O73" i="5"/>
  <c r="O71" i="5"/>
  <c r="O69" i="5"/>
  <c r="O53" i="5"/>
  <c r="O51" i="5"/>
  <c r="O49" i="5"/>
  <c r="O47" i="5"/>
  <c r="O45" i="5"/>
  <c r="O34" i="5"/>
  <c r="O31" i="5"/>
  <c r="O25" i="5"/>
  <c r="O19" i="5"/>
  <c r="O11" i="5"/>
  <c r="I20" i="7"/>
  <c r="Q1223" i="5"/>
  <c r="Q1220" i="5"/>
  <c r="Q1212" i="5"/>
  <c r="Q1209" i="5"/>
  <c r="Q1208" i="5"/>
  <c r="Q1170" i="5"/>
  <c r="Q1167" i="5"/>
  <c r="Q1163" i="5"/>
  <c r="Q1160" i="5"/>
  <c r="Q1156" i="5"/>
  <c r="Q1153" i="5"/>
  <c r="Q1054" i="5"/>
  <c r="Q1052" i="5"/>
  <c r="Q946" i="5"/>
  <c r="Q937" i="5"/>
  <c r="Q931" i="5"/>
  <c r="Q925" i="5"/>
  <c r="Q912" i="5"/>
  <c r="Q904" i="5"/>
  <c r="Q898" i="5"/>
  <c r="Q884" i="5"/>
  <c r="Q878" i="5"/>
  <c r="Q872" i="5"/>
  <c r="Q866" i="5"/>
  <c r="Q854" i="5"/>
  <c r="Q846" i="5"/>
  <c r="Q835" i="5"/>
  <c r="Q820" i="5"/>
  <c r="Q818" i="5"/>
  <c r="Q816" i="5"/>
  <c r="Q813" i="5"/>
  <c r="Q810" i="5"/>
  <c r="Q790" i="5"/>
  <c r="Q786" i="5"/>
  <c r="Q757" i="5"/>
  <c r="Q755" i="5"/>
  <c r="Q749" i="5"/>
  <c r="Q744" i="5"/>
  <c r="Q743" i="5"/>
  <c r="Q718" i="5"/>
  <c r="Q708" i="5"/>
  <c r="Q699" i="5"/>
  <c r="Q693" i="5"/>
  <c r="Q671" i="5"/>
  <c r="Q657" i="5"/>
  <c r="Q317" i="5"/>
  <c r="Q312" i="5"/>
  <c r="Q307" i="5"/>
  <c r="Q301" i="5"/>
  <c r="Q295" i="5"/>
  <c r="Q289" i="5"/>
  <c r="Q238" i="5"/>
  <c r="Q236" i="5"/>
  <c r="Q234" i="5"/>
  <c r="Q232" i="5"/>
  <c r="Q205" i="5"/>
  <c r="Q201" i="5"/>
  <c r="Q195" i="5"/>
  <c r="Q189" i="5"/>
  <c r="Q183" i="5"/>
  <c r="Q141" i="5"/>
  <c r="Q140" i="5"/>
  <c r="Q79" i="5"/>
  <c r="Q77" i="5"/>
  <c r="Q75" i="5"/>
  <c r="Q73" i="5"/>
  <c r="Q71" i="5"/>
  <c r="Q69" i="5"/>
  <c r="Q53" i="5"/>
  <c r="Q51" i="5"/>
  <c r="Q49" i="5"/>
  <c r="Q47" i="5"/>
  <c r="Q45" i="5"/>
  <c r="Q34" i="5"/>
  <c r="Q31" i="5"/>
  <c r="Q25" i="5"/>
  <c r="Q19" i="5"/>
  <c r="Q11" i="5"/>
  <c r="L21" i="4"/>
  <c r="G21" i="7"/>
  <c r="N996" i="5"/>
  <c r="N995" i="5"/>
  <c r="N624" i="5"/>
  <c r="N623" i="5"/>
  <c r="K22" i="4"/>
  <c r="M22" i="4" s="1"/>
  <c r="N22" i="4" s="1"/>
  <c r="H21" i="7"/>
  <c r="O996" i="5"/>
  <c r="O995" i="5"/>
  <c r="O624" i="5"/>
  <c r="O623" i="5"/>
  <c r="I21" i="7"/>
  <c r="Q996" i="5"/>
  <c r="Q995" i="5"/>
  <c r="Q624" i="5"/>
  <c r="Q623" i="5"/>
  <c r="L22" i="4"/>
  <c r="G22" i="7"/>
  <c r="N947" i="5"/>
  <c r="N938" i="5"/>
  <c r="N932" i="5"/>
  <c r="N926" i="5"/>
  <c r="N913" i="5"/>
  <c r="N905" i="5"/>
  <c r="N899" i="5"/>
  <c r="N885" i="5"/>
  <c r="N879" i="5"/>
  <c r="N873" i="5"/>
  <c r="N867" i="5"/>
  <c r="N855" i="5"/>
  <c r="N847" i="5"/>
  <c r="N836" i="5"/>
  <c r="N719" i="5"/>
  <c r="N709" i="5"/>
  <c r="N700" i="5"/>
  <c r="N694" i="5"/>
  <c r="N672" i="5"/>
  <c r="N658" i="5"/>
  <c r="N318" i="5"/>
  <c r="N313" i="5"/>
  <c r="N308" i="5"/>
  <c r="N302" i="5"/>
  <c r="N296" i="5"/>
  <c r="N290" i="5"/>
  <c r="N239" i="5"/>
  <c r="N237" i="5"/>
  <c r="N235" i="5"/>
  <c r="N233" i="5"/>
  <c r="N206" i="5"/>
  <c r="N202" i="5"/>
  <c r="N196" i="5"/>
  <c r="N190" i="5"/>
  <c r="N184" i="5"/>
  <c r="N80" i="5"/>
  <c r="N78" i="5"/>
  <c r="N76" i="5"/>
  <c r="N74" i="5"/>
  <c r="N72" i="5"/>
  <c r="N70" i="5"/>
  <c r="N54" i="5"/>
  <c r="N52" i="5"/>
  <c r="N50" i="5"/>
  <c r="N48" i="5"/>
  <c r="N46" i="5"/>
  <c r="N32" i="5"/>
  <c r="N26" i="5"/>
  <c r="N20" i="5"/>
  <c r="N12" i="5"/>
  <c r="K23" i="4"/>
  <c r="M23" i="4" s="1"/>
  <c r="H22" i="7"/>
  <c r="O947" i="5"/>
  <c r="O938" i="5"/>
  <c r="O932" i="5"/>
  <c r="O926" i="5"/>
  <c r="O913" i="5"/>
  <c r="O905" i="5"/>
  <c r="O899" i="5"/>
  <c r="O885" i="5"/>
  <c r="O879" i="5"/>
  <c r="O873" i="5"/>
  <c r="O867" i="5"/>
  <c r="O855" i="5"/>
  <c r="O847" i="5"/>
  <c r="O836" i="5"/>
  <c r="O719" i="5"/>
  <c r="O709" i="5"/>
  <c r="O700" i="5"/>
  <c r="O694" i="5"/>
  <c r="O672" i="5"/>
  <c r="O658" i="5"/>
  <c r="O318" i="5"/>
  <c r="O313" i="5"/>
  <c r="O308" i="5"/>
  <c r="O302" i="5"/>
  <c r="O296" i="5"/>
  <c r="O290" i="5"/>
  <c r="O239" i="5"/>
  <c r="O237" i="5"/>
  <c r="O235" i="5"/>
  <c r="O233" i="5"/>
  <c r="O206" i="5"/>
  <c r="O202" i="5"/>
  <c r="O196" i="5"/>
  <c r="O190" i="5"/>
  <c r="O184" i="5"/>
  <c r="O80" i="5"/>
  <c r="O78" i="5"/>
  <c r="O76" i="5"/>
  <c r="O74" i="5"/>
  <c r="O72" i="5"/>
  <c r="O70" i="5"/>
  <c r="O54" i="5"/>
  <c r="O52" i="5"/>
  <c r="O50" i="5"/>
  <c r="O48" i="5"/>
  <c r="O46" i="5"/>
  <c r="O32" i="5"/>
  <c r="O26" i="5"/>
  <c r="O20" i="5"/>
  <c r="O12" i="5"/>
  <c r="G23" i="7"/>
  <c r="N1226" i="5"/>
  <c r="N1214" i="5"/>
  <c r="N823" i="5"/>
  <c r="N803" i="5"/>
  <c r="N777" i="5"/>
  <c r="N775" i="5"/>
  <c r="N677" i="5"/>
  <c r="N374" i="5"/>
  <c r="N346" i="5"/>
  <c r="N277" i="5"/>
  <c r="N258" i="5"/>
  <c r="N163" i="5"/>
  <c r="N157" i="5"/>
  <c r="N146" i="5"/>
  <c r="N132" i="5"/>
  <c r="N121" i="5"/>
  <c r="N99" i="5"/>
  <c r="N5" i="5"/>
  <c r="K24" i="4"/>
  <c r="M24" i="4" s="1"/>
  <c r="N24" i="4" s="1"/>
  <c r="H23" i="7"/>
  <c r="O1226" i="5"/>
  <c r="O1214" i="5"/>
  <c r="O823" i="5"/>
  <c r="O803" i="5"/>
  <c r="O777" i="5"/>
  <c r="O775" i="5"/>
  <c r="O677" i="5"/>
  <c r="O374" i="5"/>
  <c r="O346" i="5"/>
  <c r="O277" i="5"/>
  <c r="O258" i="5"/>
  <c r="O163" i="5"/>
  <c r="O157" i="5"/>
  <c r="O146" i="5"/>
  <c r="O132" i="5"/>
  <c r="O121" i="5"/>
  <c r="O99" i="5"/>
  <c r="O5" i="5"/>
  <c r="I23" i="7"/>
  <c r="Q1226" i="5"/>
  <c r="Q1214" i="5"/>
  <c r="Q823" i="5"/>
  <c r="Q803" i="5"/>
  <c r="Q777" i="5"/>
  <c r="Q775" i="5"/>
  <c r="Q677" i="5"/>
  <c r="Q374" i="5"/>
  <c r="Q346" i="5"/>
  <c r="Q277" i="5"/>
  <c r="Q258" i="5"/>
  <c r="Q163" i="5"/>
  <c r="Q157" i="5"/>
  <c r="Q146" i="5"/>
  <c r="Q132" i="5"/>
  <c r="Q121" i="5"/>
  <c r="Q99" i="5"/>
  <c r="Q5" i="5"/>
  <c r="L24" i="4"/>
  <c r="G24" i="7"/>
  <c r="N1127" i="5"/>
  <c r="N1040" i="5"/>
  <c r="N968" i="5"/>
  <c r="N622" i="5"/>
  <c r="N619" i="5"/>
  <c r="N487" i="5"/>
  <c r="N486" i="5"/>
  <c r="K25" i="4"/>
  <c r="M25" i="4" s="1"/>
  <c r="N25" i="4" s="1"/>
  <c r="H24" i="7"/>
  <c r="O1127" i="5"/>
  <c r="O1040" i="5"/>
  <c r="O968" i="5"/>
  <c r="O622" i="5"/>
  <c r="O619" i="5"/>
  <c r="O487" i="5"/>
  <c r="O486" i="5"/>
  <c r="I24" i="7"/>
  <c r="Q1127" i="5"/>
  <c r="Q1040" i="5"/>
  <c r="Q968" i="5"/>
  <c r="Q622" i="5"/>
  <c r="Q619" i="5"/>
  <c r="Q487" i="5"/>
  <c r="Q486" i="5"/>
  <c r="L25" i="4"/>
  <c r="G25" i="7"/>
  <c r="N824" i="5"/>
  <c r="N259" i="5"/>
  <c r="N164" i="5"/>
  <c r="N100" i="5"/>
  <c r="K26" i="4"/>
  <c r="M26" i="4" s="1"/>
  <c r="H25" i="7"/>
  <c r="O824" i="5"/>
  <c r="O259" i="5"/>
  <c r="O164" i="5"/>
  <c r="O100" i="5"/>
  <c r="G26" i="7"/>
  <c r="N1041" i="5"/>
  <c r="K27" i="4"/>
  <c r="M27" i="4" s="1"/>
  <c r="H26" i="7"/>
  <c r="O1041" i="5"/>
  <c r="G27" i="7"/>
  <c r="N1215" i="5"/>
  <c r="N888" i="5"/>
  <c r="N804" i="5"/>
  <c r="N774" i="5"/>
  <c r="N771" i="5"/>
  <c r="N747" i="5"/>
  <c r="N655" i="5"/>
  <c r="N349" i="5"/>
  <c r="N281" i="5"/>
  <c r="N278" i="5"/>
  <c r="N161" i="5"/>
  <c r="N158" i="5"/>
  <c r="N147" i="5"/>
  <c r="N133" i="5"/>
  <c r="N122" i="5"/>
  <c r="K28" i="4"/>
  <c r="M28" i="4" s="1"/>
  <c r="N28" i="4" s="1"/>
  <c r="H27" i="7"/>
  <c r="O1215" i="5"/>
  <c r="O888" i="5"/>
  <c r="O804" i="5"/>
  <c r="O774" i="5"/>
  <c r="O771" i="5"/>
  <c r="O747" i="5"/>
  <c r="O655" i="5"/>
  <c r="O349" i="5"/>
  <c r="O281" i="5"/>
  <c r="O278" i="5"/>
  <c r="O161" i="5"/>
  <c r="O158" i="5"/>
  <c r="O147" i="5"/>
  <c r="O133" i="5"/>
  <c r="O122" i="5"/>
  <c r="I27" i="7"/>
  <c r="Q1215" i="5"/>
  <c r="Q888" i="5"/>
  <c r="Q804" i="5"/>
  <c r="Q774" i="5"/>
  <c r="Q771" i="5"/>
  <c r="Q747" i="5"/>
  <c r="Q655" i="5"/>
  <c r="Q349" i="5"/>
  <c r="Q281" i="5"/>
  <c r="Q278" i="5"/>
  <c r="Q161" i="5"/>
  <c r="Q158" i="5"/>
  <c r="Q147" i="5"/>
  <c r="Q133" i="5"/>
  <c r="Q122" i="5"/>
  <c r="L28" i="4"/>
  <c r="G28" i="7"/>
  <c r="N1026" i="5"/>
  <c r="N1012" i="5"/>
  <c r="N1003" i="5"/>
  <c r="N1000" i="5"/>
  <c r="N964" i="5"/>
  <c r="N625" i="5"/>
  <c r="N621" i="5"/>
  <c r="N620" i="5"/>
  <c r="N485" i="5"/>
  <c r="K29" i="4"/>
  <c r="M29" i="4" s="1"/>
  <c r="N29" i="4" s="1"/>
  <c r="H28" i="7"/>
  <c r="O1026" i="5"/>
  <c r="O1012" i="5"/>
  <c r="O1003" i="5"/>
  <c r="O1000" i="5"/>
  <c r="O964" i="5"/>
  <c r="O625" i="5"/>
  <c r="O621" i="5"/>
  <c r="O620" i="5"/>
  <c r="O485" i="5"/>
  <c r="I28" i="7"/>
  <c r="Q1026" i="5"/>
  <c r="Q1012" i="5"/>
  <c r="Q1003" i="5"/>
  <c r="Q1000" i="5"/>
  <c r="Q964" i="5"/>
  <c r="Q625" i="5"/>
  <c r="Q621" i="5"/>
  <c r="Q620" i="5"/>
  <c r="Q485" i="5"/>
  <c r="L29" i="4"/>
  <c r="G29" i="7"/>
  <c r="N599" i="5"/>
  <c r="K30" i="4"/>
  <c r="M30" i="4" s="1"/>
  <c r="N30" i="4" s="1"/>
  <c r="H29" i="7"/>
  <c r="O599" i="5"/>
  <c r="I29" i="7"/>
  <c r="Q599" i="5"/>
  <c r="L30" i="4"/>
  <c r="G30" i="7"/>
  <c r="N889" i="5"/>
  <c r="N282" i="5"/>
  <c r="N162" i="5"/>
  <c r="K31" i="4"/>
  <c r="M31" i="4" s="1"/>
  <c r="H30" i="7"/>
  <c r="O889" i="5"/>
  <c r="O282" i="5"/>
  <c r="O162" i="5"/>
  <c r="G31" i="7"/>
  <c r="N1134" i="5"/>
  <c r="N1133" i="5"/>
  <c r="K32" i="4"/>
  <c r="M32" i="4" s="1"/>
  <c r="N32" i="4" s="1"/>
  <c r="H31" i="7"/>
  <c r="O1134" i="5"/>
  <c r="O1133" i="5"/>
  <c r="I31" i="7"/>
  <c r="Q1134" i="5"/>
  <c r="Q1133" i="5"/>
  <c r="L32" i="4"/>
  <c r="G32" i="7"/>
  <c r="N1218" i="5"/>
  <c r="N1204" i="5"/>
  <c r="N1141" i="5"/>
  <c r="N939" i="5"/>
  <c r="N918" i="5"/>
  <c r="N839" i="5"/>
  <c r="N795" i="5"/>
  <c r="N791" i="5"/>
  <c r="N763" i="5"/>
  <c r="N758" i="5"/>
  <c r="N742" i="5"/>
  <c r="N741" i="5"/>
  <c r="N730" i="5"/>
  <c r="N728" i="5"/>
  <c r="N665" i="5"/>
  <c r="N340" i="5"/>
  <c r="N339" i="5"/>
  <c r="N322" i="5"/>
  <c r="N271" i="5"/>
  <c r="N270" i="5"/>
  <c r="N213" i="5"/>
  <c r="N207" i="5"/>
  <c r="N151" i="5"/>
  <c r="N150" i="5"/>
  <c r="N137" i="5"/>
  <c r="N136" i="5"/>
  <c r="N126" i="5"/>
  <c r="N125" i="5"/>
  <c r="N115" i="5"/>
  <c r="N114" i="5"/>
  <c r="N42" i="5"/>
  <c r="N36" i="5"/>
  <c r="K33" i="4"/>
  <c r="M33" i="4" s="1"/>
  <c r="N33" i="4" s="1"/>
  <c r="H32" i="7"/>
  <c r="O1218" i="5"/>
  <c r="O1204" i="5"/>
  <c r="O1141" i="5"/>
  <c r="O939" i="5"/>
  <c r="O918" i="5"/>
  <c r="O839" i="5"/>
  <c r="O795" i="5"/>
  <c r="O791" i="5"/>
  <c r="O763" i="5"/>
  <c r="O758" i="5"/>
  <c r="O742" i="5"/>
  <c r="O741" i="5"/>
  <c r="O730" i="5"/>
  <c r="O728" i="5"/>
  <c r="O665" i="5"/>
  <c r="O340" i="5"/>
  <c r="O339" i="5"/>
  <c r="O322" i="5"/>
  <c r="O271" i="5"/>
  <c r="O270" i="5"/>
  <c r="O213" i="5"/>
  <c r="O207" i="5"/>
  <c r="O151" i="5"/>
  <c r="O150" i="5"/>
  <c r="O137" i="5"/>
  <c r="O136" i="5"/>
  <c r="O126" i="5"/>
  <c r="O125" i="5"/>
  <c r="O115" i="5"/>
  <c r="O114" i="5"/>
  <c r="O42" i="5"/>
  <c r="O36" i="5"/>
  <c r="I32" i="7"/>
  <c r="Q1218" i="5"/>
  <c r="Q1204" i="5"/>
  <c r="Q1141" i="5"/>
  <c r="Q939" i="5"/>
  <c r="Q918" i="5"/>
  <c r="Q839" i="5"/>
  <c r="Q795" i="5"/>
  <c r="Q791" i="5"/>
  <c r="Q763" i="5"/>
  <c r="Q758" i="5"/>
  <c r="Q742" i="5"/>
  <c r="Q741" i="5"/>
  <c r="Q730" i="5"/>
  <c r="Q728" i="5"/>
  <c r="Q665" i="5"/>
  <c r="Q340" i="5"/>
  <c r="Q339" i="5"/>
  <c r="Q322" i="5"/>
  <c r="Q271" i="5"/>
  <c r="Q270" i="5"/>
  <c r="Q213" i="5"/>
  <c r="Q207" i="5"/>
  <c r="Q151" i="5"/>
  <c r="Q150" i="5"/>
  <c r="Q137" i="5"/>
  <c r="Q136" i="5"/>
  <c r="Q126" i="5"/>
  <c r="Q125" i="5"/>
  <c r="Q115" i="5"/>
  <c r="Q114" i="5"/>
  <c r="Q42" i="5"/>
  <c r="Q36" i="5"/>
  <c r="L33" i="4"/>
  <c r="G33" i="7"/>
  <c r="N807" i="5"/>
  <c r="K34" i="4"/>
  <c r="M34" i="4" s="1"/>
  <c r="N34" i="4" s="1"/>
  <c r="H33" i="7"/>
  <c r="O807" i="5"/>
  <c r="I33" i="7"/>
  <c r="Q807" i="5"/>
  <c r="L34" i="4"/>
  <c r="G34" i="7"/>
  <c r="N1225" i="5"/>
  <c r="N1205" i="5"/>
  <c r="N1145" i="5"/>
  <c r="N1144" i="5"/>
  <c r="N1143" i="5"/>
  <c r="N1142" i="5"/>
  <c r="N797" i="5"/>
  <c r="N792" i="5"/>
  <c r="N765" i="5"/>
  <c r="N760" i="5"/>
  <c r="N727" i="5"/>
  <c r="N723" i="5"/>
  <c r="N722" i="5"/>
  <c r="N673" i="5"/>
  <c r="N324" i="5"/>
  <c r="N215" i="5"/>
  <c r="N209" i="5"/>
  <c r="N44" i="5"/>
  <c r="N38" i="5"/>
  <c r="K35" i="4"/>
  <c r="M35" i="4" s="1"/>
  <c r="N35" i="4" s="1"/>
  <c r="H34" i="7"/>
  <c r="O1225" i="5"/>
  <c r="O1205" i="5"/>
  <c r="O1145" i="5"/>
  <c r="O1144" i="5"/>
  <c r="O1143" i="5"/>
  <c r="O1142" i="5"/>
  <c r="O797" i="5"/>
  <c r="O792" i="5"/>
  <c r="O765" i="5"/>
  <c r="O760" i="5"/>
  <c r="O727" i="5"/>
  <c r="O723" i="5"/>
  <c r="O722" i="5"/>
  <c r="O673" i="5"/>
  <c r="O324" i="5"/>
  <c r="O215" i="5"/>
  <c r="O209" i="5"/>
  <c r="O44" i="5"/>
  <c r="O38" i="5"/>
  <c r="I34" i="7"/>
  <c r="Q1225" i="5"/>
  <c r="Q1205" i="5"/>
  <c r="Q1145" i="5"/>
  <c r="Q1144" i="5"/>
  <c r="Q1143" i="5"/>
  <c r="Q1142" i="5"/>
  <c r="Q797" i="5"/>
  <c r="Q792" i="5"/>
  <c r="Q765" i="5"/>
  <c r="Q760" i="5"/>
  <c r="Q727" i="5"/>
  <c r="Q723" i="5"/>
  <c r="Q722" i="5"/>
  <c r="Q673" i="5"/>
  <c r="Q324" i="5"/>
  <c r="Q215" i="5"/>
  <c r="Q209" i="5"/>
  <c r="Q44" i="5"/>
  <c r="Q38" i="5"/>
  <c r="L35" i="4"/>
  <c r="G35" i="7"/>
  <c r="N940" i="5"/>
  <c r="N919" i="5"/>
  <c r="N840" i="5"/>
  <c r="N731" i="5"/>
  <c r="N729" i="5"/>
  <c r="N666" i="5"/>
  <c r="N323" i="5"/>
  <c r="N214" i="5"/>
  <c r="N208" i="5"/>
  <c r="N43" i="5"/>
  <c r="N37" i="5"/>
  <c r="K36" i="4"/>
  <c r="M36" i="4" s="1"/>
  <c r="H35" i="7"/>
  <c r="O940" i="5"/>
  <c r="O919" i="5"/>
  <c r="O840" i="5"/>
  <c r="O731" i="5"/>
  <c r="O729" i="5"/>
  <c r="O666" i="5"/>
  <c r="O323" i="5"/>
  <c r="O214" i="5"/>
  <c r="O208" i="5"/>
  <c r="O43" i="5"/>
  <c r="O37" i="5"/>
  <c r="G36" i="7"/>
  <c r="N674" i="5"/>
  <c r="K37" i="4"/>
  <c r="M37" i="4" s="1"/>
  <c r="H36" i="7"/>
  <c r="O674" i="5"/>
  <c r="G37" i="7"/>
  <c r="N1146" i="5"/>
  <c r="N1053" i="5"/>
  <c r="K38" i="4"/>
  <c r="M38" i="4" s="1"/>
  <c r="N38" i="4" s="1"/>
  <c r="H37" i="7"/>
  <c r="O1146" i="5"/>
  <c r="O1053" i="5"/>
  <c r="I37" i="7"/>
  <c r="Q1146" i="5"/>
  <c r="Q1053" i="5"/>
  <c r="L38" i="4"/>
  <c r="G38" i="7"/>
  <c r="N1222" i="5"/>
  <c r="N1219" i="5"/>
  <c r="N1213" i="5"/>
  <c r="N1211" i="5"/>
  <c r="N1210" i="5"/>
  <c r="N1169" i="5"/>
  <c r="N1166" i="5"/>
  <c r="N1162" i="5"/>
  <c r="N1159" i="5"/>
  <c r="N1155" i="5"/>
  <c r="N1152" i="5"/>
  <c r="N1148" i="5"/>
  <c r="N942" i="5"/>
  <c r="N933" i="5"/>
  <c r="N927" i="5"/>
  <c r="N921" i="5"/>
  <c r="N914" i="5"/>
  <c r="N908" i="5"/>
  <c r="N906" i="5"/>
  <c r="N900" i="5"/>
  <c r="N894" i="5"/>
  <c r="N880" i="5"/>
  <c r="N874" i="5"/>
  <c r="N868" i="5"/>
  <c r="N860" i="5"/>
  <c r="N858" i="5"/>
  <c r="N850" i="5"/>
  <c r="N844" i="5"/>
  <c r="N842" i="5"/>
  <c r="N833" i="5"/>
  <c r="N817" i="5"/>
  <c r="N814" i="5"/>
  <c r="N811" i="5"/>
  <c r="N809" i="5"/>
  <c r="N802" i="5"/>
  <c r="N801" i="5"/>
  <c r="N800" i="5"/>
  <c r="N789" i="5"/>
  <c r="N785" i="5"/>
  <c r="N784" i="5"/>
  <c r="N783" i="5"/>
  <c r="N781" i="5"/>
  <c r="N778" i="5"/>
  <c r="N770" i="5"/>
  <c r="N769" i="5"/>
  <c r="N753" i="5"/>
  <c r="N751" i="5"/>
  <c r="N748" i="5"/>
  <c r="N739" i="5"/>
  <c r="N736" i="5"/>
  <c r="N735" i="5"/>
  <c r="N716" i="5"/>
  <c r="N710" i="5"/>
  <c r="N706" i="5"/>
  <c r="N697" i="5"/>
  <c r="N669" i="5"/>
  <c r="N659" i="5"/>
  <c r="N344" i="5"/>
  <c r="N343" i="5"/>
  <c r="N314" i="5"/>
  <c r="N309" i="5"/>
  <c r="N303" i="5"/>
  <c r="N297" i="5"/>
  <c r="N291" i="5"/>
  <c r="N285" i="5"/>
  <c r="N276" i="5"/>
  <c r="N275" i="5"/>
  <c r="N274" i="5"/>
  <c r="N246" i="5"/>
  <c r="N244" i="5"/>
  <c r="N242" i="5"/>
  <c r="N240" i="5"/>
  <c r="N197" i="5"/>
  <c r="N191" i="5"/>
  <c r="N185" i="5"/>
  <c r="N181" i="5"/>
  <c r="N156" i="5"/>
  <c r="N155" i="5"/>
  <c r="N154" i="5"/>
  <c r="N145" i="5"/>
  <c r="N143" i="5"/>
  <c r="N142" i="5"/>
  <c r="N131" i="5"/>
  <c r="N130" i="5"/>
  <c r="N129" i="5"/>
  <c r="N120" i="5"/>
  <c r="N119" i="5"/>
  <c r="N118" i="5"/>
  <c r="N95" i="5"/>
  <c r="N93" i="5"/>
  <c r="N91" i="5"/>
  <c r="N89" i="5"/>
  <c r="N87" i="5"/>
  <c r="N85" i="5"/>
  <c r="N83" i="5"/>
  <c r="N81" i="5"/>
  <c r="N27" i="5"/>
  <c r="N21" i="5"/>
  <c r="N15" i="5"/>
  <c r="N9" i="5"/>
  <c r="K39" i="4"/>
  <c r="M39" i="4" s="1"/>
  <c r="N39" i="4" s="1"/>
  <c r="H38" i="7"/>
  <c r="O1222" i="5"/>
  <c r="O1219" i="5"/>
  <c r="O1213" i="5"/>
  <c r="O1211" i="5"/>
  <c r="O1210" i="5"/>
  <c r="O1169" i="5"/>
  <c r="O1166" i="5"/>
  <c r="O1162" i="5"/>
  <c r="O1159" i="5"/>
  <c r="O1155" i="5"/>
  <c r="O1152" i="5"/>
  <c r="O1148" i="5"/>
  <c r="O942" i="5"/>
  <c r="O933" i="5"/>
  <c r="O927" i="5"/>
  <c r="O921" i="5"/>
  <c r="O914" i="5"/>
  <c r="O908" i="5"/>
  <c r="O906" i="5"/>
  <c r="O900" i="5"/>
  <c r="O894" i="5"/>
  <c r="O880" i="5"/>
  <c r="O874" i="5"/>
  <c r="O868" i="5"/>
  <c r="O860" i="5"/>
  <c r="O858" i="5"/>
  <c r="O850" i="5"/>
  <c r="O844" i="5"/>
  <c r="O842" i="5"/>
  <c r="O833" i="5"/>
  <c r="O817" i="5"/>
  <c r="O814" i="5"/>
  <c r="O811" i="5"/>
  <c r="O809" i="5"/>
  <c r="O802" i="5"/>
  <c r="O801" i="5"/>
  <c r="O800" i="5"/>
  <c r="O789" i="5"/>
  <c r="O785" i="5"/>
  <c r="O784" i="5"/>
  <c r="O783" i="5"/>
  <c r="O781" i="5"/>
  <c r="O778" i="5"/>
  <c r="O770" i="5"/>
  <c r="O769" i="5"/>
  <c r="O753" i="5"/>
  <c r="O751" i="5"/>
  <c r="O748" i="5"/>
  <c r="O739" i="5"/>
  <c r="O736" i="5"/>
  <c r="O735" i="5"/>
  <c r="O716" i="5"/>
  <c r="O710" i="5"/>
  <c r="O706" i="5"/>
  <c r="O697" i="5"/>
  <c r="O669" i="5"/>
  <c r="O659" i="5"/>
  <c r="O344" i="5"/>
  <c r="O343" i="5"/>
  <c r="O314" i="5"/>
  <c r="O309" i="5"/>
  <c r="O303" i="5"/>
  <c r="O297" i="5"/>
  <c r="O291" i="5"/>
  <c r="O285" i="5"/>
  <c r="O276" i="5"/>
  <c r="O275" i="5"/>
  <c r="O274" i="5"/>
  <c r="O246" i="5"/>
  <c r="O244" i="5"/>
  <c r="O242" i="5"/>
  <c r="O240" i="5"/>
  <c r="O197" i="5"/>
  <c r="O191" i="5"/>
  <c r="O185" i="5"/>
  <c r="O181" i="5"/>
  <c r="O156" i="5"/>
  <c r="O155" i="5"/>
  <c r="O154" i="5"/>
  <c r="O145" i="5"/>
  <c r="O143" i="5"/>
  <c r="O142" i="5"/>
  <c r="O131" i="5"/>
  <c r="O130" i="5"/>
  <c r="O129" i="5"/>
  <c r="O120" i="5"/>
  <c r="O119" i="5"/>
  <c r="O118" i="5"/>
  <c r="O95" i="5"/>
  <c r="O93" i="5"/>
  <c r="O91" i="5"/>
  <c r="O89" i="5"/>
  <c r="O87" i="5"/>
  <c r="O85" i="5"/>
  <c r="O83" i="5"/>
  <c r="O81" i="5"/>
  <c r="O27" i="5"/>
  <c r="O21" i="5"/>
  <c r="O15" i="5"/>
  <c r="O9" i="5"/>
  <c r="I38" i="7"/>
  <c r="Q1222" i="5"/>
  <c r="Q1219" i="5"/>
  <c r="Q1213" i="5"/>
  <c r="Q1211" i="5"/>
  <c r="Q1210" i="5"/>
  <c r="Q1169" i="5"/>
  <c r="Q1166" i="5"/>
  <c r="Q1162" i="5"/>
  <c r="Q1159" i="5"/>
  <c r="Q1155" i="5"/>
  <c r="Q1152" i="5"/>
  <c r="Q1148" i="5"/>
  <c r="Q942" i="5"/>
  <c r="Q933" i="5"/>
  <c r="Q927" i="5"/>
  <c r="Q921" i="5"/>
  <c r="Q914" i="5"/>
  <c r="Q908" i="5"/>
  <c r="Q906" i="5"/>
  <c r="Q900" i="5"/>
  <c r="Q894" i="5"/>
  <c r="Q880" i="5"/>
  <c r="Q874" i="5"/>
  <c r="Q868" i="5"/>
  <c r="Q860" i="5"/>
  <c r="Q858" i="5"/>
  <c r="Q850" i="5"/>
  <c r="Q844" i="5"/>
  <c r="Q842" i="5"/>
  <c r="Q833" i="5"/>
  <c r="Q817" i="5"/>
  <c r="Q814" i="5"/>
  <c r="Q811" i="5"/>
  <c r="Q809" i="5"/>
  <c r="Q802" i="5"/>
  <c r="Q801" i="5"/>
  <c r="Q800" i="5"/>
  <c r="Q789" i="5"/>
  <c r="Q785" i="5"/>
  <c r="Q784" i="5"/>
  <c r="Q783" i="5"/>
  <c r="Q781" i="5"/>
  <c r="Q778" i="5"/>
  <c r="Q770" i="5"/>
  <c r="Q769" i="5"/>
  <c r="Q753" i="5"/>
  <c r="Q751" i="5"/>
  <c r="Q748" i="5"/>
  <c r="Q739" i="5"/>
  <c r="Q736" i="5"/>
  <c r="Q735" i="5"/>
  <c r="Q716" i="5"/>
  <c r="Q710" i="5"/>
  <c r="Q706" i="5"/>
  <c r="Q697" i="5"/>
  <c r="Q669" i="5"/>
  <c r="Q659" i="5"/>
  <c r="Q344" i="5"/>
  <c r="Q343" i="5"/>
  <c r="Q314" i="5"/>
  <c r="Q309" i="5"/>
  <c r="Q303" i="5"/>
  <c r="Q297" i="5"/>
  <c r="Q291" i="5"/>
  <c r="Q285" i="5"/>
  <c r="Q276" i="5"/>
  <c r="Q275" i="5"/>
  <c r="Q274" i="5"/>
  <c r="Q246" i="5"/>
  <c r="Q244" i="5"/>
  <c r="Q242" i="5"/>
  <c r="Q240" i="5"/>
  <c r="Q197" i="5"/>
  <c r="Q191" i="5"/>
  <c r="Q185" i="5"/>
  <c r="Q181" i="5"/>
  <c r="Q156" i="5"/>
  <c r="Q155" i="5"/>
  <c r="Q154" i="5"/>
  <c r="Q145" i="5"/>
  <c r="Q143" i="5"/>
  <c r="Q142" i="5"/>
  <c r="Q131" i="5"/>
  <c r="Q130" i="5"/>
  <c r="Q129" i="5"/>
  <c r="Q120" i="5"/>
  <c r="Q119" i="5"/>
  <c r="Q118" i="5"/>
  <c r="Q95" i="5"/>
  <c r="Q93" i="5"/>
  <c r="Q91" i="5"/>
  <c r="Q89" i="5"/>
  <c r="Q87" i="5"/>
  <c r="Q85" i="5"/>
  <c r="Q83" i="5"/>
  <c r="Q81" i="5"/>
  <c r="Q27" i="5"/>
  <c r="Q21" i="5"/>
  <c r="Q15" i="5"/>
  <c r="Q9" i="5"/>
  <c r="L39" i="4"/>
  <c r="G39" i="7"/>
  <c r="N993" i="5"/>
  <c r="N992" i="5"/>
  <c r="N991" i="5"/>
  <c r="N990" i="5"/>
  <c r="N618" i="5"/>
  <c r="N617" i="5"/>
  <c r="K40" i="4"/>
  <c r="M40" i="4" s="1"/>
  <c r="N40" i="4" s="1"/>
  <c r="H39" i="7"/>
  <c r="O993" i="5"/>
  <c r="O992" i="5"/>
  <c r="O991" i="5"/>
  <c r="O990" i="5"/>
  <c r="O618" i="5"/>
  <c r="O617" i="5"/>
  <c r="I39" i="7"/>
  <c r="Q993" i="5"/>
  <c r="Q992" i="5"/>
  <c r="Q991" i="5"/>
  <c r="Q990" i="5"/>
  <c r="Q618" i="5"/>
  <c r="Q617" i="5"/>
  <c r="L40" i="4"/>
  <c r="G40" i="7"/>
  <c r="N1197" i="5"/>
  <c r="K41" i="4"/>
  <c r="M41" i="4" s="1"/>
  <c r="N41" i="4" s="1"/>
  <c r="H40" i="7"/>
  <c r="O1197" i="5"/>
  <c r="I40" i="7"/>
  <c r="Q1197" i="5"/>
  <c r="L41" i="4"/>
  <c r="G41" i="7"/>
  <c r="N943" i="5"/>
  <c r="N934" i="5"/>
  <c r="N928" i="5"/>
  <c r="N922" i="5"/>
  <c r="N915" i="5"/>
  <c r="N909" i="5"/>
  <c r="N907" i="5"/>
  <c r="N901" i="5"/>
  <c r="N895" i="5"/>
  <c r="N881" i="5"/>
  <c r="N875" i="5"/>
  <c r="N869" i="5"/>
  <c r="N861" i="5"/>
  <c r="N859" i="5"/>
  <c r="N851" i="5"/>
  <c r="N845" i="5"/>
  <c r="N843" i="5"/>
  <c r="N834" i="5"/>
  <c r="N717" i="5"/>
  <c r="N711" i="5"/>
  <c r="N707" i="5"/>
  <c r="N698" i="5"/>
  <c r="N670" i="5"/>
  <c r="N660" i="5"/>
  <c r="N304" i="5"/>
  <c r="N298" i="5"/>
  <c r="N292" i="5"/>
  <c r="N286" i="5"/>
  <c r="N247" i="5"/>
  <c r="N245" i="5"/>
  <c r="N243" i="5"/>
  <c r="N241" i="5"/>
  <c r="N198" i="5"/>
  <c r="N192" i="5"/>
  <c r="N186" i="5"/>
  <c r="N182" i="5"/>
  <c r="N96" i="5"/>
  <c r="N94" i="5"/>
  <c r="N92" i="5"/>
  <c r="N90" i="5"/>
  <c r="N88" i="5"/>
  <c r="N86" i="5"/>
  <c r="N84" i="5"/>
  <c r="N82" i="5"/>
  <c r="N28" i="5"/>
  <c r="N22" i="5"/>
  <c r="N16" i="5"/>
  <c r="N10" i="5"/>
  <c r="K42" i="4"/>
  <c r="M42" i="4" s="1"/>
  <c r="H41" i="7"/>
  <c r="O943" i="5"/>
  <c r="O934" i="5"/>
  <c r="O928" i="5"/>
  <c r="O922" i="5"/>
  <c r="O915" i="5"/>
  <c r="O909" i="5"/>
  <c r="O907" i="5"/>
  <c r="O901" i="5"/>
  <c r="O895" i="5"/>
  <c r="O881" i="5"/>
  <c r="O875" i="5"/>
  <c r="O869" i="5"/>
  <c r="O861" i="5"/>
  <c r="O859" i="5"/>
  <c r="O851" i="5"/>
  <c r="O845" i="5"/>
  <c r="O843" i="5"/>
  <c r="O834" i="5"/>
  <c r="O717" i="5"/>
  <c r="O711" i="5"/>
  <c r="O707" i="5"/>
  <c r="O698" i="5"/>
  <c r="O670" i="5"/>
  <c r="O660" i="5"/>
  <c r="O304" i="5"/>
  <c r="O298" i="5"/>
  <c r="O292" i="5"/>
  <c r="O286" i="5"/>
  <c r="O247" i="5"/>
  <c r="O245" i="5"/>
  <c r="O243" i="5"/>
  <c r="O241" i="5"/>
  <c r="O198" i="5"/>
  <c r="O192" i="5"/>
  <c r="O186" i="5"/>
  <c r="O182" i="5"/>
  <c r="O96" i="5"/>
  <c r="O94" i="5"/>
  <c r="O92" i="5"/>
  <c r="O90" i="5"/>
  <c r="O88" i="5"/>
  <c r="O86" i="5"/>
  <c r="O84" i="5"/>
  <c r="O82" i="5"/>
  <c r="O28" i="5"/>
  <c r="O22" i="5"/>
  <c r="O16" i="5"/>
  <c r="O10" i="5"/>
  <c r="G42" i="7"/>
  <c r="N684" i="5"/>
  <c r="N482" i="5"/>
  <c r="N478" i="5"/>
  <c r="N477" i="5"/>
  <c r="N476" i="5"/>
  <c r="N475" i="5"/>
  <c r="N472" i="5"/>
  <c r="N471" i="5"/>
  <c r="N470" i="5"/>
  <c r="N469" i="5"/>
  <c r="N468" i="5"/>
  <c r="N467" i="5"/>
  <c r="N465" i="5"/>
  <c r="N463" i="5"/>
  <c r="N461" i="5"/>
  <c r="N459" i="5"/>
  <c r="N457" i="5"/>
  <c r="N456" i="5"/>
  <c r="N453" i="5"/>
  <c r="N452" i="5"/>
  <c r="N444" i="5"/>
  <c r="N443" i="5"/>
  <c r="N442" i="5"/>
  <c r="N440" i="5"/>
  <c r="N439" i="5"/>
  <c r="N435" i="5"/>
  <c r="N434" i="5"/>
  <c r="N430" i="5"/>
  <c r="N429" i="5"/>
  <c r="N428" i="5"/>
  <c r="N424" i="5"/>
  <c r="N423" i="5"/>
  <c r="N410" i="5"/>
  <c r="N409" i="5"/>
  <c r="N408" i="5"/>
  <c r="N406" i="5"/>
  <c r="N405" i="5"/>
  <c r="N402" i="5"/>
  <c r="N400" i="5"/>
  <c r="N398" i="5"/>
  <c r="N391" i="5"/>
  <c r="N363" i="5"/>
  <c r="N362" i="5"/>
  <c r="N361" i="5"/>
  <c r="N359" i="5"/>
  <c r="N358" i="5"/>
  <c r="N353" i="5"/>
  <c r="N351" i="5"/>
  <c r="K43" i="4"/>
  <c r="M43" i="4" s="1"/>
  <c r="N43" i="4" s="1"/>
  <c r="H42" i="7"/>
  <c r="O684" i="5"/>
  <c r="O482" i="5"/>
  <c r="O478" i="5"/>
  <c r="O477" i="5"/>
  <c r="O476" i="5"/>
  <c r="O475" i="5"/>
  <c r="O472" i="5"/>
  <c r="O471" i="5"/>
  <c r="O470" i="5"/>
  <c r="O469" i="5"/>
  <c r="O468" i="5"/>
  <c r="O467" i="5"/>
  <c r="O465" i="5"/>
  <c r="O463" i="5"/>
  <c r="O461" i="5"/>
  <c r="O459" i="5"/>
  <c r="O457" i="5"/>
  <c r="O456" i="5"/>
  <c r="O453" i="5"/>
  <c r="O452" i="5"/>
  <c r="O444" i="5"/>
  <c r="O443" i="5"/>
  <c r="O442" i="5"/>
  <c r="O440" i="5"/>
  <c r="O439" i="5"/>
  <c r="O435" i="5"/>
  <c r="O434" i="5"/>
  <c r="O430" i="5"/>
  <c r="O429" i="5"/>
  <c r="O428" i="5"/>
  <c r="O424" i="5"/>
  <c r="O423" i="5"/>
  <c r="O410" i="5"/>
  <c r="O409" i="5"/>
  <c r="O408" i="5"/>
  <c r="O406" i="5"/>
  <c r="O405" i="5"/>
  <c r="O402" i="5"/>
  <c r="O400" i="5"/>
  <c r="O398" i="5"/>
  <c r="O391" i="5"/>
  <c r="O363" i="5"/>
  <c r="O362" i="5"/>
  <c r="O361" i="5"/>
  <c r="O359" i="5"/>
  <c r="O358" i="5"/>
  <c r="O353" i="5"/>
  <c r="O351" i="5"/>
  <c r="I42" i="7"/>
  <c r="Q684" i="5"/>
  <c r="Q482" i="5"/>
  <c r="Q478" i="5"/>
  <c r="Q477" i="5"/>
  <c r="Q476" i="5"/>
  <c r="Q475" i="5"/>
  <c r="Q472" i="5"/>
  <c r="Q471" i="5"/>
  <c r="Q470" i="5"/>
  <c r="Q469" i="5"/>
  <c r="Q468" i="5"/>
  <c r="Q467" i="5"/>
  <c r="Q465" i="5"/>
  <c r="Q463" i="5"/>
  <c r="Q461" i="5"/>
  <c r="Q459" i="5"/>
  <c r="Q457" i="5"/>
  <c r="Q456" i="5"/>
  <c r="Q453" i="5"/>
  <c r="Q452" i="5"/>
  <c r="Q444" i="5"/>
  <c r="Q443" i="5"/>
  <c r="Q442" i="5"/>
  <c r="Q440" i="5"/>
  <c r="Q439" i="5"/>
  <c r="Q435" i="5"/>
  <c r="Q434" i="5"/>
  <c r="Q430" i="5"/>
  <c r="Q429" i="5"/>
  <c r="Q428" i="5"/>
  <c r="Q424" i="5"/>
  <c r="Q423" i="5"/>
  <c r="Q410" i="5"/>
  <c r="Q409" i="5"/>
  <c r="Q408" i="5"/>
  <c r="Q406" i="5"/>
  <c r="Q405" i="5"/>
  <c r="Q402" i="5"/>
  <c r="Q400" i="5"/>
  <c r="Q398" i="5"/>
  <c r="Q391" i="5"/>
  <c r="Q363" i="5"/>
  <c r="Q362" i="5"/>
  <c r="Q361" i="5"/>
  <c r="Q359" i="5"/>
  <c r="Q358" i="5"/>
  <c r="Q353" i="5"/>
  <c r="Q351" i="5"/>
  <c r="L43" i="4"/>
  <c r="G43" i="7"/>
  <c r="N626" i="5"/>
  <c r="K44" i="4"/>
  <c r="M44" i="4" s="1"/>
  <c r="N44" i="4" s="1"/>
  <c r="H43" i="7"/>
  <c r="O626" i="5"/>
  <c r="I43" i="7"/>
  <c r="Q626" i="5"/>
  <c r="L44" i="4"/>
  <c r="G44" i="7"/>
  <c r="N675" i="5"/>
  <c r="K45" i="4"/>
  <c r="M45" i="4" s="1"/>
  <c r="N45" i="4" s="1"/>
  <c r="H44" i="7"/>
  <c r="O675" i="5"/>
  <c r="I44" i="7"/>
  <c r="Q675" i="5"/>
  <c r="L45" i="4"/>
  <c r="G45" i="7"/>
  <c r="N556" i="5"/>
  <c r="N549" i="5"/>
  <c r="N536" i="5"/>
  <c r="N524" i="5"/>
  <c r="N502" i="5"/>
  <c r="K46" i="4"/>
  <c r="M46" i="4" s="1"/>
  <c r="N46" i="4" s="1"/>
  <c r="H45" i="7"/>
  <c r="O556" i="5"/>
  <c r="O549" i="5"/>
  <c r="O536" i="5"/>
  <c r="O524" i="5"/>
  <c r="O502" i="5"/>
  <c r="I45" i="7"/>
  <c r="Q556" i="5"/>
  <c r="Q549" i="5"/>
  <c r="Q536" i="5"/>
  <c r="Q524" i="5"/>
  <c r="Q502" i="5"/>
  <c r="L46" i="4"/>
  <c r="G46" i="7"/>
  <c r="N653" i="5"/>
  <c r="N417" i="5"/>
  <c r="N383" i="5"/>
  <c r="K47" i="4"/>
  <c r="M47" i="4" s="1"/>
  <c r="N47" i="4" s="1"/>
  <c r="H46" i="7"/>
  <c r="O653" i="5"/>
  <c r="O417" i="5"/>
  <c r="O383" i="5"/>
  <c r="I46" i="7"/>
  <c r="Q653" i="5"/>
  <c r="Q417" i="5"/>
  <c r="Q383" i="5"/>
  <c r="L47" i="4"/>
  <c r="G47" i="7"/>
  <c r="N1035" i="5"/>
  <c r="N1033" i="5"/>
  <c r="N1021" i="5"/>
  <c r="N1009" i="5"/>
  <c r="N1007" i="5"/>
  <c r="N975" i="5"/>
  <c r="N974" i="5"/>
  <c r="N628" i="5"/>
  <c r="N616" i="5"/>
  <c r="N615" i="5"/>
  <c r="N491" i="5"/>
  <c r="K48" i="4"/>
  <c r="M48" i="4" s="1"/>
  <c r="N48" i="4" s="1"/>
  <c r="H47" i="7"/>
  <c r="O1035" i="5"/>
  <c r="O1033" i="5"/>
  <c r="O1021" i="5"/>
  <c r="O1009" i="5"/>
  <c r="O1007" i="5"/>
  <c r="O975" i="5"/>
  <c r="O974" i="5"/>
  <c r="O628" i="5"/>
  <c r="O616" i="5"/>
  <c r="O615" i="5"/>
  <c r="O491" i="5"/>
  <c r="I47" i="7"/>
  <c r="Q1035" i="5"/>
  <c r="Q1033" i="5"/>
  <c r="Q1021" i="5"/>
  <c r="Q1009" i="5"/>
  <c r="Q1007" i="5"/>
  <c r="Q975" i="5"/>
  <c r="Q974" i="5"/>
  <c r="Q628" i="5"/>
  <c r="Q616" i="5"/>
  <c r="Q615" i="5"/>
  <c r="Q491" i="5"/>
  <c r="L48" i="4"/>
  <c r="G48" i="7"/>
  <c r="N688" i="5"/>
  <c r="K49" i="4"/>
  <c r="M49" i="4" s="1"/>
  <c r="N49" i="4" s="1"/>
  <c r="H48" i="7"/>
  <c r="O688" i="5"/>
  <c r="I48" i="7"/>
  <c r="Q688" i="5"/>
  <c r="L49" i="4"/>
  <c r="G49" i="7"/>
  <c r="N629" i="5"/>
  <c r="K50" i="4"/>
  <c r="M50" i="4" s="1"/>
  <c r="N50" i="4" s="1"/>
  <c r="H49" i="7"/>
  <c r="O629" i="5"/>
  <c r="I49" i="7"/>
  <c r="Q629" i="5"/>
  <c r="L50" i="4"/>
  <c r="G50" i="7"/>
  <c r="N652" i="5"/>
  <c r="N651" i="5"/>
  <c r="N419" i="5"/>
  <c r="N416" i="5"/>
  <c r="N392" i="5"/>
  <c r="N386" i="5"/>
  <c r="N373" i="5"/>
  <c r="N368" i="5"/>
  <c r="K51" i="4"/>
  <c r="M51" i="4" s="1"/>
  <c r="N51" i="4" s="1"/>
  <c r="H50" i="7"/>
  <c r="O652" i="5"/>
  <c r="O651" i="5"/>
  <c r="O419" i="5"/>
  <c r="O416" i="5"/>
  <c r="O392" i="5"/>
  <c r="O386" i="5"/>
  <c r="O373" i="5"/>
  <c r="O368" i="5"/>
  <c r="I50" i="7"/>
  <c r="Q652" i="5"/>
  <c r="Q651" i="5"/>
  <c r="Q419" i="5"/>
  <c r="Q416" i="5"/>
  <c r="Q392" i="5"/>
  <c r="Q386" i="5"/>
  <c r="Q373" i="5"/>
  <c r="Q368" i="5"/>
  <c r="L51" i="4"/>
  <c r="G51" i="7"/>
  <c r="N614" i="5"/>
  <c r="N493" i="5"/>
  <c r="N490" i="5"/>
  <c r="K52" i="4"/>
  <c r="M52" i="4" s="1"/>
  <c r="N52" i="4" s="1"/>
  <c r="H51" i="7"/>
  <c r="O614" i="5"/>
  <c r="O493" i="5"/>
  <c r="O490" i="5"/>
  <c r="I51" i="7"/>
  <c r="Q614" i="5"/>
  <c r="Q493" i="5"/>
  <c r="Q490" i="5"/>
  <c r="L52" i="4"/>
  <c r="G52" i="7"/>
  <c r="N609" i="5"/>
  <c r="N607" i="5"/>
  <c r="N606" i="5"/>
  <c r="K53" i="4"/>
  <c r="M53" i="4" s="1"/>
  <c r="N53" i="4" s="1"/>
  <c r="H52" i="7"/>
  <c r="O609" i="5"/>
  <c r="O607" i="5"/>
  <c r="O606" i="5"/>
  <c r="I52" i="7"/>
  <c r="Q609" i="5"/>
  <c r="Q607" i="5"/>
  <c r="Q606" i="5"/>
  <c r="L53" i="4"/>
  <c r="G53" i="7"/>
  <c r="N1149" i="5"/>
  <c r="K54" i="4"/>
  <c r="M54" i="4" s="1"/>
  <c r="N54" i="4" s="1"/>
  <c r="H53" i="7"/>
  <c r="O1149" i="5"/>
  <c r="I53" i="7"/>
  <c r="Q1149" i="5"/>
  <c r="L54" i="4"/>
  <c r="G54" i="7"/>
  <c r="N1224" i="5"/>
  <c r="N1221" i="5"/>
  <c r="N1207" i="5"/>
  <c r="N1206" i="5"/>
  <c r="N1171" i="5"/>
  <c r="N1168" i="5"/>
  <c r="N1164" i="5"/>
  <c r="N1161" i="5"/>
  <c r="N1157" i="5"/>
  <c r="N1154" i="5"/>
  <c r="N958" i="5"/>
  <c r="N956" i="5"/>
  <c r="N954" i="5"/>
  <c r="N952" i="5"/>
  <c r="N944" i="5"/>
  <c r="N935" i="5"/>
  <c r="N929" i="5"/>
  <c r="N923" i="5"/>
  <c r="N916" i="5"/>
  <c r="N910" i="5"/>
  <c r="N902" i="5"/>
  <c r="N896" i="5"/>
  <c r="N882" i="5"/>
  <c r="N876" i="5"/>
  <c r="N870" i="5"/>
  <c r="N864" i="5"/>
  <c r="N862" i="5"/>
  <c r="N852" i="5"/>
  <c r="N848" i="5"/>
  <c r="N837" i="5"/>
  <c r="N831" i="5"/>
  <c r="N829" i="5"/>
  <c r="N827" i="5"/>
  <c r="N819" i="5"/>
  <c r="N815" i="5"/>
  <c r="N812" i="5"/>
  <c r="N799" i="5"/>
  <c r="N798" i="5"/>
  <c r="N788" i="5"/>
  <c r="N787" i="5"/>
  <c r="N782" i="5"/>
  <c r="N780" i="5"/>
  <c r="N779" i="5"/>
  <c r="N776" i="5"/>
  <c r="N768" i="5"/>
  <c r="N767" i="5"/>
  <c r="N766" i="5"/>
  <c r="N756" i="5"/>
  <c r="N754" i="5"/>
  <c r="N752" i="5"/>
  <c r="N750" i="5"/>
  <c r="N740" i="5"/>
  <c r="N738" i="5"/>
  <c r="N737" i="5"/>
  <c r="N720" i="5"/>
  <c r="N714" i="5"/>
  <c r="N712" i="5"/>
  <c r="N704" i="5"/>
  <c r="N701" i="5"/>
  <c r="N695" i="5"/>
  <c r="N692" i="5"/>
  <c r="N691" i="5"/>
  <c r="N690" i="5"/>
  <c r="N682" i="5"/>
  <c r="N681" i="5"/>
  <c r="N680" i="5"/>
  <c r="N678" i="5"/>
  <c r="N676" i="5"/>
  <c r="N667" i="5"/>
  <c r="N663" i="5"/>
  <c r="N661" i="5"/>
  <c r="N473" i="5"/>
  <c r="N447" i="5"/>
  <c r="N445" i="5"/>
  <c r="N437" i="5"/>
  <c r="N425" i="5"/>
  <c r="N414" i="5"/>
  <c r="N411" i="5"/>
  <c r="N403" i="5"/>
  <c r="N387" i="5"/>
  <c r="N384" i="5"/>
  <c r="N364" i="5"/>
  <c r="N356" i="5"/>
  <c r="N345" i="5"/>
  <c r="N342" i="5"/>
  <c r="N341" i="5"/>
  <c r="N329" i="5"/>
  <c r="N327" i="5"/>
  <c r="N319" i="5"/>
  <c r="N315" i="5"/>
  <c r="N310" i="5"/>
  <c r="N305" i="5"/>
  <c r="N299" i="5"/>
  <c r="N293" i="5"/>
  <c r="N287" i="5"/>
  <c r="N273" i="5"/>
  <c r="N272" i="5"/>
  <c r="N260" i="5"/>
  <c r="N254" i="5"/>
  <c r="N252" i="5"/>
  <c r="N250" i="5"/>
  <c r="N248" i="5"/>
  <c r="N230" i="5"/>
  <c r="N228" i="5"/>
  <c r="N226" i="5"/>
  <c r="N224" i="5"/>
  <c r="N222" i="5"/>
  <c r="N220" i="5"/>
  <c r="N218" i="5"/>
  <c r="N216" i="5"/>
  <c r="N203" i="5"/>
  <c r="N199" i="5"/>
  <c r="N193" i="5"/>
  <c r="N187" i="5"/>
  <c r="N174" i="5"/>
  <c r="N172" i="5"/>
  <c r="N171" i="5"/>
  <c r="N169" i="5"/>
  <c r="N167" i="5"/>
  <c r="N153" i="5"/>
  <c r="N152" i="5"/>
  <c r="N144" i="5"/>
  <c r="N139" i="5"/>
  <c r="N138" i="5"/>
  <c r="N128" i="5"/>
  <c r="N127" i="5"/>
  <c r="N117" i="5"/>
  <c r="N116" i="5"/>
  <c r="N67" i="5"/>
  <c r="N65" i="5"/>
  <c r="N63" i="5"/>
  <c r="N61" i="5"/>
  <c r="N59" i="5"/>
  <c r="N57" i="5"/>
  <c r="N55" i="5"/>
  <c r="N33" i="5"/>
  <c r="N29" i="5"/>
  <c r="N23" i="5"/>
  <c r="N17" i="5"/>
  <c r="N13" i="5"/>
  <c r="N7" i="5"/>
  <c r="K55" i="4"/>
  <c r="M55" i="4" s="1"/>
  <c r="N55" i="4" s="1"/>
  <c r="H54" i="7"/>
  <c r="O1224" i="5"/>
  <c r="O1221" i="5"/>
  <c r="O1207" i="5"/>
  <c r="O1206" i="5"/>
  <c r="O1171" i="5"/>
  <c r="O1168" i="5"/>
  <c r="O1164" i="5"/>
  <c r="O1161" i="5"/>
  <c r="O1157" i="5"/>
  <c r="O1154" i="5"/>
  <c r="O958" i="5"/>
  <c r="O956" i="5"/>
  <c r="O954" i="5"/>
  <c r="O952" i="5"/>
  <c r="O944" i="5"/>
  <c r="O935" i="5"/>
  <c r="O929" i="5"/>
  <c r="O923" i="5"/>
  <c r="O916" i="5"/>
  <c r="O910" i="5"/>
  <c r="O902" i="5"/>
  <c r="O896" i="5"/>
  <c r="O882" i="5"/>
  <c r="O876" i="5"/>
  <c r="O870" i="5"/>
  <c r="O864" i="5"/>
  <c r="O862" i="5"/>
  <c r="O852" i="5"/>
  <c r="O848" i="5"/>
  <c r="O837" i="5"/>
  <c r="O831" i="5"/>
  <c r="O829" i="5"/>
  <c r="O827" i="5"/>
  <c r="O819" i="5"/>
  <c r="O815" i="5"/>
  <c r="O812" i="5"/>
  <c r="O799" i="5"/>
  <c r="O798" i="5"/>
  <c r="O788" i="5"/>
  <c r="O787" i="5"/>
  <c r="O782" i="5"/>
  <c r="O780" i="5"/>
  <c r="O779" i="5"/>
  <c r="O776" i="5"/>
  <c r="O768" i="5"/>
  <c r="O767" i="5"/>
  <c r="O766" i="5"/>
  <c r="O756" i="5"/>
  <c r="O754" i="5"/>
  <c r="O752" i="5"/>
  <c r="O750" i="5"/>
  <c r="O740" i="5"/>
  <c r="O738" i="5"/>
  <c r="O737" i="5"/>
  <c r="O720" i="5"/>
  <c r="O714" i="5"/>
  <c r="O712" i="5"/>
  <c r="O704" i="5"/>
  <c r="O701" i="5"/>
  <c r="O695" i="5"/>
  <c r="O692" i="5"/>
  <c r="O691" i="5"/>
  <c r="O690" i="5"/>
  <c r="O682" i="5"/>
  <c r="O681" i="5"/>
  <c r="O680" i="5"/>
  <c r="O678" i="5"/>
  <c r="O676" i="5"/>
  <c r="O667" i="5"/>
  <c r="O663" i="5"/>
  <c r="O661" i="5"/>
  <c r="O473" i="5"/>
  <c r="O447" i="5"/>
  <c r="O445" i="5"/>
  <c r="O437" i="5"/>
  <c r="O425" i="5"/>
  <c r="O414" i="5"/>
  <c r="O411" i="5"/>
  <c r="O403" i="5"/>
  <c r="O387" i="5"/>
  <c r="O384" i="5"/>
  <c r="O364" i="5"/>
  <c r="O356" i="5"/>
  <c r="O345" i="5"/>
  <c r="O342" i="5"/>
  <c r="O341" i="5"/>
  <c r="O329" i="5"/>
  <c r="O327" i="5"/>
  <c r="O319" i="5"/>
  <c r="O315" i="5"/>
  <c r="O310" i="5"/>
  <c r="O305" i="5"/>
  <c r="O299" i="5"/>
  <c r="O293" i="5"/>
  <c r="O287" i="5"/>
  <c r="O273" i="5"/>
  <c r="O272" i="5"/>
  <c r="O260" i="5"/>
  <c r="O254" i="5"/>
  <c r="O252" i="5"/>
  <c r="O250" i="5"/>
  <c r="O248" i="5"/>
  <c r="O230" i="5"/>
  <c r="O228" i="5"/>
  <c r="O226" i="5"/>
  <c r="O224" i="5"/>
  <c r="O222" i="5"/>
  <c r="O220" i="5"/>
  <c r="O218" i="5"/>
  <c r="O216" i="5"/>
  <c r="O203" i="5"/>
  <c r="O199" i="5"/>
  <c r="O193" i="5"/>
  <c r="O187" i="5"/>
  <c r="O174" i="5"/>
  <c r="O172" i="5"/>
  <c r="O171" i="5"/>
  <c r="O169" i="5"/>
  <c r="O167" i="5"/>
  <c r="O153" i="5"/>
  <c r="O152" i="5"/>
  <c r="O144" i="5"/>
  <c r="O139" i="5"/>
  <c r="O138" i="5"/>
  <c r="O128" i="5"/>
  <c r="O127" i="5"/>
  <c r="O117" i="5"/>
  <c r="O116" i="5"/>
  <c r="O67" i="5"/>
  <c r="O65" i="5"/>
  <c r="O63" i="5"/>
  <c r="O61" i="5"/>
  <c r="O59" i="5"/>
  <c r="O57" i="5"/>
  <c r="O55" i="5"/>
  <c r="O33" i="5"/>
  <c r="O29" i="5"/>
  <c r="O23" i="5"/>
  <c r="O17" i="5"/>
  <c r="O13" i="5"/>
  <c r="O7" i="5"/>
  <c r="I54" i="7"/>
  <c r="Q1224" i="5"/>
  <c r="Q1221" i="5"/>
  <c r="Q1207" i="5"/>
  <c r="Q1206" i="5"/>
  <c r="Q1171" i="5"/>
  <c r="Q1168" i="5"/>
  <c r="Q1164" i="5"/>
  <c r="Q1161" i="5"/>
  <c r="Q1157" i="5"/>
  <c r="Q1154" i="5"/>
  <c r="Q958" i="5"/>
  <c r="Q956" i="5"/>
  <c r="Q954" i="5"/>
  <c r="Q952" i="5"/>
  <c r="Q944" i="5"/>
  <c r="Q935" i="5"/>
  <c r="Q929" i="5"/>
  <c r="Q923" i="5"/>
  <c r="Q916" i="5"/>
  <c r="Q910" i="5"/>
  <c r="Q902" i="5"/>
  <c r="Q896" i="5"/>
  <c r="Q882" i="5"/>
  <c r="Q876" i="5"/>
  <c r="Q870" i="5"/>
  <c r="Q864" i="5"/>
  <c r="Q862" i="5"/>
  <c r="Q852" i="5"/>
  <c r="Q848" i="5"/>
  <c r="Q837" i="5"/>
  <c r="Q831" i="5"/>
  <c r="Q829" i="5"/>
  <c r="Q827" i="5"/>
  <c r="Q819" i="5"/>
  <c r="Q815" i="5"/>
  <c r="Q812" i="5"/>
  <c r="Q799" i="5"/>
  <c r="Q798" i="5"/>
  <c r="Q788" i="5"/>
  <c r="Q787" i="5"/>
  <c r="Q782" i="5"/>
  <c r="Q780" i="5"/>
  <c r="Q779" i="5"/>
  <c r="Q776" i="5"/>
  <c r="Q768" i="5"/>
  <c r="Q767" i="5"/>
  <c r="Q766" i="5"/>
  <c r="Q756" i="5"/>
  <c r="Q754" i="5"/>
  <c r="Q752" i="5"/>
  <c r="Q750" i="5"/>
  <c r="Q740" i="5"/>
  <c r="Q738" i="5"/>
  <c r="Q737" i="5"/>
  <c r="Q720" i="5"/>
  <c r="Q714" i="5"/>
  <c r="Q712" i="5"/>
  <c r="Q704" i="5"/>
  <c r="Q701" i="5"/>
  <c r="Q695" i="5"/>
  <c r="Q692" i="5"/>
  <c r="Q691" i="5"/>
  <c r="Q690" i="5"/>
  <c r="Q682" i="5"/>
  <c r="Q681" i="5"/>
  <c r="Q680" i="5"/>
  <c r="Q678" i="5"/>
  <c r="Q676" i="5"/>
  <c r="Q667" i="5"/>
  <c r="Q663" i="5"/>
  <c r="Q661" i="5"/>
  <c r="Q473" i="5"/>
  <c r="Q447" i="5"/>
  <c r="Q445" i="5"/>
  <c r="Q437" i="5"/>
  <c r="Q425" i="5"/>
  <c r="Q414" i="5"/>
  <c r="Q411" i="5"/>
  <c r="Q403" i="5"/>
  <c r="Q387" i="5"/>
  <c r="Q384" i="5"/>
  <c r="Q364" i="5"/>
  <c r="Q356" i="5"/>
  <c r="Q345" i="5"/>
  <c r="Q342" i="5"/>
  <c r="Q341" i="5"/>
  <c r="Q329" i="5"/>
  <c r="Q327" i="5"/>
  <c r="Q319" i="5"/>
  <c r="Q315" i="5"/>
  <c r="Q310" i="5"/>
  <c r="Q305" i="5"/>
  <c r="Q299" i="5"/>
  <c r="Q293" i="5"/>
  <c r="Q287" i="5"/>
  <c r="Q273" i="5"/>
  <c r="Q272" i="5"/>
  <c r="Q260" i="5"/>
  <c r="Q254" i="5"/>
  <c r="Q252" i="5"/>
  <c r="Q250" i="5"/>
  <c r="Q248" i="5"/>
  <c r="Q230" i="5"/>
  <c r="Q228" i="5"/>
  <c r="Q226" i="5"/>
  <c r="Q224" i="5"/>
  <c r="Q222" i="5"/>
  <c r="Q220" i="5"/>
  <c r="Q218" i="5"/>
  <c r="Q216" i="5"/>
  <c r="Q203" i="5"/>
  <c r="Q199" i="5"/>
  <c r="Q193" i="5"/>
  <c r="Q187" i="5"/>
  <c r="Q174" i="5"/>
  <c r="Q172" i="5"/>
  <c r="Q171" i="5"/>
  <c r="Q169" i="5"/>
  <c r="Q167" i="5"/>
  <c r="Q153" i="5"/>
  <c r="Q152" i="5"/>
  <c r="Q144" i="5"/>
  <c r="Q139" i="5"/>
  <c r="Q138" i="5"/>
  <c r="Q128" i="5"/>
  <c r="Q127" i="5"/>
  <c r="Q117" i="5"/>
  <c r="Q116" i="5"/>
  <c r="Q67" i="5"/>
  <c r="Q65" i="5"/>
  <c r="Q63" i="5"/>
  <c r="Q61" i="5"/>
  <c r="Q59" i="5"/>
  <c r="Q57" i="5"/>
  <c r="Q55" i="5"/>
  <c r="Q33" i="5"/>
  <c r="Q29" i="5"/>
  <c r="Q23" i="5"/>
  <c r="Q17" i="5"/>
  <c r="Q13" i="5"/>
  <c r="Q7" i="5"/>
  <c r="L55" i="4"/>
  <c r="G55" i="7"/>
  <c r="N1193" i="5"/>
  <c r="N1189" i="5"/>
  <c r="N1187" i="5"/>
  <c r="N1185" i="5"/>
  <c r="N1184" i="5"/>
  <c r="N1147" i="5"/>
  <c r="N1138" i="5"/>
  <c r="N1136" i="5"/>
  <c r="N1056" i="5"/>
  <c r="N1055" i="5"/>
  <c r="N1047" i="5"/>
  <c r="N1045" i="5"/>
  <c r="N1043" i="5"/>
  <c r="N1031" i="5"/>
  <c r="N1030" i="5"/>
  <c r="N1029" i="5"/>
  <c r="N1028" i="5"/>
  <c r="N1023" i="5"/>
  <c r="N1006" i="5"/>
  <c r="N999" i="5"/>
  <c r="N998" i="5"/>
  <c r="N997" i="5"/>
  <c r="N984" i="5"/>
  <c r="N983" i="5"/>
  <c r="N982" i="5"/>
  <c r="N981" i="5"/>
  <c r="N639" i="5"/>
  <c r="N638" i="5"/>
  <c r="N637" i="5"/>
  <c r="N636" i="5"/>
  <c r="N635" i="5"/>
  <c r="N634" i="5"/>
  <c r="N569" i="5"/>
  <c r="N568" i="5"/>
  <c r="N567" i="5"/>
  <c r="N566" i="5"/>
  <c r="N546" i="5"/>
  <c r="N545" i="5"/>
  <c r="N544" i="5"/>
  <c r="N543" i="5"/>
  <c r="N542" i="5"/>
  <c r="N541" i="5"/>
  <c r="N523" i="5"/>
  <c r="N515" i="5"/>
  <c r="N510" i="5"/>
  <c r="N509" i="5"/>
  <c r="N508" i="5"/>
  <c r="N507" i="5"/>
  <c r="K56" i="4"/>
  <c r="M56" i="4" s="1"/>
  <c r="N56" i="4" s="1"/>
  <c r="H55" i="7"/>
  <c r="O1193" i="5"/>
  <c r="O1189" i="5"/>
  <c r="O1187" i="5"/>
  <c r="O1185" i="5"/>
  <c r="O1184" i="5"/>
  <c r="O1147" i="5"/>
  <c r="O1138" i="5"/>
  <c r="O1136" i="5"/>
  <c r="O1056" i="5"/>
  <c r="O1055" i="5"/>
  <c r="O1047" i="5"/>
  <c r="O1045" i="5"/>
  <c r="O1043" i="5"/>
  <c r="O1031" i="5"/>
  <c r="O1030" i="5"/>
  <c r="O1029" i="5"/>
  <c r="O1028" i="5"/>
  <c r="O1023" i="5"/>
  <c r="O1006" i="5"/>
  <c r="O999" i="5"/>
  <c r="O998" i="5"/>
  <c r="O997" i="5"/>
  <c r="O984" i="5"/>
  <c r="O983" i="5"/>
  <c r="O982" i="5"/>
  <c r="O981" i="5"/>
  <c r="O639" i="5"/>
  <c r="O638" i="5"/>
  <c r="O637" i="5"/>
  <c r="O636" i="5"/>
  <c r="O635" i="5"/>
  <c r="O634" i="5"/>
  <c r="O569" i="5"/>
  <c r="O568" i="5"/>
  <c r="O567" i="5"/>
  <c r="O566" i="5"/>
  <c r="O546" i="5"/>
  <c r="O545" i="5"/>
  <c r="O544" i="5"/>
  <c r="O543" i="5"/>
  <c r="O542" i="5"/>
  <c r="O541" i="5"/>
  <c r="O523" i="5"/>
  <c r="O515" i="5"/>
  <c r="O510" i="5"/>
  <c r="O509" i="5"/>
  <c r="O508" i="5"/>
  <c r="O507" i="5"/>
  <c r="I55" i="7"/>
  <c r="Q1193" i="5"/>
  <c r="Q1189" i="5"/>
  <c r="Q1187" i="5"/>
  <c r="Q1185" i="5"/>
  <c r="Q1184" i="5"/>
  <c r="Q1147" i="5"/>
  <c r="Q1138" i="5"/>
  <c r="Q1136" i="5"/>
  <c r="Q1056" i="5"/>
  <c r="Q1055" i="5"/>
  <c r="Q1047" i="5"/>
  <c r="Q1045" i="5"/>
  <c r="Q1043" i="5"/>
  <c r="Q1031" i="5"/>
  <c r="Q1030" i="5"/>
  <c r="Q1029" i="5"/>
  <c r="Q1028" i="5"/>
  <c r="Q1023" i="5"/>
  <c r="Q1006" i="5"/>
  <c r="Q999" i="5"/>
  <c r="Q998" i="5"/>
  <c r="Q997" i="5"/>
  <c r="Q984" i="5"/>
  <c r="Q983" i="5"/>
  <c r="Q982" i="5"/>
  <c r="Q981" i="5"/>
  <c r="Q639" i="5"/>
  <c r="Q638" i="5"/>
  <c r="Q637" i="5"/>
  <c r="Q636" i="5"/>
  <c r="Q635" i="5"/>
  <c r="Q634" i="5"/>
  <c r="Q569" i="5"/>
  <c r="Q568" i="5"/>
  <c r="Q567" i="5"/>
  <c r="Q566" i="5"/>
  <c r="Q546" i="5"/>
  <c r="Q545" i="5"/>
  <c r="Q544" i="5"/>
  <c r="Q543" i="5"/>
  <c r="Q542" i="5"/>
  <c r="Q541" i="5"/>
  <c r="Q523" i="5"/>
  <c r="Q515" i="5"/>
  <c r="Q510" i="5"/>
  <c r="Q509" i="5"/>
  <c r="Q508" i="5"/>
  <c r="Q507" i="5"/>
  <c r="L56" i="4"/>
  <c r="G56" i="7"/>
  <c r="N605" i="5"/>
  <c r="N604" i="5"/>
  <c r="N603" i="5"/>
  <c r="K57" i="4"/>
  <c r="M57" i="4" s="1"/>
  <c r="N57" i="4" s="1"/>
  <c r="H56" i="7"/>
  <c r="O605" i="5"/>
  <c r="O604" i="5"/>
  <c r="O603" i="5"/>
  <c r="I56" i="7"/>
  <c r="Q605" i="5"/>
  <c r="Q604" i="5"/>
  <c r="Q603" i="5"/>
  <c r="L57" i="4"/>
  <c r="G57" i="7"/>
  <c r="N911" i="5"/>
  <c r="N903" i="5"/>
  <c r="N897" i="5"/>
  <c r="K58" i="4"/>
  <c r="M58" i="4" s="1"/>
  <c r="N58" i="4" s="1"/>
  <c r="H57" i="7"/>
  <c r="O911" i="5"/>
  <c r="O903" i="5"/>
  <c r="O897" i="5"/>
  <c r="I57" i="7"/>
  <c r="Q911" i="5"/>
  <c r="Q903" i="5"/>
  <c r="Q897" i="5"/>
  <c r="L58" i="4"/>
  <c r="G58" i="7"/>
  <c r="N1172" i="5"/>
  <c r="N1165" i="5"/>
  <c r="N1158" i="5"/>
  <c r="N959" i="5"/>
  <c r="N957" i="5"/>
  <c r="N955" i="5"/>
  <c r="N953" i="5"/>
  <c r="N945" i="5"/>
  <c r="N936" i="5"/>
  <c r="N930" i="5"/>
  <c r="N924" i="5"/>
  <c r="N917" i="5"/>
  <c r="N883" i="5"/>
  <c r="N877" i="5"/>
  <c r="N871" i="5"/>
  <c r="N865" i="5"/>
  <c r="N863" i="5"/>
  <c r="N853" i="5"/>
  <c r="N849" i="5"/>
  <c r="N838" i="5"/>
  <c r="N832" i="5"/>
  <c r="N830" i="5"/>
  <c r="N828" i="5"/>
  <c r="N721" i="5"/>
  <c r="N715" i="5"/>
  <c r="N713" i="5"/>
  <c r="N705" i="5"/>
  <c r="N702" i="5"/>
  <c r="N696" i="5"/>
  <c r="N668" i="5"/>
  <c r="N664" i="5"/>
  <c r="N662" i="5"/>
  <c r="N474" i="5"/>
  <c r="N448" i="5"/>
  <c r="N446" i="5"/>
  <c r="N438" i="5"/>
  <c r="N426" i="5"/>
  <c r="N415" i="5"/>
  <c r="N412" i="5"/>
  <c r="N404" i="5"/>
  <c r="N388" i="5"/>
  <c r="N385" i="5"/>
  <c r="N365" i="5"/>
  <c r="N357" i="5"/>
  <c r="N330" i="5"/>
  <c r="N328" i="5"/>
  <c r="N320" i="5"/>
  <c r="N316" i="5"/>
  <c r="N311" i="5"/>
  <c r="N306" i="5"/>
  <c r="N300" i="5"/>
  <c r="N294" i="5"/>
  <c r="N288" i="5"/>
  <c r="N261" i="5"/>
  <c r="N255" i="5"/>
  <c r="N253" i="5"/>
  <c r="N251" i="5"/>
  <c r="N249" i="5"/>
  <c r="N231" i="5"/>
  <c r="N229" i="5"/>
  <c r="N227" i="5"/>
  <c r="N225" i="5"/>
  <c r="N223" i="5"/>
  <c r="N221" i="5"/>
  <c r="N219" i="5"/>
  <c r="N217" i="5"/>
  <c r="N204" i="5"/>
  <c r="N200" i="5"/>
  <c r="N194" i="5"/>
  <c r="N188" i="5"/>
  <c r="N175" i="5"/>
  <c r="N173" i="5"/>
  <c r="N170" i="5"/>
  <c r="N168" i="5"/>
  <c r="N68" i="5"/>
  <c r="N66" i="5"/>
  <c r="N64" i="5"/>
  <c r="N62" i="5"/>
  <c r="N60" i="5"/>
  <c r="N58" i="5"/>
  <c r="N56" i="5"/>
  <c r="N30" i="5"/>
  <c r="N24" i="5"/>
  <c r="N18" i="5"/>
  <c r="N14" i="5"/>
  <c r="K59" i="4"/>
  <c r="M59" i="4" s="1"/>
  <c r="H58" i="7"/>
  <c r="O1172" i="5"/>
  <c r="O1165" i="5"/>
  <c r="O1158" i="5"/>
  <c r="O959" i="5"/>
  <c r="O957" i="5"/>
  <c r="O955" i="5"/>
  <c r="O953" i="5"/>
  <c r="O945" i="5"/>
  <c r="O936" i="5"/>
  <c r="O930" i="5"/>
  <c r="O924" i="5"/>
  <c r="O917" i="5"/>
  <c r="O883" i="5"/>
  <c r="O877" i="5"/>
  <c r="O871" i="5"/>
  <c r="O865" i="5"/>
  <c r="O863" i="5"/>
  <c r="O853" i="5"/>
  <c r="O849" i="5"/>
  <c r="O838" i="5"/>
  <c r="O832" i="5"/>
  <c r="O830" i="5"/>
  <c r="O828" i="5"/>
  <c r="O721" i="5"/>
  <c r="O715" i="5"/>
  <c r="O713" i="5"/>
  <c r="O705" i="5"/>
  <c r="O702" i="5"/>
  <c r="O696" i="5"/>
  <c r="O668" i="5"/>
  <c r="O664" i="5"/>
  <c r="O662" i="5"/>
  <c r="O474" i="5"/>
  <c r="O448" i="5"/>
  <c r="O446" i="5"/>
  <c r="O438" i="5"/>
  <c r="O426" i="5"/>
  <c r="O415" i="5"/>
  <c r="O412" i="5"/>
  <c r="O404" i="5"/>
  <c r="O388" i="5"/>
  <c r="O385" i="5"/>
  <c r="O365" i="5"/>
  <c r="O357" i="5"/>
  <c r="O330" i="5"/>
  <c r="O328" i="5"/>
  <c r="O320" i="5"/>
  <c r="O316" i="5"/>
  <c r="O311" i="5"/>
  <c r="O306" i="5"/>
  <c r="O300" i="5"/>
  <c r="O294" i="5"/>
  <c r="O288" i="5"/>
  <c r="O261" i="5"/>
  <c r="O255" i="5"/>
  <c r="O253" i="5"/>
  <c r="O251" i="5"/>
  <c r="O249" i="5"/>
  <c r="O231" i="5"/>
  <c r="O229" i="5"/>
  <c r="O227" i="5"/>
  <c r="O225" i="5"/>
  <c r="O223" i="5"/>
  <c r="O221" i="5"/>
  <c r="O219" i="5"/>
  <c r="O217" i="5"/>
  <c r="O204" i="5"/>
  <c r="O200" i="5"/>
  <c r="O194" i="5"/>
  <c r="O188" i="5"/>
  <c r="O175" i="5"/>
  <c r="O173" i="5"/>
  <c r="O170" i="5"/>
  <c r="O168" i="5"/>
  <c r="O68" i="5"/>
  <c r="O66" i="5"/>
  <c r="O64" i="5"/>
  <c r="O62" i="5"/>
  <c r="O60" i="5"/>
  <c r="O58" i="5"/>
  <c r="O56" i="5"/>
  <c r="O30" i="5"/>
  <c r="O24" i="5"/>
  <c r="O18" i="5"/>
  <c r="O14" i="5"/>
  <c r="G59" i="7"/>
  <c r="N1188" i="5"/>
  <c r="N1186" i="5"/>
  <c r="N1139" i="5"/>
  <c r="N1137" i="5"/>
  <c r="N1046" i="5"/>
  <c r="N1044" i="5"/>
  <c r="K60" i="4"/>
  <c r="M60" i="4" s="1"/>
  <c r="H59" i="7"/>
  <c r="O1188" i="5"/>
  <c r="O1186" i="5"/>
  <c r="O1139" i="5"/>
  <c r="O1137" i="5"/>
  <c r="O1046" i="5"/>
  <c r="O1044" i="5"/>
  <c r="G60" i="7"/>
  <c r="N601" i="5"/>
  <c r="N581" i="5"/>
  <c r="K61" i="4"/>
  <c r="M61" i="4" s="1"/>
  <c r="N61" i="4" s="1"/>
  <c r="H60" i="7"/>
  <c r="O601" i="5"/>
  <c r="O581" i="5"/>
  <c r="I60" i="7"/>
  <c r="Q601" i="5"/>
  <c r="Q581" i="5"/>
  <c r="L61" i="4"/>
  <c r="G61" i="7"/>
  <c r="N650" i="5"/>
  <c r="N649" i="5"/>
  <c r="N648" i="5"/>
  <c r="N647" i="5"/>
  <c r="N646" i="5"/>
  <c r="N645" i="5"/>
  <c r="N644" i="5"/>
  <c r="N643" i="5"/>
  <c r="N481" i="5"/>
  <c r="N464" i="5"/>
  <c r="N460" i="5"/>
  <c r="N458" i="5"/>
  <c r="N451" i="5"/>
  <c r="N441" i="5"/>
  <c r="N431" i="5"/>
  <c r="N427" i="5"/>
  <c r="N421" i="5"/>
  <c r="N420" i="5"/>
  <c r="N418" i="5"/>
  <c r="N407" i="5"/>
  <c r="N399" i="5"/>
  <c r="N397" i="5"/>
  <c r="N389" i="5"/>
  <c r="N382" i="5"/>
  <c r="N372" i="5"/>
  <c r="N367" i="5"/>
  <c r="N360" i="5"/>
  <c r="N332" i="5"/>
  <c r="K62" i="4"/>
  <c r="M62" i="4" s="1"/>
  <c r="N62" i="4" s="1"/>
  <c r="H61" i="7"/>
  <c r="O650" i="5"/>
  <c r="O649" i="5"/>
  <c r="O648" i="5"/>
  <c r="O647" i="5"/>
  <c r="O646" i="5"/>
  <c r="O645" i="5"/>
  <c r="O644" i="5"/>
  <c r="O643" i="5"/>
  <c r="O481" i="5"/>
  <c r="O464" i="5"/>
  <c r="O460" i="5"/>
  <c r="O458" i="5"/>
  <c r="O451" i="5"/>
  <c r="O441" i="5"/>
  <c r="O431" i="5"/>
  <c r="O427" i="5"/>
  <c r="O421" i="5"/>
  <c r="O420" i="5"/>
  <c r="O418" i="5"/>
  <c r="O407" i="5"/>
  <c r="O399" i="5"/>
  <c r="O397" i="5"/>
  <c r="O389" i="5"/>
  <c r="O382" i="5"/>
  <c r="O372" i="5"/>
  <c r="O367" i="5"/>
  <c r="O360" i="5"/>
  <c r="O332" i="5"/>
  <c r="I61" i="7"/>
  <c r="Q650" i="5"/>
  <c r="Q649" i="5"/>
  <c r="Q648" i="5"/>
  <c r="Q647" i="5"/>
  <c r="Q646" i="5"/>
  <c r="Q645" i="5"/>
  <c r="Q644" i="5"/>
  <c r="Q643" i="5"/>
  <c r="Q481" i="5"/>
  <c r="Q464" i="5"/>
  <c r="Q460" i="5"/>
  <c r="Q458" i="5"/>
  <c r="Q451" i="5"/>
  <c r="Q441" i="5"/>
  <c r="Q431" i="5"/>
  <c r="Q427" i="5"/>
  <c r="Q421" i="5"/>
  <c r="Q420" i="5"/>
  <c r="Q418" i="5"/>
  <c r="Q407" i="5"/>
  <c r="Q399" i="5"/>
  <c r="Q397" i="5"/>
  <c r="Q389" i="5"/>
  <c r="Q382" i="5"/>
  <c r="Q372" i="5"/>
  <c r="Q367" i="5"/>
  <c r="Q360" i="5"/>
  <c r="Q332" i="5"/>
  <c r="L62" i="4"/>
  <c r="G62" i="7"/>
  <c r="N1199" i="5"/>
  <c r="N1195" i="5"/>
  <c r="N1194" i="5"/>
  <c r="N1150" i="5"/>
  <c r="N1135" i="5"/>
  <c r="N1130" i="5"/>
  <c r="N1129" i="5"/>
  <c r="N1128" i="5"/>
  <c r="N1048" i="5"/>
  <c r="N1013" i="5"/>
  <c r="N565" i="5"/>
  <c r="N539" i="5"/>
  <c r="N505" i="5"/>
  <c r="K63" i="4"/>
  <c r="M63" i="4" s="1"/>
  <c r="N63" i="4" s="1"/>
  <c r="H62" i="7"/>
  <c r="O1199" i="5"/>
  <c r="O1195" i="5"/>
  <c r="O1194" i="5"/>
  <c r="O1150" i="5"/>
  <c r="O1135" i="5"/>
  <c r="O1130" i="5"/>
  <c r="O1129" i="5"/>
  <c r="O1128" i="5"/>
  <c r="O1048" i="5"/>
  <c r="O1013" i="5"/>
  <c r="O565" i="5"/>
  <c r="O539" i="5"/>
  <c r="O505" i="5"/>
  <c r="I62" i="7"/>
  <c r="Q1199" i="5"/>
  <c r="Q1195" i="5"/>
  <c r="Q1194" i="5"/>
  <c r="Q1150" i="5"/>
  <c r="Q1135" i="5"/>
  <c r="Q1130" i="5"/>
  <c r="Q1129" i="5"/>
  <c r="Q1128" i="5"/>
  <c r="Q1048" i="5"/>
  <c r="Q1013" i="5"/>
  <c r="Q565" i="5"/>
  <c r="Q539" i="5"/>
  <c r="Q505" i="5"/>
  <c r="L63" i="4"/>
  <c r="G63" i="7"/>
  <c r="N336" i="5"/>
  <c r="K64" i="4"/>
  <c r="M64" i="4" s="1"/>
  <c r="N64" i="4" s="1"/>
  <c r="H63" i="7"/>
  <c r="O336" i="5"/>
  <c r="I63" i="7"/>
  <c r="Q336" i="5"/>
  <c r="L64" i="4"/>
  <c r="G64" i="7"/>
  <c r="N1196" i="5"/>
  <c r="N1132" i="5"/>
  <c r="N577" i="5"/>
  <c r="K65" i="4"/>
  <c r="M65" i="4" s="1"/>
  <c r="N65" i="4" s="1"/>
  <c r="H64" i="7"/>
  <c r="O1196" i="5"/>
  <c r="O1132" i="5"/>
  <c r="O577" i="5"/>
  <c r="I64" i="7"/>
  <c r="Q1196" i="5"/>
  <c r="Q1132" i="5"/>
  <c r="Q577" i="5"/>
  <c r="L65" i="4"/>
  <c r="G65" i="7"/>
  <c r="N432" i="5"/>
  <c r="N333" i="5"/>
  <c r="K66" i="4"/>
  <c r="M66" i="4" s="1"/>
  <c r="N66" i="4" s="1"/>
  <c r="H65" i="7"/>
  <c r="O432" i="5"/>
  <c r="O333" i="5"/>
  <c r="I65" i="7"/>
  <c r="Q432" i="5"/>
  <c r="Q333" i="5"/>
  <c r="L66" i="4"/>
  <c r="G66" i="7"/>
  <c r="N564" i="5"/>
  <c r="N540" i="5"/>
  <c r="N506" i="5"/>
  <c r="K67" i="4"/>
  <c r="M67" i="4" s="1"/>
  <c r="N67" i="4" s="1"/>
  <c r="H66" i="7"/>
  <c r="O564" i="5"/>
  <c r="O540" i="5"/>
  <c r="O506" i="5"/>
  <c r="I66" i="7"/>
  <c r="Q564" i="5"/>
  <c r="Q540" i="5"/>
  <c r="Q506" i="5"/>
  <c r="L67" i="4"/>
  <c r="G67" i="7"/>
  <c r="N1198" i="5"/>
  <c r="N978" i="5"/>
  <c r="K68" i="4"/>
  <c r="M68" i="4" s="1"/>
  <c r="N68" i="4" s="1"/>
  <c r="H67" i="7"/>
  <c r="O1198" i="5"/>
  <c r="O978" i="5"/>
  <c r="I67" i="7"/>
  <c r="Q1198" i="5"/>
  <c r="Q978" i="5"/>
  <c r="L68" i="4"/>
  <c r="G68" i="7"/>
  <c r="N1173" i="5"/>
  <c r="N1151" i="5"/>
  <c r="N1057" i="5"/>
  <c r="N960" i="5"/>
  <c r="N950" i="5"/>
  <c r="N948" i="5"/>
  <c r="N892" i="5"/>
  <c r="N890" i="5"/>
  <c r="N856" i="5"/>
  <c r="N825" i="5"/>
  <c r="N734" i="5"/>
  <c r="N689" i="5"/>
  <c r="N686" i="5"/>
  <c r="N685" i="5"/>
  <c r="N679" i="5"/>
  <c r="N656" i="5"/>
  <c r="N480" i="5"/>
  <c r="N479" i="5"/>
  <c r="N466" i="5"/>
  <c r="N462" i="5"/>
  <c r="N455" i="5"/>
  <c r="N454" i="5"/>
  <c r="N436" i="5"/>
  <c r="N433" i="5"/>
  <c r="N422" i="5"/>
  <c r="N413" i="5"/>
  <c r="N401" i="5"/>
  <c r="N394" i="5"/>
  <c r="N393" i="5"/>
  <c r="N377" i="5"/>
  <c r="N376" i="5"/>
  <c r="N375" i="5"/>
  <c r="N371" i="5"/>
  <c r="N370" i="5"/>
  <c r="N369" i="5"/>
  <c r="N355" i="5"/>
  <c r="N354" i="5"/>
  <c r="N352" i="5"/>
  <c r="N350" i="5"/>
  <c r="N334" i="5"/>
  <c r="N325" i="5"/>
  <c r="N283" i="5"/>
  <c r="N264" i="5"/>
  <c r="N262" i="5"/>
  <c r="N256" i="5"/>
  <c r="N179" i="5"/>
  <c r="N177" i="5"/>
  <c r="N165" i="5"/>
  <c r="N108" i="5"/>
  <c r="N105" i="5"/>
  <c r="N103" i="5"/>
  <c r="N101" i="5"/>
  <c r="N97" i="5"/>
  <c r="N39" i="5"/>
  <c r="N8" i="5"/>
  <c r="N6" i="5"/>
  <c r="K69" i="4"/>
  <c r="M69" i="4" s="1"/>
  <c r="N69" i="4" s="1"/>
  <c r="H68" i="7"/>
  <c r="O1173" i="5"/>
  <c r="O1151" i="5"/>
  <c r="O1057" i="5"/>
  <c r="O960" i="5"/>
  <c r="O950" i="5"/>
  <c r="O948" i="5"/>
  <c r="O892" i="5"/>
  <c r="O890" i="5"/>
  <c r="O856" i="5"/>
  <c r="O825" i="5"/>
  <c r="O734" i="5"/>
  <c r="O689" i="5"/>
  <c r="O686" i="5"/>
  <c r="O685" i="5"/>
  <c r="O679" i="5"/>
  <c r="O656" i="5"/>
  <c r="O480" i="5"/>
  <c r="O479" i="5"/>
  <c r="O466" i="5"/>
  <c r="O462" i="5"/>
  <c r="O455" i="5"/>
  <c r="O454" i="5"/>
  <c r="O436" i="5"/>
  <c r="O433" i="5"/>
  <c r="O422" i="5"/>
  <c r="O413" i="5"/>
  <c r="O401" i="5"/>
  <c r="O394" i="5"/>
  <c r="O393" i="5"/>
  <c r="O377" i="5"/>
  <c r="O376" i="5"/>
  <c r="O375" i="5"/>
  <c r="O371" i="5"/>
  <c r="O370" i="5"/>
  <c r="O369" i="5"/>
  <c r="O355" i="5"/>
  <c r="O354" i="5"/>
  <c r="O352" i="5"/>
  <c r="O350" i="5"/>
  <c r="O334" i="5"/>
  <c r="O325" i="5"/>
  <c r="O283" i="5"/>
  <c r="O264" i="5"/>
  <c r="O262" i="5"/>
  <c r="O256" i="5"/>
  <c r="O179" i="5"/>
  <c r="O177" i="5"/>
  <c r="O165" i="5"/>
  <c r="O108" i="5"/>
  <c r="O105" i="5"/>
  <c r="O103" i="5"/>
  <c r="O101" i="5"/>
  <c r="O97" i="5"/>
  <c r="O39" i="5"/>
  <c r="O8" i="5"/>
  <c r="O6" i="5"/>
  <c r="I68" i="7"/>
  <c r="Q1173" i="5"/>
  <c r="Q1151" i="5"/>
  <c r="Q1057" i="5"/>
  <c r="Q960" i="5"/>
  <c r="Q950" i="5"/>
  <c r="Q948" i="5"/>
  <c r="Q892" i="5"/>
  <c r="Q890" i="5"/>
  <c r="Q856" i="5"/>
  <c r="Q825" i="5"/>
  <c r="Q734" i="5"/>
  <c r="Q689" i="5"/>
  <c r="Q686" i="5"/>
  <c r="Q685" i="5"/>
  <c r="Q679" i="5"/>
  <c r="Q656" i="5"/>
  <c r="Q480" i="5"/>
  <c r="Q479" i="5"/>
  <c r="Q466" i="5"/>
  <c r="Q462" i="5"/>
  <c r="Q455" i="5"/>
  <c r="Q454" i="5"/>
  <c r="Q436" i="5"/>
  <c r="Q433" i="5"/>
  <c r="Q422" i="5"/>
  <c r="Q413" i="5"/>
  <c r="Q401" i="5"/>
  <c r="Q394" i="5"/>
  <c r="Q393" i="5"/>
  <c r="Q377" i="5"/>
  <c r="Q376" i="5"/>
  <c r="Q375" i="5"/>
  <c r="Q371" i="5"/>
  <c r="Q370" i="5"/>
  <c r="Q369" i="5"/>
  <c r="Q355" i="5"/>
  <c r="Q354" i="5"/>
  <c r="Q352" i="5"/>
  <c r="Q350" i="5"/>
  <c r="Q334" i="5"/>
  <c r="Q325" i="5"/>
  <c r="Q283" i="5"/>
  <c r="Q264" i="5"/>
  <c r="Q262" i="5"/>
  <c r="Q256" i="5"/>
  <c r="Q179" i="5"/>
  <c r="Q177" i="5"/>
  <c r="Q165" i="5"/>
  <c r="Q108" i="5"/>
  <c r="Q105" i="5"/>
  <c r="Q103" i="5"/>
  <c r="Q101" i="5"/>
  <c r="Q97" i="5"/>
  <c r="Q39" i="5"/>
  <c r="Q8" i="5"/>
  <c r="Q6" i="5"/>
  <c r="L69" i="4"/>
  <c r="G69" i="7"/>
  <c r="N1201" i="5"/>
  <c r="N1200" i="5"/>
  <c r="N1192" i="5"/>
  <c r="N1191" i="5"/>
  <c r="N1190" i="5"/>
  <c r="N1183" i="5"/>
  <c r="N1182" i="5"/>
  <c r="N1181" i="5"/>
  <c r="N1180" i="5"/>
  <c r="N1175" i="5"/>
  <c r="N1174" i="5"/>
  <c r="N1140" i="5"/>
  <c r="N1131" i="5"/>
  <c r="N1027" i="5"/>
  <c r="N1020" i="5"/>
  <c r="N994" i="5"/>
  <c r="N985" i="5"/>
  <c r="N977" i="5"/>
  <c r="N967" i="5"/>
  <c r="N966" i="5"/>
  <c r="N965" i="5"/>
  <c r="N640" i="5"/>
  <c r="N570" i="5"/>
  <c r="N554" i="5"/>
  <c r="N547" i="5"/>
  <c r="N530" i="5"/>
  <c r="N525" i="5"/>
  <c r="N522" i="5"/>
  <c r="N516" i="5"/>
  <c r="N514" i="5"/>
  <c r="N513" i="5"/>
  <c r="N511" i="5"/>
  <c r="N504" i="5"/>
  <c r="N503" i="5"/>
  <c r="N494" i="5"/>
  <c r="N492" i="5"/>
  <c r="K70" i="4"/>
  <c r="M70" i="4" s="1"/>
  <c r="N70" i="4" s="1"/>
  <c r="H69" i="7"/>
  <c r="O1201" i="5"/>
  <c r="O1200" i="5"/>
  <c r="O1192" i="5"/>
  <c r="O1191" i="5"/>
  <c r="O1190" i="5"/>
  <c r="O1183" i="5"/>
  <c r="O1182" i="5"/>
  <c r="O1181" i="5"/>
  <c r="O1180" i="5"/>
  <c r="O1175" i="5"/>
  <c r="O1174" i="5"/>
  <c r="O1140" i="5"/>
  <c r="O1131" i="5"/>
  <c r="O1027" i="5"/>
  <c r="O1020" i="5"/>
  <c r="O994" i="5"/>
  <c r="O985" i="5"/>
  <c r="O977" i="5"/>
  <c r="O967" i="5"/>
  <c r="O966" i="5"/>
  <c r="O965" i="5"/>
  <c r="O640" i="5"/>
  <c r="O570" i="5"/>
  <c r="O554" i="5"/>
  <c r="O547" i="5"/>
  <c r="O530" i="5"/>
  <c r="O525" i="5"/>
  <c r="O522" i="5"/>
  <c r="O516" i="5"/>
  <c r="O514" i="5"/>
  <c r="O513" i="5"/>
  <c r="O511" i="5"/>
  <c r="O504" i="5"/>
  <c r="O503" i="5"/>
  <c r="O494" i="5"/>
  <c r="O492" i="5"/>
  <c r="I69" i="7"/>
  <c r="Q1201" i="5"/>
  <c r="Q1200" i="5"/>
  <c r="Q1192" i="5"/>
  <c r="Q1191" i="5"/>
  <c r="Q1190" i="5"/>
  <c r="Q1183" i="5"/>
  <c r="Q1182" i="5"/>
  <c r="Q1181" i="5"/>
  <c r="Q1180" i="5"/>
  <c r="Q1175" i="5"/>
  <c r="Q1174" i="5"/>
  <c r="Q1140" i="5"/>
  <c r="Q1131" i="5"/>
  <c r="Q1027" i="5"/>
  <c r="Q1020" i="5"/>
  <c r="Q994" i="5"/>
  <c r="Q985" i="5"/>
  <c r="Q977" i="5"/>
  <c r="Q967" i="5"/>
  <c r="Q966" i="5"/>
  <c r="Q965" i="5"/>
  <c r="Q640" i="5"/>
  <c r="Q570" i="5"/>
  <c r="Q554" i="5"/>
  <c r="Q547" i="5"/>
  <c r="Q530" i="5"/>
  <c r="Q525" i="5"/>
  <c r="Q522" i="5"/>
  <c r="Q516" i="5"/>
  <c r="Q514" i="5"/>
  <c r="Q513" i="5"/>
  <c r="Q511" i="5"/>
  <c r="Q504" i="5"/>
  <c r="Q503" i="5"/>
  <c r="Q494" i="5"/>
  <c r="Q492" i="5"/>
  <c r="L70" i="4"/>
  <c r="G70" i="7"/>
  <c r="N321" i="5"/>
  <c r="N266" i="5"/>
  <c r="N107" i="5"/>
  <c r="N35" i="5"/>
  <c r="K71" i="4"/>
  <c r="M71" i="4" s="1"/>
  <c r="N71" i="4" s="1"/>
  <c r="H70" i="7"/>
  <c r="O321" i="5"/>
  <c r="O266" i="5"/>
  <c r="O107" i="5"/>
  <c r="O35" i="5"/>
  <c r="I70" i="7"/>
  <c r="Q321" i="5"/>
  <c r="Q266" i="5"/>
  <c r="Q107" i="5"/>
  <c r="Q35" i="5"/>
  <c r="L71" i="4"/>
  <c r="G71" i="7"/>
  <c r="N1179" i="5"/>
  <c r="N1178" i="5"/>
  <c r="N1177" i="5"/>
  <c r="N608" i="5"/>
  <c r="N600" i="5"/>
  <c r="N588" i="5"/>
  <c r="N587" i="5"/>
  <c r="N580" i="5"/>
  <c r="K72" i="4"/>
  <c r="M72" i="4" s="1"/>
  <c r="N72" i="4" s="1"/>
  <c r="H71" i="7"/>
  <c r="O1179" i="5"/>
  <c r="O1178" i="5"/>
  <c r="O1177" i="5"/>
  <c r="O608" i="5"/>
  <c r="O600" i="5"/>
  <c r="O588" i="5"/>
  <c r="O587" i="5"/>
  <c r="O580" i="5"/>
  <c r="I71" i="7"/>
  <c r="Q1179" i="5"/>
  <c r="Q1178" i="5"/>
  <c r="Q1177" i="5"/>
  <c r="Q608" i="5"/>
  <c r="Q600" i="5"/>
  <c r="Q588" i="5"/>
  <c r="Q587" i="5"/>
  <c r="Q580" i="5"/>
  <c r="L72" i="4"/>
  <c r="G72" i="7"/>
  <c r="N1176" i="5"/>
  <c r="K73" i="4"/>
  <c r="M73" i="4" s="1"/>
  <c r="H72" i="7"/>
  <c r="O1176" i="5"/>
  <c r="G73" i="7"/>
  <c r="N961" i="5"/>
  <c r="N951" i="5"/>
  <c r="N949" i="5"/>
  <c r="N893" i="5"/>
  <c r="N891" i="5"/>
  <c r="N857" i="5"/>
  <c r="N826" i="5"/>
  <c r="N335" i="5"/>
  <c r="N326" i="5"/>
  <c r="N284" i="5"/>
  <c r="N265" i="5"/>
  <c r="N263" i="5"/>
  <c r="N257" i="5"/>
  <c r="N180" i="5"/>
  <c r="N178" i="5"/>
  <c r="N166" i="5"/>
  <c r="N109" i="5"/>
  <c r="N106" i="5"/>
  <c r="N104" i="5"/>
  <c r="N102" i="5"/>
  <c r="N98" i="5"/>
  <c r="K74" i="4"/>
  <c r="M74" i="4" s="1"/>
  <c r="H73" i="7"/>
  <c r="O961" i="5"/>
  <c r="O951" i="5"/>
  <c r="O949" i="5"/>
  <c r="O893" i="5"/>
  <c r="O891" i="5"/>
  <c r="O857" i="5"/>
  <c r="O826" i="5"/>
  <c r="O335" i="5"/>
  <c r="O326" i="5"/>
  <c r="O284" i="5"/>
  <c r="O265" i="5"/>
  <c r="O263" i="5"/>
  <c r="O257" i="5"/>
  <c r="O180" i="5"/>
  <c r="O178" i="5"/>
  <c r="O166" i="5"/>
  <c r="O109" i="5"/>
  <c r="O106" i="5"/>
  <c r="O104" i="5"/>
  <c r="O102" i="5"/>
  <c r="O98" i="5"/>
  <c r="G74" i="7"/>
  <c r="N1039" i="5"/>
  <c r="K75" i="4"/>
  <c r="M75" i="4" s="1"/>
  <c r="N75" i="4" s="1"/>
  <c r="H74" i="7"/>
  <c r="O1039" i="5"/>
  <c r="I74" i="7"/>
  <c r="Q1039" i="5"/>
  <c r="L75" i="4"/>
  <c r="G75" i="7"/>
  <c r="N1090" i="5"/>
  <c r="N1061" i="5"/>
  <c r="N1060" i="5"/>
  <c r="K76" i="4"/>
  <c r="M76" i="4" s="1"/>
  <c r="N76" i="4" s="1"/>
  <c r="H75" i="7"/>
  <c r="O1090" i="5"/>
  <c r="O1061" i="5"/>
  <c r="O1060" i="5"/>
  <c r="I75" i="7"/>
  <c r="Q1090" i="5"/>
  <c r="Q1061" i="5"/>
  <c r="Q1060" i="5"/>
  <c r="L76" i="4"/>
  <c r="G76" i="7"/>
  <c r="N1089" i="5"/>
  <c r="N1088" i="5"/>
  <c r="K77" i="4"/>
  <c r="M77" i="4" s="1"/>
  <c r="H76" i="7"/>
  <c r="O1089" i="5"/>
  <c r="O1088" i="5"/>
  <c r="G77" i="7"/>
  <c r="N593" i="5"/>
  <c r="K78" i="4"/>
  <c r="M78" i="4" s="1"/>
  <c r="N78" i="4" s="1"/>
  <c r="H77" i="7"/>
  <c r="O593" i="5"/>
  <c r="I77" i="7"/>
  <c r="Q593" i="5"/>
  <c r="L78" i="4"/>
  <c r="G78" i="7"/>
  <c r="N1091" i="5"/>
  <c r="K79" i="4"/>
  <c r="M79" i="4" s="1"/>
  <c r="N79" i="4" s="1"/>
  <c r="H78" i="7"/>
  <c r="O1091" i="5"/>
  <c r="I78" i="7"/>
  <c r="Q1091" i="5"/>
  <c r="L79" i="4"/>
  <c r="G79" i="7"/>
  <c r="N1092" i="5"/>
  <c r="K80" i="4"/>
  <c r="M80" i="4" s="1"/>
  <c r="H79" i="7"/>
  <c r="O1092" i="5"/>
  <c r="G80" i="7"/>
  <c r="N611" i="5"/>
  <c r="N590" i="5"/>
  <c r="N579" i="5"/>
  <c r="N578" i="5"/>
  <c r="N576" i="5"/>
  <c r="N575" i="5"/>
  <c r="K81" i="4"/>
  <c r="M81" i="4" s="1"/>
  <c r="N81" i="4" s="1"/>
  <c r="H80" i="7"/>
  <c r="O611" i="5"/>
  <c r="O590" i="5"/>
  <c r="O579" i="5"/>
  <c r="O578" i="5"/>
  <c r="O576" i="5"/>
  <c r="O575" i="5"/>
  <c r="I80" i="7"/>
  <c r="Q611" i="5"/>
  <c r="Q590" i="5"/>
  <c r="Q579" i="5"/>
  <c r="Q578" i="5"/>
  <c r="Q576" i="5"/>
  <c r="Q575" i="5"/>
  <c r="L81" i="4"/>
  <c r="G81" i="7"/>
  <c r="N1051" i="5"/>
  <c r="K82" i="4"/>
  <c r="M82" i="4" s="1"/>
  <c r="N82" i="4" s="1"/>
  <c r="H81" i="7"/>
  <c r="O1051" i="5"/>
  <c r="I81" i="7"/>
  <c r="Q1051" i="5"/>
  <c r="L82" i="4"/>
  <c r="G82" i="7"/>
  <c r="N1121" i="5"/>
  <c r="N1119" i="5"/>
  <c r="N1117" i="5"/>
  <c r="N1115" i="5"/>
  <c r="N1113" i="5"/>
  <c r="N1111" i="5"/>
  <c r="N1109" i="5"/>
  <c r="N1107" i="5"/>
  <c r="N1105" i="5"/>
  <c r="N1103" i="5"/>
  <c r="N1095" i="5"/>
  <c r="K83" i="4"/>
  <c r="M83" i="4" s="1"/>
  <c r="N83" i="4" s="1"/>
  <c r="H82" i="7"/>
  <c r="O1121" i="5"/>
  <c r="O1119" i="5"/>
  <c r="O1117" i="5"/>
  <c r="O1115" i="5"/>
  <c r="O1113" i="5"/>
  <c r="O1111" i="5"/>
  <c r="O1109" i="5"/>
  <c r="O1107" i="5"/>
  <c r="O1105" i="5"/>
  <c r="O1103" i="5"/>
  <c r="O1095" i="5"/>
  <c r="I82" i="7"/>
  <c r="Q1121" i="5"/>
  <c r="Q1119" i="5"/>
  <c r="Q1117" i="5"/>
  <c r="Q1115" i="5"/>
  <c r="Q1113" i="5"/>
  <c r="Q1111" i="5"/>
  <c r="Q1109" i="5"/>
  <c r="Q1107" i="5"/>
  <c r="Q1105" i="5"/>
  <c r="Q1103" i="5"/>
  <c r="Q1095" i="5"/>
  <c r="L83" i="4"/>
  <c r="G83" i="7"/>
  <c r="N1064" i="5"/>
  <c r="N610" i="5"/>
  <c r="N597" i="5"/>
  <c r="N595" i="5"/>
  <c r="N594" i="5"/>
  <c r="N591" i="5"/>
  <c r="N586" i="5"/>
  <c r="N584" i="5"/>
  <c r="K84" i="4"/>
  <c r="M84" i="4" s="1"/>
  <c r="N84" i="4" s="1"/>
  <c r="H83" i="7"/>
  <c r="O1064" i="5"/>
  <c r="O610" i="5"/>
  <c r="O597" i="5"/>
  <c r="O595" i="5"/>
  <c r="O594" i="5"/>
  <c r="O591" i="5"/>
  <c r="O586" i="5"/>
  <c r="O584" i="5"/>
  <c r="I83" i="7"/>
  <c r="Q1064" i="5"/>
  <c r="Q610" i="5"/>
  <c r="Q597" i="5"/>
  <c r="Q595" i="5"/>
  <c r="Q594" i="5"/>
  <c r="Q591" i="5"/>
  <c r="Q586" i="5"/>
  <c r="Q584" i="5"/>
  <c r="L84" i="4"/>
  <c r="G84" i="7"/>
  <c r="N1122" i="5"/>
  <c r="N1120" i="5"/>
  <c r="N1118" i="5"/>
  <c r="N1116" i="5"/>
  <c r="N1114" i="5"/>
  <c r="N1112" i="5"/>
  <c r="N1110" i="5"/>
  <c r="N1108" i="5"/>
  <c r="N1106" i="5"/>
  <c r="N1104" i="5"/>
  <c r="N1096" i="5"/>
  <c r="K85" i="4"/>
  <c r="M85" i="4" s="1"/>
  <c r="H84" i="7"/>
  <c r="O1122" i="5"/>
  <c r="O1120" i="5"/>
  <c r="O1118" i="5"/>
  <c r="O1116" i="5"/>
  <c r="O1114" i="5"/>
  <c r="O1112" i="5"/>
  <c r="O1110" i="5"/>
  <c r="O1108" i="5"/>
  <c r="O1106" i="5"/>
  <c r="O1104" i="5"/>
  <c r="O1096" i="5"/>
  <c r="G85" i="7"/>
  <c r="N1073" i="5"/>
  <c r="N1062" i="5"/>
  <c r="N1058" i="5"/>
  <c r="K86" i="4"/>
  <c r="M86" i="4" s="1"/>
  <c r="N86" i="4" s="1"/>
  <c r="H85" i="7"/>
  <c r="O1073" i="5"/>
  <c r="O1062" i="5"/>
  <c r="O1058" i="5"/>
  <c r="I85" i="7"/>
  <c r="Q1073" i="5"/>
  <c r="Q1062" i="5"/>
  <c r="Q1058" i="5"/>
  <c r="L86" i="4"/>
  <c r="G86" i="7"/>
  <c r="N1074" i="5"/>
  <c r="N1063" i="5"/>
  <c r="N1059" i="5"/>
  <c r="K87" i="4"/>
  <c r="M87" i="4" s="1"/>
  <c r="H86" i="7"/>
  <c r="O1074" i="5"/>
  <c r="O1063" i="5"/>
  <c r="O1059" i="5"/>
  <c r="G87" i="7"/>
  <c r="N1076" i="5"/>
  <c r="K88" i="4"/>
  <c r="M88" i="4" s="1"/>
  <c r="N88" i="4" s="1"/>
  <c r="H87" i="7"/>
  <c r="O1076" i="5"/>
  <c r="I87" i="7"/>
  <c r="Q1076" i="5"/>
  <c r="L88" i="4"/>
  <c r="G88" i="7"/>
  <c r="N1077" i="5"/>
  <c r="K89" i="4"/>
  <c r="M89" i="4" s="1"/>
  <c r="H88" i="7"/>
  <c r="O1077" i="5"/>
  <c r="G89" i="7"/>
  <c r="N1102" i="5"/>
  <c r="N1101" i="5"/>
  <c r="N1087" i="5"/>
  <c r="N1085" i="5"/>
  <c r="N1083" i="5"/>
  <c r="N1082" i="5"/>
  <c r="N1080" i="5"/>
  <c r="N1078" i="5"/>
  <c r="N1069" i="5"/>
  <c r="N1067" i="5"/>
  <c r="N1065" i="5"/>
  <c r="K90" i="4"/>
  <c r="M90" i="4" s="1"/>
  <c r="N90" i="4" s="1"/>
  <c r="H89" i="7"/>
  <c r="O1102" i="5"/>
  <c r="O1101" i="5"/>
  <c r="O1087" i="5"/>
  <c r="O1085" i="5"/>
  <c r="O1083" i="5"/>
  <c r="O1082" i="5"/>
  <c r="O1080" i="5"/>
  <c r="O1078" i="5"/>
  <c r="O1069" i="5"/>
  <c r="O1067" i="5"/>
  <c r="O1065" i="5"/>
  <c r="I89" i="7"/>
  <c r="Q1102" i="5"/>
  <c r="Q1101" i="5"/>
  <c r="Q1087" i="5"/>
  <c r="Q1085" i="5"/>
  <c r="Q1083" i="5"/>
  <c r="Q1082" i="5"/>
  <c r="Q1080" i="5"/>
  <c r="Q1078" i="5"/>
  <c r="Q1069" i="5"/>
  <c r="Q1067" i="5"/>
  <c r="Q1065" i="5"/>
  <c r="L90" i="4"/>
  <c r="G90" i="7"/>
  <c r="N592" i="5"/>
  <c r="N589" i="5"/>
  <c r="N582" i="5"/>
  <c r="K91" i="4"/>
  <c r="M91" i="4" s="1"/>
  <c r="N91" i="4" s="1"/>
  <c r="H90" i="7"/>
  <c r="O592" i="5"/>
  <c r="O589" i="5"/>
  <c r="O582" i="5"/>
  <c r="I90" i="7"/>
  <c r="Q592" i="5"/>
  <c r="Q589" i="5"/>
  <c r="Q582" i="5"/>
  <c r="L91" i="4"/>
  <c r="G91" i="7"/>
  <c r="N1086" i="5"/>
  <c r="N1084" i="5"/>
  <c r="N1081" i="5"/>
  <c r="N1079" i="5"/>
  <c r="N1070" i="5"/>
  <c r="N1068" i="5"/>
  <c r="N1066" i="5"/>
  <c r="K92" i="4"/>
  <c r="M92" i="4" s="1"/>
  <c r="H91" i="7"/>
  <c r="O1086" i="5"/>
  <c r="O1084" i="5"/>
  <c r="O1081" i="5"/>
  <c r="O1079" i="5"/>
  <c r="O1070" i="5"/>
  <c r="O1068" i="5"/>
  <c r="O1066" i="5"/>
  <c r="G92" i="7"/>
  <c r="N1126" i="5"/>
  <c r="N1125" i="5"/>
  <c r="N1123" i="5"/>
  <c r="N1099" i="5"/>
  <c r="N1097" i="5"/>
  <c r="N1093" i="5"/>
  <c r="N1071" i="5"/>
  <c r="K93" i="4"/>
  <c r="M93" i="4" s="1"/>
  <c r="N93" i="4" s="1"/>
  <c r="H92" i="7"/>
  <c r="O1126" i="5"/>
  <c r="O1125" i="5"/>
  <c r="O1123" i="5"/>
  <c r="O1099" i="5"/>
  <c r="O1097" i="5"/>
  <c r="O1093" i="5"/>
  <c r="O1071" i="5"/>
  <c r="I92" i="7"/>
  <c r="Q1126" i="5"/>
  <c r="Q1125" i="5"/>
  <c r="Q1123" i="5"/>
  <c r="Q1099" i="5"/>
  <c r="Q1097" i="5"/>
  <c r="Q1093" i="5"/>
  <c r="Q1071" i="5"/>
  <c r="L93" i="4"/>
  <c r="G93" i="7"/>
  <c r="N598" i="5"/>
  <c r="N596" i="5"/>
  <c r="N585" i="5"/>
  <c r="N583" i="5"/>
  <c r="K94" i="4"/>
  <c r="M94" i="4" s="1"/>
  <c r="N94" i="4" s="1"/>
  <c r="H93" i="7"/>
  <c r="O598" i="5"/>
  <c r="O596" i="5"/>
  <c r="O585" i="5"/>
  <c r="O583" i="5"/>
  <c r="I93" i="7"/>
  <c r="Q598" i="5"/>
  <c r="Q596" i="5"/>
  <c r="Q585" i="5"/>
  <c r="Q583" i="5"/>
  <c r="L94" i="4"/>
  <c r="G94" i="7"/>
  <c r="N1124" i="5"/>
  <c r="N1100" i="5"/>
  <c r="N1098" i="5"/>
  <c r="N1094" i="5"/>
  <c r="N1072" i="5"/>
  <c r="K95" i="4"/>
  <c r="M95" i="4" s="1"/>
  <c r="H94" i="7"/>
  <c r="O1124" i="5"/>
  <c r="O1100" i="5"/>
  <c r="O1098" i="5"/>
  <c r="O1094" i="5"/>
  <c r="O1072" i="5"/>
  <c r="G102" i="7"/>
  <c r="N6" i="6"/>
  <c r="K107" i="4"/>
  <c r="H102" i="7"/>
  <c r="O6" i="6"/>
  <c r="G103" i="7"/>
  <c r="N27" i="6"/>
  <c r="N23" i="6"/>
  <c r="N20" i="6"/>
  <c r="N11" i="6"/>
  <c r="N9" i="6"/>
  <c r="N7" i="6"/>
  <c r="K108" i="4"/>
  <c r="M108" i="4" s="1"/>
  <c r="H103" i="7"/>
  <c r="O27" i="6"/>
  <c r="O23" i="6"/>
  <c r="O20" i="6"/>
  <c r="O11" i="6"/>
  <c r="O9" i="6"/>
  <c r="O7" i="6"/>
  <c r="G104" i="7"/>
  <c r="N24" i="6"/>
  <c r="N21" i="6"/>
  <c r="N10" i="6"/>
  <c r="N8" i="6"/>
  <c r="K109" i="4"/>
  <c r="M109" i="4" s="1"/>
  <c r="H104" i="7"/>
  <c r="O24" i="6"/>
  <c r="O21" i="6"/>
  <c r="O10" i="6"/>
  <c r="O8" i="6"/>
  <c r="G105" i="7"/>
  <c r="N12" i="6"/>
  <c r="K110" i="4"/>
  <c r="M110" i="4" s="1"/>
  <c r="H105" i="7"/>
  <c r="O12" i="6"/>
  <c r="G106" i="7"/>
  <c r="N5" i="6"/>
  <c r="K111" i="4"/>
  <c r="M111" i="4" s="1"/>
  <c r="H106" i="7"/>
  <c r="O5" i="6"/>
  <c r="G107" i="7"/>
  <c r="N29" i="6"/>
  <c r="N28" i="6"/>
  <c r="K112" i="4"/>
  <c r="M112" i="4" s="1"/>
  <c r="H107" i="7"/>
  <c r="O29" i="6"/>
  <c r="O28" i="6"/>
  <c r="G108" i="7"/>
  <c r="N30" i="6"/>
  <c r="K113" i="4"/>
  <c r="M113" i="4" s="1"/>
  <c r="H108" i="7"/>
  <c r="O30" i="6"/>
  <c r="G109" i="7"/>
  <c r="N31" i="6"/>
  <c r="K114" i="4"/>
  <c r="M114" i="4" s="1"/>
  <c r="H109" i="7"/>
  <c r="O31" i="6"/>
  <c r="G110" i="7"/>
  <c r="N49" i="6"/>
  <c r="N48" i="6"/>
  <c r="N47" i="6"/>
  <c r="N46" i="6"/>
  <c r="N45" i="6"/>
  <c r="N44" i="6"/>
  <c r="N43" i="6"/>
  <c r="N42" i="6"/>
  <c r="N41" i="6"/>
  <c r="N40" i="6"/>
  <c r="N32" i="6"/>
  <c r="K115" i="4"/>
  <c r="M115" i="4" s="1"/>
  <c r="H110" i="7"/>
  <c r="O49" i="6"/>
  <c r="O48" i="6"/>
  <c r="O47" i="6"/>
  <c r="O46" i="6"/>
  <c r="O45" i="6"/>
  <c r="O44" i="6"/>
  <c r="O43" i="6"/>
  <c r="O42" i="6"/>
  <c r="O41" i="6"/>
  <c r="O40" i="6"/>
  <c r="O32" i="6"/>
  <c r="G111" i="7"/>
  <c r="N34" i="6"/>
  <c r="N33" i="6"/>
  <c r="K116" i="4"/>
  <c r="M116" i="4" s="1"/>
  <c r="H111" i="7"/>
  <c r="O34" i="6"/>
  <c r="O33" i="6"/>
  <c r="G112" i="7"/>
  <c r="N39" i="6"/>
  <c r="N38" i="6"/>
  <c r="N25" i="6"/>
  <c r="N22" i="6"/>
  <c r="N18" i="6"/>
  <c r="N16" i="6"/>
  <c r="N14" i="6"/>
  <c r="N13" i="6"/>
  <c r="K117" i="4"/>
  <c r="M117" i="4" s="1"/>
  <c r="H112" i="7"/>
  <c r="O39" i="6"/>
  <c r="O38" i="6"/>
  <c r="O25" i="6"/>
  <c r="O22" i="6"/>
  <c r="O18" i="6"/>
  <c r="O16" i="6"/>
  <c r="O14" i="6"/>
  <c r="O13" i="6"/>
  <c r="G113" i="7"/>
  <c r="N26" i="6"/>
  <c r="N19" i="6"/>
  <c r="N17" i="6"/>
  <c r="N15" i="6"/>
  <c r="K118" i="4"/>
  <c r="M118" i="4" s="1"/>
  <c r="H113" i="7"/>
  <c r="O26" i="6"/>
  <c r="O19" i="6"/>
  <c r="O17" i="6"/>
  <c r="O15" i="6"/>
  <c r="G114" i="7"/>
  <c r="N36" i="6"/>
  <c r="N35" i="6"/>
  <c r="K119" i="4"/>
  <c r="M119" i="4" s="1"/>
  <c r="H114" i="7"/>
  <c r="O36" i="6"/>
  <c r="O35" i="6"/>
  <c r="G115" i="7"/>
  <c r="N37" i="6"/>
  <c r="K120" i="4"/>
  <c r="M120" i="4" s="1"/>
  <c r="H115" i="7"/>
  <c r="O37" i="6"/>
  <c r="S572" i="5"/>
  <c r="R759" i="5"/>
  <c r="R764" i="5"/>
  <c r="R796" i="5"/>
  <c r="R808" i="5"/>
  <c r="R841" i="5"/>
  <c r="R920" i="5"/>
  <c r="R941" i="5"/>
  <c r="K6" i="11"/>
  <c r="K7" i="11" s="1"/>
  <c r="K10" i="11"/>
  <c r="K11" i="11" s="1"/>
  <c r="K14" i="11"/>
  <c r="K15" i="11" s="1"/>
  <c r="K18" i="11"/>
  <c r="K19" i="11" s="1"/>
  <c r="K22" i="11"/>
  <c r="K23" i="11" s="1"/>
  <c r="K26" i="11"/>
  <c r="K27" i="11" s="1"/>
  <c r="K30" i="11"/>
  <c r="K31" i="11" s="1"/>
  <c r="K34" i="11"/>
  <c r="K35" i="11" s="1"/>
  <c r="K38" i="11"/>
  <c r="K39" i="11" s="1"/>
  <c r="K42" i="11"/>
  <c r="K43" i="11" s="1"/>
  <c r="K46" i="11"/>
  <c r="K47" i="11" s="1"/>
  <c r="K50" i="11"/>
  <c r="K51" i="11" s="1"/>
  <c r="U941" i="5" l="1"/>
  <c r="S941" i="5"/>
  <c r="U920" i="5"/>
  <c r="S920" i="5"/>
  <c r="U841" i="5"/>
  <c r="S841" i="5"/>
  <c r="U808" i="5"/>
  <c r="S808" i="5"/>
  <c r="U796" i="5"/>
  <c r="S796" i="5"/>
  <c r="U764" i="5"/>
  <c r="S764" i="5"/>
  <c r="U759" i="5"/>
  <c r="S759" i="5"/>
  <c r="R37" i="6"/>
  <c r="R35" i="6"/>
  <c r="R36" i="6"/>
  <c r="R15" i="6"/>
  <c r="R17" i="6"/>
  <c r="R19" i="6"/>
  <c r="R26" i="6"/>
  <c r="R13" i="6"/>
  <c r="R14" i="6"/>
  <c r="R16" i="6"/>
  <c r="R18" i="6"/>
  <c r="R22" i="6"/>
  <c r="R25" i="6"/>
  <c r="R38" i="6"/>
  <c r="R39" i="6"/>
  <c r="R33" i="6"/>
  <c r="R34" i="6"/>
  <c r="R32" i="6"/>
  <c r="R40" i="6"/>
  <c r="R41" i="6"/>
  <c r="R42" i="6"/>
  <c r="R43" i="6"/>
  <c r="R44" i="6"/>
  <c r="R45" i="6"/>
  <c r="R46" i="6"/>
  <c r="R47" i="6"/>
  <c r="R48" i="6"/>
  <c r="R49" i="6"/>
  <c r="R31" i="6"/>
  <c r="R30" i="6"/>
  <c r="R28" i="6"/>
  <c r="R29" i="6"/>
  <c r="R5" i="6"/>
  <c r="R12" i="6"/>
  <c r="R8" i="6"/>
  <c r="R10" i="6"/>
  <c r="R21" i="6"/>
  <c r="R24" i="6"/>
  <c r="R7" i="6"/>
  <c r="R9" i="6"/>
  <c r="R11" i="6"/>
  <c r="R20" i="6"/>
  <c r="R23" i="6"/>
  <c r="R27" i="6"/>
  <c r="K121" i="4"/>
  <c r="M107" i="4"/>
  <c r="R6" i="6"/>
  <c r="R1072" i="5"/>
  <c r="R1094" i="5"/>
  <c r="R1098" i="5"/>
  <c r="R1100" i="5"/>
  <c r="R1124" i="5"/>
  <c r="R583" i="5"/>
  <c r="R585" i="5"/>
  <c r="R596" i="5"/>
  <c r="R598" i="5"/>
  <c r="R1071" i="5"/>
  <c r="R1093" i="5"/>
  <c r="R1097" i="5"/>
  <c r="R1099" i="5"/>
  <c r="R1123" i="5"/>
  <c r="R1125" i="5"/>
  <c r="R1126" i="5"/>
  <c r="R1066" i="5"/>
  <c r="R1068" i="5"/>
  <c r="R1070" i="5"/>
  <c r="R1079" i="5"/>
  <c r="R1081" i="5"/>
  <c r="R1084" i="5"/>
  <c r="R1086" i="5"/>
  <c r="R582" i="5"/>
  <c r="R589" i="5"/>
  <c r="R592" i="5"/>
  <c r="R1065" i="5"/>
  <c r="R1067" i="5"/>
  <c r="R1069" i="5"/>
  <c r="R1078" i="5"/>
  <c r="R1080" i="5"/>
  <c r="R1082" i="5"/>
  <c r="R1083" i="5"/>
  <c r="R1085" i="5"/>
  <c r="R1087" i="5"/>
  <c r="R1101" i="5"/>
  <c r="R1102" i="5"/>
  <c r="R1077" i="5"/>
  <c r="R1076" i="5"/>
  <c r="R1059" i="5"/>
  <c r="R1063" i="5"/>
  <c r="R1074" i="5"/>
  <c r="R1058" i="5"/>
  <c r="R1062" i="5"/>
  <c r="R1073" i="5"/>
  <c r="R1096" i="5"/>
  <c r="R1104" i="5"/>
  <c r="R1106" i="5"/>
  <c r="R1108" i="5"/>
  <c r="R1110" i="5"/>
  <c r="R1112" i="5"/>
  <c r="R1114" i="5"/>
  <c r="R1116" i="5"/>
  <c r="R1118" i="5"/>
  <c r="R1120" i="5"/>
  <c r="R1122" i="5"/>
  <c r="R584" i="5"/>
  <c r="R586" i="5"/>
  <c r="R591" i="5"/>
  <c r="R594" i="5"/>
  <c r="R595" i="5"/>
  <c r="R597" i="5"/>
  <c r="R610" i="5"/>
  <c r="R1064" i="5"/>
  <c r="R1095" i="5"/>
  <c r="R1103" i="5"/>
  <c r="R1105" i="5"/>
  <c r="R1107" i="5"/>
  <c r="R1109" i="5"/>
  <c r="R1111" i="5"/>
  <c r="R1113" i="5"/>
  <c r="R1115" i="5"/>
  <c r="R1117" i="5"/>
  <c r="R1119" i="5"/>
  <c r="R1121" i="5"/>
  <c r="R1051" i="5"/>
  <c r="R575" i="5"/>
  <c r="R576" i="5"/>
  <c r="R578" i="5"/>
  <c r="R579" i="5"/>
  <c r="R590" i="5"/>
  <c r="R611" i="5"/>
  <c r="R1092" i="5"/>
  <c r="R1091" i="5"/>
  <c r="R593" i="5"/>
  <c r="R1088" i="5"/>
  <c r="R1089" i="5"/>
  <c r="R1060" i="5"/>
  <c r="R1061" i="5"/>
  <c r="R1090" i="5"/>
  <c r="R1039" i="5"/>
  <c r="R98" i="5"/>
  <c r="R102" i="5"/>
  <c r="R104" i="5"/>
  <c r="R106" i="5"/>
  <c r="R109" i="5"/>
  <c r="R166" i="5"/>
  <c r="R178" i="5"/>
  <c r="R180" i="5"/>
  <c r="R257" i="5"/>
  <c r="R263" i="5"/>
  <c r="R265" i="5"/>
  <c r="R284" i="5"/>
  <c r="R326" i="5"/>
  <c r="R335" i="5"/>
  <c r="R826" i="5"/>
  <c r="R857" i="5"/>
  <c r="R891" i="5"/>
  <c r="R893" i="5"/>
  <c r="R949" i="5"/>
  <c r="R951" i="5"/>
  <c r="R961" i="5"/>
  <c r="R1176" i="5"/>
  <c r="R580" i="5"/>
  <c r="R587" i="5"/>
  <c r="R588" i="5"/>
  <c r="R600" i="5"/>
  <c r="R608" i="5"/>
  <c r="R1177" i="5"/>
  <c r="R1178" i="5"/>
  <c r="R1179" i="5"/>
  <c r="R35" i="5"/>
  <c r="R107" i="5"/>
  <c r="R266" i="5"/>
  <c r="R321" i="5"/>
  <c r="R492" i="5"/>
  <c r="R494" i="5"/>
  <c r="R503" i="5"/>
  <c r="R504" i="5"/>
  <c r="R511" i="5"/>
  <c r="R513" i="5"/>
  <c r="R514" i="5"/>
  <c r="R516" i="5"/>
  <c r="R522" i="5"/>
  <c r="R525" i="5"/>
  <c r="R530" i="5"/>
  <c r="R547" i="5"/>
  <c r="R554" i="5"/>
  <c r="R570" i="5"/>
  <c r="R640" i="5"/>
  <c r="R965" i="5"/>
  <c r="R966" i="5"/>
  <c r="R967" i="5"/>
  <c r="R977" i="5"/>
  <c r="R985" i="5"/>
  <c r="R994" i="5"/>
  <c r="R1020" i="5"/>
  <c r="R1027" i="5"/>
  <c r="R1131" i="5"/>
  <c r="R1140" i="5"/>
  <c r="R1174" i="5"/>
  <c r="R1175" i="5"/>
  <c r="R1180" i="5"/>
  <c r="R1181" i="5"/>
  <c r="R1182" i="5"/>
  <c r="R1183" i="5"/>
  <c r="R1190" i="5"/>
  <c r="R1191" i="5"/>
  <c r="R1192" i="5"/>
  <c r="R1200" i="5"/>
  <c r="R1201" i="5"/>
  <c r="R6" i="5"/>
  <c r="R8" i="5"/>
  <c r="R39" i="5"/>
  <c r="R97" i="5"/>
  <c r="R101" i="5"/>
  <c r="R103" i="5"/>
  <c r="R105" i="5"/>
  <c r="R108" i="5"/>
  <c r="R165" i="5"/>
  <c r="R177" i="5"/>
  <c r="R179" i="5"/>
  <c r="R256" i="5"/>
  <c r="R262" i="5"/>
  <c r="R264" i="5"/>
  <c r="R283" i="5"/>
  <c r="R325" i="5"/>
  <c r="R334" i="5"/>
  <c r="R350" i="5"/>
  <c r="R352" i="5"/>
  <c r="R354" i="5"/>
  <c r="R355" i="5"/>
  <c r="R369" i="5"/>
  <c r="R370" i="5"/>
  <c r="R371" i="5"/>
  <c r="R375" i="5"/>
  <c r="R376" i="5"/>
  <c r="R377" i="5"/>
  <c r="R393" i="5"/>
  <c r="R394" i="5"/>
  <c r="R401" i="5"/>
  <c r="R413" i="5"/>
  <c r="R422" i="5"/>
  <c r="R433" i="5"/>
  <c r="R436" i="5"/>
  <c r="R454" i="5"/>
  <c r="R455" i="5"/>
  <c r="R462" i="5"/>
  <c r="R466" i="5"/>
  <c r="R479" i="5"/>
  <c r="R480" i="5"/>
  <c r="R656" i="5"/>
  <c r="R679" i="5"/>
  <c r="R685" i="5"/>
  <c r="R686" i="5"/>
  <c r="R689" i="5"/>
  <c r="R734" i="5"/>
  <c r="R825" i="5"/>
  <c r="R856" i="5"/>
  <c r="R890" i="5"/>
  <c r="R892" i="5"/>
  <c r="R948" i="5"/>
  <c r="R950" i="5"/>
  <c r="R960" i="5"/>
  <c r="R1057" i="5"/>
  <c r="R1151" i="5"/>
  <c r="R1173" i="5"/>
  <c r="R978" i="5"/>
  <c r="R1198" i="5"/>
  <c r="R506" i="5"/>
  <c r="R540" i="5"/>
  <c r="R564" i="5"/>
  <c r="R333" i="5"/>
  <c r="R432" i="5"/>
  <c r="R577" i="5"/>
  <c r="R1132" i="5"/>
  <c r="R1196" i="5"/>
  <c r="R336" i="5"/>
  <c r="R505" i="5"/>
  <c r="R539" i="5"/>
  <c r="R565" i="5"/>
  <c r="R1013" i="5"/>
  <c r="R1048" i="5"/>
  <c r="R1128" i="5"/>
  <c r="R1129" i="5"/>
  <c r="R1130" i="5"/>
  <c r="R1135" i="5"/>
  <c r="R1150" i="5"/>
  <c r="R1194" i="5"/>
  <c r="R1195" i="5"/>
  <c r="R1199" i="5"/>
  <c r="R332" i="5"/>
  <c r="R360" i="5"/>
  <c r="R367" i="5"/>
  <c r="R372" i="5"/>
  <c r="R382" i="5"/>
  <c r="R389" i="5"/>
  <c r="R397" i="5"/>
  <c r="R399" i="5"/>
  <c r="R407" i="5"/>
  <c r="R418" i="5"/>
  <c r="R420" i="5"/>
  <c r="R421" i="5"/>
  <c r="R427" i="5"/>
  <c r="R431" i="5"/>
  <c r="R441" i="5"/>
  <c r="R451" i="5"/>
  <c r="R458" i="5"/>
  <c r="R460" i="5"/>
  <c r="R464" i="5"/>
  <c r="R481" i="5"/>
  <c r="R643" i="5"/>
  <c r="R644" i="5"/>
  <c r="R645" i="5"/>
  <c r="R646" i="5"/>
  <c r="R647" i="5"/>
  <c r="R648" i="5"/>
  <c r="R649" i="5"/>
  <c r="R650" i="5"/>
  <c r="R581" i="5"/>
  <c r="R601" i="5"/>
  <c r="R1044" i="5"/>
  <c r="R1046" i="5"/>
  <c r="R1137" i="5"/>
  <c r="R1139" i="5"/>
  <c r="R1186" i="5"/>
  <c r="R1188" i="5"/>
  <c r="R14" i="5"/>
  <c r="R18" i="5"/>
  <c r="R24" i="5"/>
  <c r="R30" i="5"/>
  <c r="R56" i="5"/>
  <c r="R58" i="5"/>
  <c r="R60" i="5"/>
  <c r="R62" i="5"/>
  <c r="R64" i="5"/>
  <c r="R66" i="5"/>
  <c r="R68" i="5"/>
  <c r="R168" i="5"/>
  <c r="R170" i="5"/>
  <c r="R173" i="5"/>
  <c r="R175" i="5"/>
  <c r="R188" i="5"/>
  <c r="R194" i="5"/>
  <c r="R200" i="5"/>
  <c r="R204" i="5"/>
  <c r="R217" i="5"/>
  <c r="R219" i="5"/>
  <c r="R221" i="5"/>
  <c r="R223" i="5"/>
  <c r="R225" i="5"/>
  <c r="R227" i="5"/>
  <c r="R229" i="5"/>
  <c r="R231" i="5"/>
  <c r="R249" i="5"/>
  <c r="R251" i="5"/>
  <c r="R253" i="5"/>
  <c r="R255" i="5"/>
  <c r="R261" i="5"/>
  <c r="R288" i="5"/>
  <c r="R294" i="5"/>
  <c r="R300" i="5"/>
  <c r="R306" i="5"/>
  <c r="R311" i="5"/>
  <c r="R316" i="5"/>
  <c r="R320" i="5"/>
  <c r="R328" i="5"/>
  <c r="R330" i="5"/>
  <c r="R357" i="5"/>
  <c r="R365" i="5"/>
  <c r="R385" i="5"/>
  <c r="R388" i="5"/>
  <c r="R404" i="5"/>
  <c r="R412" i="5"/>
  <c r="R415" i="5"/>
  <c r="R426" i="5"/>
  <c r="R438" i="5"/>
  <c r="R446" i="5"/>
  <c r="R448" i="5"/>
  <c r="R474" i="5"/>
  <c r="R662" i="5"/>
  <c r="R664" i="5"/>
  <c r="R668" i="5"/>
  <c r="R696" i="5"/>
  <c r="R702" i="5"/>
  <c r="R705" i="5"/>
  <c r="R713" i="5"/>
  <c r="R715" i="5"/>
  <c r="R721" i="5"/>
  <c r="R828" i="5"/>
  <c r="R830" i="5"/>
  <c r="R832" i="5"/>
  <c r="R838" i="5"/>
  <c r="R849" i="5"/>
  <c r="R853" i="5"/>
  <c r="R863" i="5"/>
  <c r="R865" i="5"/>
  <c r="R871" i="5"/>
  <c r="R877" i="5"/>
  <c r="R883" i="5"/>
  <c r="R917" i="5"/>
  <c r="R924" i="5"/>
  <c r="R930" i="5"/>
  <c r="R936" i="5"/>
  <c r="R945" i="5"/>
  <c r="R953" i="5"/>
  <c r="R955" i="5"/>
  <c r="R957" i="5"/>
  <c r="R959" i="5"/>
  <c r="R1158" i="5"/>
  <c r="R1165" i="5"/>
  <c r="R1172" i="5"/>
  <c r="R897" i="5"/>
  <c r="R903" i="5"/>
  <c r="R911" i="5"/>
  <c r="R603" i="5"/>
  <c r="R604" i="5"/>
  <c r="R605" i="5"/>
  <c r="R507" i="5"/>
  <c r="R508" i="5"/>
  <c r="R509" i="5"/>
  <c r="R510" i="5"/>
  <c r="R515" i="5"/>
  <c r="R523" i="5"/>
  <c r="R541" i="5"/>
  <c r="R542" i="5"/>
  <c r="R543" i="5"/>
  <c r="R544" i="5"/>
  <c r="R545" i="5"/>
  <c r="R546" i="5"/>
  <c r="R566" i="5"/>
  <c r="R567" i="5"/>
  <c r="R568" i="5"/>
  <c r="R569" i="5"/>
  <c r="R634" i="5"/>
  <c r="R635" i="5"/>
  <c r="R636" i="5"/>
  <c r="R637" i="5"/>
  <c r="R638" i="5"/>
  <c r="R639" i="5"/>
  <c r="R981" i="5"/>
  <c r="R982" i="5"/>
  <c r="R983" i="5"/>
  <c r="R984" i="5"/>
  <c r="R997" i="5"/>
  <c r="R998" i="5"/>
  <c r="R999" i="5"/>
  <c r="R1006" i="5"/>
  <c r="R1023" i="5"/>
  <c r="R1028" i="5"/>
  <c r="R1029" i="5"/>
  <c r="R1030" i="5"/>
  <c r="R1031" i="5"/>
  <c r="R1043" i="5"/>
  <c r="R1045" i="5"/>
  <c r="R1047" i="5"/>
  <c r="R1055" i="5"/>
  <c r="R1056" i="5"/>
  <c r="R1136" i="5"/>
  <c r="R1138" i="5"/>
  <c r="R1147" i="5"/>
  <c r="R1184" i="5"/>
  <c r="R1185" i="5"/>
  <c r="R1187" i="5"/>
  <c r="R1189" i="5"/>
  <c r="R1193" i="5"/>
  <c r="R7" i="5"/>
  <c r="R13" i="5"/>
  <c r="R17" i="5"/>
  <c r="R23" i="5"/>
  <c r="R29" i="5"/>
  <c r="R33" i="5"/>
  <c r="R55" i="5"/>
  <c r="R57" i="5"/>
  <c r="R59" i="5"/>
  <c r="R61" i="5"/>
  <c r="R63" i="5"/>
  <c r="R65" i="5"/>
  <c r="R67" i="5"/>
  <c r="R116" i="5"/>
  <c r="R117" i="5"/>
  <c r="R127" i="5"/>
  <c r="R128" i="5"/>
  <c r="R138" i="5"/>
  <c r="R139" i="5"/>
  <c r="R144" i="5"/>
  <c r="R152" i="5"/>
  <c r="R153" i="5"/>
  <c r="R167" i="5"/>
  <c r="R169" i="5"/>
  <c r="R171" i="5"/>
  <c r="R172" i="5"/>
  <c r="R174" i="5"/>
  <c r="R187" i="5"/>
  <c r="R193" i="5"/>
  <c r="R199" i="5"/>
  <c r="R203" i="5"/>
  <c r="R216" i="5"/>
  <c r="R218" i="5"/>
  <c r="R220" i="5"/>
  <c r="R222" i="5"/>
  <c r="R224" i="5"/>
  <c r="R226" i="5"/>
  <c r="R228" i="5"/>
  <c r="R230" i="5"/>
  <c r="R248" i="5"/>
  <c r="R250" i="5"/>
  <c r="R252" i="5"/>
  <c r="R254" i="5"/>
  <c r="R260" i="5"/>
  <c r="R272" i="5"/>
  <c r="R273" i="5"/>
  <c r="R287" i="5"/>
  <c r="R293" i="5"/>
  <c r="R299" i="5"/>
  <c r="R305" i="5"/>
  <c r="R310" i="5"/>
  <c r="R315" i="5"/>
  <c r="R319" i="5"/>
  <c r="R327" i="5"/>
  <c r="R329" i="5"/>
  <c r="R341" i="5"/>
  <c r="R342" i="5"/>
  <c r="R345" i="5"/>
  <c r="R356" i="5"/>
  <c r="R364" i="5"/>
  <c r="R384" i="5"/>
  <c r="R387" i="5"/>
  <c r="R403" i="5"/>
  <c r="R411" i="5"/>
  <c r="R414" i="5"/>
  <c r="R425" i="5"/>
  <c r="R437" i="5"/>
  <c r="R445" i="5"/>
  <c r="R447" i="5"/>
  <c r="R473" i="5"/>
  <c r="R661" i="5"/>
  <c r="R663" i="5"/>
  <c r="R667" i="5"/>
  <c r="R676" i="5"/>
  <c r="R678" i="5"/>
  <c r="R680" i="5"/>
  <c r="R681" i="5"/>
  <c r="R682" i="5"/>
  <c r="R690" i="5"/>
  <c r="R691" i="5"/>
  <c r="R692" i="5"/>
  <c r="R695" i="5"/>
  <c r="R701" i="5"/>
  <c r="R704" i="5"/>
  <c r="R712" i="5"/>
  <c r="R714" i="5"/>
  <c r="R720" i="5"/>
  <c r="R737" i="5"/>
  <c r="R738" i="5"/>
  <c r="R740" i="5"/>
  <c r="R750" i="5"/>
  <c r="R752" i="5"/>
  <c r="R754" i="5"/>
  <c r="R756" i="5"/>
  <c r="R766" i="5"/>
  <c r="R767" i="5"/>
  <c r="R768" i="5"/>
  <c r="R776" i="5"/>
  <c r="R779" i="5"/>
  <c r="R780" i="5"/>
  <c r="R782" i="5"/>
  <c r="R787" i="5"/>
  <c r="R788" i="5"/>
  <c r="R798" i="5"/>
  <c r="R799" i="5"/>
  <c r="R812" i="5"/>
  <c r="R815" i="5"/>
  <c r="R819" i="5"/>
  <c r="R827" i="5"/>
  <c r="R829" i="5"/>
  <c r="R831" i="5"/>
  <c r="R837" i="5"/>
  <c r="R848" i="5"/>
  <c r="R852" i="5"/>
  <c r="R862" i="5"/>
  <c r="R864" i="5"/>
  <c r="R870" i="5"/>
  <c r="R876" i="5"/>
  <c r="R882" i="5"/>
  <c r="R896" i="5"/>
  <c r="R902" i="5"/>
  <c r="R910" i="5"/>
  <c r="R916" i="5"/>
  <c r="R923" i="5"/>
  <c r="R929" i="5"/>
  <c r="R935" i="5"/>
  <c r="R944" i="5"/>
  <c r="R952" i="5"/>
  <c r="R954" i="5"/>
  <c r="R956" i="5"/>
  <c r="R958" i="5"/>
  <c r="R1154" i="5"/>
  <c r="R1157" i="5"/>
  <c r="R1161" i="5"/>
  <c r="R1164" i="5"/>
  <c r="R1168" i="5"/>
  <c r="R1171" i="5"/>
  <c r="R1206" i="5"/>
  <c r="R1207" i="5"/>
  <c r="R1221" i="5"/>
  <c r="R1224" i="5"/>
  <c r="R1149" i="5"/>
  <c r="R606" i="5"/>
  <c r="R607" i="5"/>
  <c r="R609" i="5"/>
  <c r="R490" i="5"/>
  <c r="R493" i="5"/>
  <c r="R614" i="5"/>
  <c r="R368" i="5"/>
  <c r="R373" i="5"/>
  <c r="R386" i="5"/>
  <c r="R392" i="5"/>
  <c r="R416" i="5"/>
  <c r="R419" i="5"/>
  <c r="R651" i="5"/>
  <c r="R652" i="5"/>
  <c r="R629" i="5"/>
  <c r="R688" i="5"/>
  <c r="R491" i="5"/>
  <c r="R615" i="5"/>
  <c r="R616" i="5"/>
  <c r="R628" i="5"/>
  <c r="R974" i="5"/>
  <c r="R975" i="5"/>
  <c r="R1007" i="5"/>
  <c r="R1009" i="5"/>
  <c r="R1021" i="5"/>
  <c r="R1033" i="5"/>
  <c r="R1035" i="5"/>
  <c r="R383" i="5"/>
  <c r="R417" i="5"/>
  <c r="R653" i="5"/>
  <c r="R502" i="5"/>
  <c r="R524" i="5"/>
  <c r="R536" i="5"/>
  <c r="R549" i="5"/>
  <c r="R556" i="5"/>
  <c r="R675" i="5"/>
  <c r="R626" i="5"/>
  <c r="R351" i="5"/>
  <c r="R353" i="5"/>
  <c r="R358" i="5"/>
  <c r="R359" i="5"/>
  <c r="R361" i="5"/>
  <c r="R362" i="5"/>
  <c r="R363" i="5"/>
  <c r="R391" i="5"/>
  <c r="R398" i="5"/>
  <c r="R400" i="5"/>
  <c r="R402" i="5"/>
  <c r="R405" i="5"/>
  <c r="R406" i="5"/>
  <c r="R408" i="5"/>
  <c r="R409" i="5"/>
  <c r="R410" i="5"/>
  <c r="R423" i="5"/>
  <c r="R424" i="5"/>
  <c r="R428" i="5"/>
  <c r="R429" i="5"/>
  <c r="R430" i="5"/>
  <c r="R434" i="5"/>
  <c r="R435" i="5"/>
  <c r="R439" i="5"/>
  <c r="R440" i="5"/>
  <c r="R442" i="5"/>
  <c r="R443" i="5"/>
  <c r="R444" i="5"/>
  <c r="R452" i="5"/>
  <c r="R453" i="5"/>
  <c r="R456" i="5"/>
  <c r="R457" i="5"/>
  <c r="R459" i="5"/>
  <c r="R461" i="5"/>
  <c r="R463" i="5"/>
  <c r="R465" i="5"/>
  <c r="R467" i="5"/>
  <c r="R468" i="5"/>
  <c r="R469" i="5"/>
  <c r="R470" i="5"/>
  <c r="R471" i="5"/>
  <c r="R472" i="5"/>
  <c r="R475" i="5"/>
  <c r="R476" i="5"/>
  <c r="R477" i="5"/>
  <c r="R478" i="5"/>
  <c r="R482" i="5"/>
  <c r="R684" i="5"/>
  <c r="R10" i="5"/>
  <c r="R16" i="5"/>
  <c r="R22" i="5"/>
  <c r="R28" i="5"/>
  <c r="R82" i="5"/>
  <c r="R84" i="5"/>
  <c r="R86" i="5"/>
  <c r="R88" i="5"/>
  <c r="R90" i="5"/>
  <c r="R92" i="5"/>
  <c r="R94" i="5"/>
  <c r="R96" i="5"/>
  <c r="R182" i="5"/>
  <c r="R186" i="5"/>
  <c r="R192" i="5"/>
  <c r="R198" i="5"/>
  <c r="R241" i="5"/>
  <c r="R243" i="5"/>
  <c r="R245" i="5"/>
  <c r="R247" i="5"/>
  <c r="R286" i="5"/>
  <c r="R292" i="5"/>
  <c r="R298" i="5"/>
  <c r="R304" i="5"/>
  <c r="R660" i="5"/>
  <c r="R670" i="5"/>
  <c r="R698" i="5"/>
  <c r="R707" i="5"/>
  <c r="R711" i="5"/>
  <c r="R717" i="5"/>
  <c r="R834" i="5"/>
  <c r="R843" i="5"/>
  <c r="R845" i="5"/>
  <c r="R851" i="5"/>
  <c r="R859" i="5"/>
  <c r="R861" i="5"/>
  <c r="R869" i="5"/>
  <c r="R875" i="5"/>
  <c r="R881" i="5"/>
  <c r="R895" i="5"/>
  <c r="R901" i="5"/>
  <c r="R907" i="5"/>
  <c r="R909" i="5"/>
  <c r="R915" i="5"/>
  <c r="R922" i="5"/>
  <c r="R928" i="5"/>
  <c r="R934" i="5"/>
  <c r="R943" i="5"/>
  <c r="R1197" i="5"/>
  <c r="R617" i="5"/>
  <c r="R618" i="5"/>
  <c r="R990" i="5"/>
  <c r="R991" i="5"/>
  <c r="R992" i="5"/>
  <c r="R993" i="5"/>
  <c r="R9" i="5"/>
  <c r="R15" i="5"/>
  <c r="R21" i="5"/>
  <c r="R27" i="5"/>
  <c r="R81" i="5"/>
  <c r="R83" i="5"/>
  <c r="R85" i="5"/>
  <c r="R87" i="5"/>
  <c r="R89" i="5"/>
  <c r="R91" i="5"/>
  <c r="R93" i="5"/>
  <c r="R95" i="5"/>
  <c r="R118" i="5"/>
  <c r="R119" i="5"/>
  <c r="R120" i="5"/>
  <c r="R129" i="5"/>
  <c r="R130" i="5"/>
  <c r="R131" i="5"/>
  <c r="R142" i="5"/>
  <c r="R143" i="5"/>
  <c r="R145" i="5"/>
  <c r="R154" i="5"/>
  <c r="R155" i="5"/>
  <c r="R156" i="5"/>
  <c r="R181" i="5"/>
  <c r="R185" i="5"/>
  <c r="R191" i="5"/>
  <c r="R197" i="5"/>
  <c r="R240" i="5"/>
  <c r="R242" i="5"/>
  <c r="R244" i="5"/>
  <c r="R246" i="5"/>
  <c r="R274" i="5"/>
  <c r="R275" i="5"/>
  <c r="R276" i="5"/>
  <c r="R285" i="5"/>
  <c r="R291" i="5"/>
  <c r="R297" i="5"/>
  <c r="R303" i="5"/>
  <c r="R309" i="5"/>
  <c r="R314" i="5"/>
  <c r="R343" i="5"/>
  <c r="R344" i="5"/>
  <c r="R659" i="5"/>
  <c r="R669" i="5"/>
  <c r="R697" i="5"/>
  <c r="R706" i="5"/>
  <c r="R710" i="5"/>
  <c r="R716" i="5"/>
  <c r="R735" i="5"/>
  <c r="R736" i="5"/>
  <c r="R739" i="5"/>
  <c r="R748" i="5"/>
  <c r="R751" i="5"/>
  <c r="R753" i="5"/>
  <c r="R769" i="5"/>
  <c r="R770" i="5"/>
  <c r="R778" i="5"/>
  <c r="R781" i="5"/>
  <c r="R783" i="5"/>
  <c r="R784" i="5"/>
  <c r="R785" i="5"/>
  <c r="R789" i="5"/>
  <c r="R800" i="5"/>
  <c r="R801" i="5"/>
  <c r="R802" i="5"/>
  <c r="R809" i="5"/>
  <c r="R811" i="5"/>
  <c r="R814" i="5"/>
  <c r="R817" i="5"/>
  <c r="R833" i="5"/>
  <c r="R842" i="5"/>
  <c r="R844" i="5"/>
  <c r="R850" i="5"/>
  <c r="R858" i="5"/>
  <c r="R860" i="5"/>
  <c r="R868" i="5"/>
  <c r="R874" i="5"/>
  <c r="R880" i="5"/>
  <c r="R894" i="5"/>
  <c r="R900" i="5"/>
  <c r="R906" i="5"/>
  <c r="R908" i="5"/>
  <c r="R914" i="5"/>
  <c r="R921" i="5"/>
  <c r="R927" i="5"/>
  <c r="R933" i="5"/>
  <c r="R942" i="5"/>
  <c r="R1148" i="5"/>
  <c r="R1152" i="5"/>
  <c r="R1155" i="5"/>
  <c r="R1159" i="5"/>
  <c r="R1162" i="5"/>
  <c r="R1166" i="5"/>
  <c r="R1169" i="5"/>
  <c r="R1210" i="5"/>
  <c r="R1211" i="5"/>
  <c r="R1213" i="5"/>
  <c r="R1219" i="5"/>
  <c r="R1222" i="5"/>
  <c r="R1053" i="5"/>
  <c r="R1146" i="5"/>
  <c r="R674" i="5"/>
  <c r="R37" i="5"/>
  <c r="R43" i="5"/>
  <c r="R208" i="5"/>
  <c r="R214" i="5"/>
  <c r="R323" i="5"/>
  <c r="R666" i="5"/>
  <c r="R729" i="5"/>
  <c r="R731" i="5"/>
  <c r="R840" i="5"/>
  <c r="R919" i="5"/>
  <c r="R940" i="5"/>
  <c r="R38" i="5"/>
  <c r="R44" i="5"/>
  <c r="R209" i="5"/>
  <c r="R215" i="5"/>
  <c r="R324" i="5"/>
  <c r="R673" i="5"/>
  <c r="R722" i="5"/>
  <c r="R723" i="5"/>
  <c r="R727" i="5"/>
  <c r="R760" i="5"/>
  <c r="R765" i="5"/>
  <c r="R792" i="5"/>
  <c r="R797" i="5"/>
  <c r="R1142" i="5"/>
  <c r="R1143" i="5"/>
  <c r="R1144" i="5"/>
  <c r="R1145" i="5"/>
  <c r="R1205" i="5"/>
  <c r="R1225" i="5"/>
  <c r="R807" i="5"/>
  <c r="R36" i="5"/>
  <c r="R42" i="5"/>
  <c r="R114" i="5"/>
  <c r="R115" i="5"/>
  <c r="R125" i="5"/>
  <c r="R126" i="5"/>
  <c r="R136" i="5"/>
  <c r="R137" i="5"/>
  <c r="R150" i="5"/>
  <c r="R151" i="5"/>
  <c r="R207" i="5"/>
  <c r="R213" i="5"/>
  <c r="R270" i="5"/>
  <c r="R271" i="5"/>
  <c r="R322" i="5"/>
  <c r="R339" i="5"/>
  <c r="R340" i="5"/>
  <c r="R665" i="5"/>
  <c r="R728" i="5"/>
  <c r="R730" i="5"/>
  <c r="R741" i="5"/>
  <c r="R742" i="5"/>
  <c r="R758" i="5"/>
  <c r="R763" i="5"/>
  <c r="R791" i="5"/>
  <c r="R795" i="5"/>
  <c r="R839" i="5"/>
  <c r="R918" i="5"/>
  <c r="R939" i="5"/>
  <c r="R1141" i="5"/>
  <c r="R1204" i="5"/>
  <c r="R1218" i="5"/>
  <c r="R1133" i="5"/>
  <c r="R1134" i="5"/>
  <c r="R162" i="5"/>
  <c r="R282" i="5"/>
  <c r="R889" i="5"/>
  <c r="R599" i="5"/>
  <c r="R485" i="5"/>
  <c r="R620" i="5"/>
  <c r="R621" i="5"/>
  <c r="R625" i="5"/>
  <c r="R964" i="5"/>
  <c r="R1000" i="5"/>
  <c r="R1003" i="5"/>
  <c r="R1012" i="5"/>
  <c r="R1026" i="5"/>
  <c r="R122" i="5"/>
  <c r="R133" i="5"/>
  <c r="R147" i="5"/>
  <c r="R158" i="5"/>
  <c r="R161" i="5"/>
  <c r="R278" i="5"/>
  <c r="R281" i="5"/>
  <c r="R349" i="5"/>
  <c r="R655" i="5"/>
  <c r="R747" i="5"/>
  <c r="R771" i="5"/>
  <c r="R774" i="5"/>
  <c r="R804" i="5"/>
  <c r="R888" i="5"/>
  <c r="R1215" i="5"/>
  <c r="R1041" i="5"/>
  <c r="R100" i="5"/>
  <c r="R164" i="5"/>
  <c r="R259" i="5"/>
  <c r="R824" i="5"/>
  <c r="R486" i="5"/>
  <c r="R487" i="5"/>
  <c r="R619" i="5"/>
  <c r="R622" i="5"/>
  <c r="R968" i="5"/>
  <c r="R1040" i="5"/>
  <c r="R1127" i="5"/>
  <c r="R5" i="5"/>
  <c r="R99" i="5"/>
  <c r="R121" i="5"/>
  <c r="R132" i="5"/>
  <c r="R146" i="5"/>
  <c r="R157" i="5"/>
  <c r="R163" i="5"/>
  <c r="R258" i="5"/>
  <c r="R277" i="5"/>
  <c r="R346" i="5"/>
  <c r="R374" i="5"/>
  <c r="R677" i="5"/>
  <c r="R775" i="5"/>
  <c r="R777" i="5"/>
  <c r="R803" i="5"/>
  <c r="R823" i="5"/>
  <c r="R1214" i="5"/>
  <c r="R1226" i="5"/>
  <c r="R12" i="5"/>
  <c r="R20" i="5"/>
  <c r="R26" i="5"/>
  <c r="R32" i="5"/>
  <c r="R46" i="5"/>
  <c r="R48" i="5"/>
  <c r="R50" i="5"/>
  <c r="R52" i="5"/>
  <c r="R54" i="5"/>
  <c r="R70" i="5"/>
  <c r="R72" i="5"/>
  <c r="R74" i="5"/>
  <c r="R76" i="5"/>
  <c r="R78" i="5"/>
  <c r="R80" i="5"/>
  <c r="R184" i="5"/>
  <c r="R190" i="5"/>
  <c r="R196" i="5"/>
  <c r="R202" i="5"/>
  <c r="R206" i="5"/>
  <c r="R233" i="5"/>
  <c r="R235" i="5"/>
  <c r="R237" i="5"/>
  <c r="R239" i="5"/>
  <c r="R290" i="5"/>
  <c r="R296" i="5"/>
  <c r="R302" i="5"/>
  <c r="R308" i="5"/>
  <c r="R313" i="5"/>
  <c r="R318" i="5"/>
  <c r="R658" i="5"/>
  <c r="R672" i="5"/>
  <c r="R694" i="5"/>
  <c r="R700" i="5"/>
  <c r="R709" i="5"/>
  <c r="R719" i="5"/>
  <c r="R836" i="5"/>
  <c r="R847" i="5"/>
  <c r="R855" i="5"/>
  <c r="R867" i="5"/>
  <c r="R873" i="5"/>
  <c r="R879" i="5"/>
  <c r="R885" i="5"/>
  <c r="R899" i="5"/>
  <c r="R905" i="5"/>
  <c r="R913" i="5"/>
  <c r="R926" i="5"/>
  <c r="R932" i="5"/>
  <c r="R938" i="5"/>
  <c r="R947" i="5"/>
  <c r="R623" i="5"/>
  <c r="R624" i="5"/>
  <c r="R995" i="5"/>
  <c r="R996" i="5"/>
  <c r="R11" i="5"/>
  <c r="R19" i="5"/>
  <c r="R25" i="5"/>
  <c r="R31" i="5"/>
  <c r="R34" i="5"/>
  <c r="R45" i="5"/>
  <c r="R47" i="5"/>
  <c r="R49" i="5"/>
  <c r="R51" i="5"/>
  <c r="R53" i="5"/>
  <c r="R69" i="5"/>
  <c r="R71" i="5"/>
  <c r="R73" i="5"/>
  <c r="R75" i="5"/>
  <c r="R77" i="5"/>
  <c r="R79" i="5"/>
  <c r="R140" i="5"/>
  <c r="R141" i="5"/>
  <c r="R183" i="5"/>
  <c r="R189" i="5"/>
  <c r="R195" i="5"/>
  <c r="R201" i="5"/>
  <c r="R205" i="5"/>
  <c r="R232" i="5"/>
  <c r="R234" i="5"/>
  <c r="R236" i="5"/>
  <c r="R238" i="5"/>
  <c r="R289" i="5"/>
  <c r="R295" i="5"/>
  <c r="R301" i="5"/>
  <c r="R307" i="5"/>
  <c r="R312" i="5"/>
  <c r="R317" i="5"/>
  <c r="R657" i="5"/>
  <c r="R671" i="5"/>
  <c r="R693" i="5"/>
  <c r="R699" i="5"/>
  <c r="R708" i="5"/>
  <c r="R718" i="5"/>
  <c r="R743" i="5"/>
  <c r="R744" i="5"/>
  <c r="R749" i="5"/>
  <c r="R755" i="5"/>
  <c r="R757" i="5"/>
  <c r="R786" i="5"/>
  <c r="R790" i="5"/>
  <c r="R810" i="5"/>
  <c r="R813" i="5"/>
  <c r="R816" i="5"/>
  <c r="R818" i="5"/>
  <c r="R820" i="5"/>
  <c r="R835" i="5"/>
  <c r="R846" i="5"/>
  <c r="R854" i="5"/>
  <c r="R866" i="5"/>
  <c r="R872" i="5"/>
  <c r="R878" i="5"/>
  <c r="R884" i="5"/>
  <c r="R898" i="5"/>
  <c r="R904" i="5"/>
  <c r="R912" i="5"/>
  <c r="R925" i="5"/>
  <c r="R931" i="5"/>
  <c r="R937" i="5"/>
  <c r="R946" i="5"/>
  <c r="R1052" i="5"/>
  <c r="R1054" i="5"/>
  <c r="R1153" i="5"/>
  <c r="R1156" i="5"/>
  <c r="R1160" i="5"/>
  <c r="R1163" i="5"/>
  <c r="R1167" i="5"/>
  <c r="R1170" i="5"/>
  <c r="R1208" i="5"/>
  <c r="R1209" i="5"/>
  <c r="R1212" i="5"/>
  <c r="R1220" i="5"/>
  <c r="R1223" i="5"/>
  <c r="R1049" i="5"/>
  <c r="R1050" i="5"/>
  <c r="R176" i="5"/>
  <c r="R488" i="5"/>
  <c r="R495" i="5"/>
  <c r="R496" i="5"/>
  <c r="R497" i="5"/>
  <c r="R498" i="5"/>
  <c r="R500" i="5"/>
  <c r="R501" i="5"/>
  <c r="R526" i="5"/>
  <c r="R527" i="5"/>
  <c r="R528" i="5"/>
  <c r="R529" i="5"/>
  <c r="R531" i="5"/>
  <c r="R532" i="5"/>
  <c r="R533" i="5"/>
  <c r="R534" i="5"/>
  <c r="R537" i="5"/>
  <c r="R538" i="5"/>
  <c r="R548" i="5"/>
  <c r="R550" i="5"/>
  <c r="R551" i="5"/>
  <c r="R552" i="5"/>
  <c r="R557" i="5"/>
  <c r="R558" i="5"/>
  <c r="R559" i="5"/>
  <c r="R560" i="5"/>
  <c r="R561" i="5"/>
  <c r="R562" i="5"/>
  <c r="R563" i="5"/>
  <c r="R979" i="5"/>
  <c r="R1005" i="5"/>
  <c r="R267" i="5"/>
  <c r="R654" i="5"/>
  <c r="R687" i="5"/>
  <c r="R630" i="5"/>
  <c r="R631" i="5"/>
  <c r="R632" i="5"/>
  <c r="R633" i="5"/>
  <c r="R726" i="5"/>
  <c r="R1042" i="5"/>
  <c r="R1075" i="5"/>
  <c r="R489" i="5"/>
  <c r="R499" i="5"/>
  <c r="R512" i="5"/>
  <c r="R517" i="5"/>
  <c r="R520" i="5"/>
  <c r="R521" i="5"/>
  <c r="R535" i="5"/>
  <c r="R555" i="5"/>
  <c r="R969" i="5"/>
  <c r="R970" i="5"/>
  <c r="R971" i="5"/>
  <c r="R972" i="5"/>
  <c r="R980" i="5"/>
  <c r="R986" i="5"/>
  <c r="R987" i="5"/>
  <c r="R1004" i="5"/>
  <c r="R1014" i="5"/>
  <c r="R1015" i="5"/>
  <c r="R1017" i="5"/>
  <c r="R1018" i="5"/>
  <c r="R1019" i="5"/>
  <c r="R1022" i="5"/>
  <c r="R1032" i="5"/>
  <c r="R1034" i="5"/>
  <c r="R1036" i="5"/>
  <c r="R111" i="5"/>
  <c r="R210" i="5"/>
  <c r="R331" i="5"/>
  <c r="R366" i="5"/>
  <c r="R378" i="5"/>
  <c r="R379" i="5"/>
  <c r="R380" i="5"/>
  <c r="R381" i="5"/>
  <c r="R390" i="5"/>
  <c r="R395" i="5"/>
  <c r="R396" i="5"/>
  <c r="R449" i="5"/>
  <c r="R450" i="5"/>
  <c r="R683" i="5"/>
  <c r="R725" i="5"/>
  <c r="R602" i="5"/>
  <c r="R553" i="5"/>
  <c r="R110" i="5"/>
  <c r="R724" i="5"/>
  <c r="R518" i="5"/>
  <c r="R519" i="5"/>
  <c r="R703" i="5"/>
  <c r="K101" i="4"/>
  <c r="M6" i="4"/>
  <c r="R627" i="5"/>
  <c r="R973" i="5"/>
  <c r="R976" i="5"/>
  <c r="R1008" i="5"/>
  <c r="R1016" i="5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16" i="12"/>
  <c r="L16" i="12" s="1"/>
  <c r="L13" i="12"/>
  <c r="K7" i="10"/>
  <c r="L6" i="10"/>
  <c r="L6" i="11"/>
  <c r="L10" i="11"/>
  <c r="L14" i="11"/>
  <c r="L18" i="11"/>
  <c r="L22" i="11"/>
  <c r="L26" i="11"/>
  <c r="L30" i="11"/>
  <c r="L34" i="11"/>
  <c r="L38" i="11"/>
  <c r="L42" i="11"/>
  <c r="L46" i="11"/>
  <c r="L50" i="11"/>
  <c r="K18" i="14"/>
  <c r="L6" i="14"/>
  <c r="L9" i="15"/>
  <c r="M9" i="15" s="1"/>
  <c r="M6" i="15"/>
  <c r="L15" i="15"/>
  <c r="M15" i="15" s="1"/>
  <c r="M12" i="15"/>
  <c r="L20" i="15"/>
  <c r="M20" i="15" s="1"/>
  <c r="M18" i="15"/>
  <c r="L26" i="15"/>
  <c r="M26" i="15" s="1"/>
  <c r="M23" i="15"/>
  <c r="L32" i="15"/>
  <c r="M32" i="15" s="1"/>
  <c r="M29" i="15"/>
  <c r="L37" i="15"/>
  <c r="M37" i="15" s="1"/>
  <c r="M35" i="15"/>
  <c r="L43" i="15"/>
  <c r="M43" i="15" s="1"/>
  <c r="M40" i="15"/>
  <c r="L48" i="15"/>
  <c r="M48" i="15" s="1"/>
  <c r="M46" i="15"/>
  <c r="L55" i="15"/>
  <c r="M55" i="15" s="1"/>
  <c r="M51" i="15"/>
  <c r="L62" i="15"/>
  <c r="M62" i="15" s="1"/>
  <c r="M58" i="15"/>
  <c r="L68" i="15"/>
  <c r="M68" i="15" s="1"/>
  <c r="M65" i="15"/>
  <c r="L73" i="15"/>
  <c r="M73" i="15" s="1"/>
  <c r="M71" i="15"/>
  <c r="L80" i="15"/>
  <c r="M80" i="15" s="1"/>
  <c r="M76" i="15"/>
  <c r="L86" i="15"/>
  <c r="M86" i="15" s="1"/>
  <c r="M83" i="15"/>
  <c r="L92" i="15"/>
  <c r="M92" i="15" s="1"/>
  <c r="M89" i="15"/>
  <c r="L97" i="15"/>
  <c r="M97" i="15" s="1"/>
  <c r="M95" i="15"/>
  <c r="L103" i="15"/>
  <c r="M103" i="15" s="1"/>
  <c r="M100" i="15"/>
  <c r="L109" i="15"/>
  <c r="M109" i="15" s="1"/>
  <c r="M106" i="15"/>
  <c r="L115" i="15"/>
  <c r="M115" i="15" s="1"/>
  <c r="M112" i="15"/>
  <c r="L120" i="15"/>
  <c r="M120" i="15" s="1"/>
  <c r="M118" i="15"/>
  <c r="L126" i="15"/>
  <c r="M126" i="15" s="1"/>
  <c r="M123" i="15"/>
  <c r="L141" i="15"/>
  <c r="M141" i="15" s="1"/>
  <c r="M138" i="15"/>
  <c r="L135" i="15"/>
  <c r="M135" i="15" s="1"/>
  <c r="M129" i="15"/>
  <c r="K10" i="12"/>
  <c r="L6" i="12"/>
  <c r="K18" i="12" l="1"/>
  <c r="L10" i="12"/>
  <c r="K20" i="14"/>
  <c r="L18" i="14"/>
  <c r="L51" i="11"/>
  <c r="M51" i="11" s="1"/>
  <c r="M50" i="11"/>
  <c r="L47" i="11"/>
  <c r="M47" i="11" s="1"/>
  <c r="M46" i="11"/>
  <c r="L43" i="11"/>
  <c r="M43" i="11" s="1"/>
  <c r="M42" i="11"/>
  <c r="L39" i="11"/>
  <c r="M39" i="11" s="1"/>
  <c r="M38" i="11"/>
  <c r="L35" i="11"/>
  <c r="M35" i="11" s="1"/>
  <c r="M34" i="11"/>
  <c r="L31" i="11"/>
  <c r="M31" i="11" s="1"/>
  <c r="M30" i="11"/>
  <c r="L27" i="11"/>
  <c r="M27" i="11" s="1"/>
  <c r="M26" i="11"/>
  <c r="L23" i="11"/>
  <c r="M23" i="11" s="1"/>
  <c r="M22" i="11"/>
  <c r="L19" i="11"/>
  <c r="M19" i="11" s="1"/>
  <c r="M18" i="11"/>
  <c r="L15" i="11"/>
  <c r="M15" i="11" s="1"/>
  <c r="M14" i="11"/>
  <c r="L11" i="11"/>
  <c r="M11" i="11" s="1"/>
  <c r="M10" i="11"/>
  <c r="L7" i="11"/>
  <c r="M7" i="11" s="1"/>
  <c r="M6" i="11"/>
  <c r="K9" i="10"/>
  <c r="L7" i="10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U1016" i="5"/>
  <c r="V1016" i="5" s="1"/>
  <c r="T1016" i="5"/>
  <c r="S1016" i="5"/>
  <c r="U1008" i="5"/>
  <c r="V1008" i="5" s="1"/>
  <c r="T1008" i="5"/>
  <c r="S1008" i="5"/>
  <c r="U976" i="5"/>
  <c r="V976" i="5" s="1"/>
  <c r="T976" i="5"/>
  <c r="S976" i="5"/>
  <c r="U973" i="5"/>
  <c r="V973" i="5" s="1"/>
  <c r="T973" i="5"/>
  <c r="S973" i="5"/>
  <c r="U627" i="5"/>
  <c r="V627" i="5" s="1"/>
  <c r="T627" i="5"/>
  <c r="S627" i="5"/>
  <c r="M101" i="4"/>
  <c r="N6" i="4"/>
  <c r="U703" i="5"/>
  <c r="V703" i="5" s="1"/>
  <c r="T703" i="5"/>
  <c r="S703" i="5"/>
  <c r="U519" i="5"/>
  <c r="V519" i="5" s="1"/>
  <c r="T519" i="5"/>
  <c r="S519" i="5"/>
  <c r="U518" i="5"/>
  <c r="V518" i="5" s="1"/>
  <c r="T518" i="5"/>
  <c r="S518" i="5"/>
  <c r="U724" i="5"/>
  <c r="S724" i="5"/>
  <c r="U110" i="5"/>
  <c r="S110" i="5"/>
  <c r="U553" i="5"/>
  <c r="V553" i="5" s="1"/>
  <c r="T553" i="5"/>
  <c r="S553" i="5"/>
  <c r="U602" i="5"/>
  <c r="V602" i="5" s="1"/>
  <c r="T602" i="5"/>
  <c r="S602" i="5"/>
  <c r="U725" i="5"/>
  <c r="V725" i="5" s="1"/>
  <c r="T725" i="5"/>
  <c r="S725" i="5"/>
  <c r="U683" i="5"/>
  <c r="V683" i="5" s="1"/>
  <c r="T683" i="5"/>
  <c r="S683" i="5"/>
  <c r="U450" i="5"/>
  <c r="V450" i="5" s="1"/>
  <c r="T450" i="5"/>
  <c r="S450" i="5"/>
  <c r="U449" i="5"/>
  <c r="V449" i="5" s="1"/>
  <c r="T449" i="5"/>
  <c r="S449" i="5"/>
  <c r="U396" i="5"/>
  <c r="V396" i="5" s="1"/>
  <c r="T396" i="5"/>
  <c r="S396" i="5"/>
  <c r="U395" i="5"/>
  <c r="V395" i="5" s="1"/>
  <c r="T395" i="5"/>
  <c r="S395" i="5"/>
  <c r="U390" i="5"/>
  <c r="V390" i="5" s="1"/>
  <c r="T390" i="5"/>
  <c r="S390" i="5"/>
  <c r="U381" i="5"/>
  <c r="V381" i="5" s="1"/>
  <c r="T381" i="5"/>
  <c r="S381" i="5"/>
  <c r="U380" i="5"/>
  <c r="V380" i="5" s="1"/>
  <c r="T380" i="5"/>
  <c r="S380" i="5"/>
  <c r="U379" i="5"/>
  <c r="V379" i="5" s="1"/>
  <c r="T379" i="5"/>
  <c r="S379" i="5"/>
  <c r="U378" i="5"/>
  <c r="V378" i="5" s="1"/>
  <c r="T378" i="5"/>
  <c r="S378" i="5"/>
  <c r="U366" i="5"/>
  <c r="V366" i="5" s="1"/>
  <c r="T366" i="5"/>
  <c r="S366" i="5"/>
  <c r="U331" i="5"/>
  <c r="V331" i="5" s="1"/>
  <c r="T331" i="5"/>
  <c r="S331" i="5"/>
  <c r="U210" i="5"/>
  <c r="V210" i="5" s="1"/>
  <c r="T210" i="5"/>
  <c r="S210" i="5"/>
  <c r="U111" i="5"/>
  <c r="V111" i="5" s="1"/>
  <c r="T111" i="5"/>
  <c r="S111" i="5"/>
  <c r="U1036" i="5"/>
  <c r="V1036" i="5" s="1"/>
  <c r="T1036" i="5"/>
  <c r="S1036" i="5"/>
  <c r="U1034" i="5"/>
  <c r="V1034" i="5" s="1"/>
  <c r="T1034" i="5"/>
  <c r="S1034" i="5"/>
  <c r="U1032" i="5"/>
  <c r="V1032" i="5" s="1"/>
  <c r="T1032" i="5"/>
  <c r="S1032" i="5"/>
  <c r="U1022" i="5"/>
  <c r="V1022" i="5" s="1"/>
  <c r="T1022" i="5"/>
  <c r="S1022" i="5"/>
  <c r="U1019" i="5"/>
  <c r="V1019" i="5" s="1"/>
  <c r="T1019" i="5"/>
  <c r="S1019" i="5"/>
  <c r="U1018" i="5"/>
  <c r="V1018" i="5" s="1"/>
  <c r="T1018" i="5"/>
  <c r="S1018" i="5"/>
  <c r="U1017" i="5"/>
  <c r="V1017" i="5" s="1"/>
  <c r="T1017" i="5"/>
  <c r="S1017" i="5"/>
  <c r="U1015" i="5"/>
  <c r="V1015" i="5" s="1"/>
  <c r="T1015" i="5"/>
  <c r="S1015" i="5"/>
  <c r="U1014" i="5"/>
  <c r="V1014" i="5" s="1"/>
  <c r="T1014" i="5"/>
  <c r="S1014" i="5"/>
  <c r="U1004" i="5"/>
  <c r="V1004" i="5" s="1"/>
  <c r="T1004" i="5"/>
  <c r="S1004" i="5"/>
  <c r="U987" i="5"/>
  <c r="V987" i="5" s="1"/>
  <c r="T987" i="5"/>
  <c r="S987" i="5"/>
  <c r="U986" i="5"/>
  <c r="V986" i="5" s="1"/>
  <c r="T986" i="5"/>
  <c r="S986" i="5"/>
  <c r="U980" i="5"/>
  <c r="V980" i="5" s="1"/>
  <c r="T980" i="5"/>
  <c r="S980" i="5"/>
  <c r="U972" i="5"/>
  <c r="V972" i="5" s="1"/>
  <c r="T972" i="5"/>
  <c r="S972" i="5"/>
  <c r="U971" i="5"/>
  <c r="V971" i="5" s="1"/>
  <c r="T971" i="5"/>
  <c r="S971" i="5"/>
  <c r="U970" i="5"/>
  <c r="V970" i="5" s="1"/>
  <c r="T970" i="5"/>
  <c r="S970" i="5"/>
  <c r="U969" i="5"/>
  <c r="V969" i="5" s="1"/>
  <c r="T969" i="5"/>
  <c r="S969" i="5"/>
  <c r="U555" i="5"/>
  <c r="V555" i="5" s="1"/>
  <c r="T555" i="5"/>
  <c r="S555" i="5"/>
  <c r="U535" i="5"/>
  <c r="V535" i="5" s="1"/>
  <c r="T535" i="5"/>
  <c r="S535" i="5"/>
  <c r="U521" i="5"/>
  <c r="V521" i="5" s="1"/>
  <c r="T521" i="5"/>
  <c r="S521" i="5"/>
  <c r="U520" i="5"/>
  <c r="V520" i="5" s="1"/>
  <c r="T520" i="5"/>
  <c r="S520" i="5"/>
  <c r="U517" i="5"/>
  <c r="V517" i="5" s="1"/>
  <c r="T517" i="5"/>
  <c r="S517" i="5"/>
  <c r="U512" i="5"/>
  <c r="V512" i="5" s="1"/>
  <c r="T512" i="5"/>
  <c r="S512" i="5"/>
  <c r="U499" i="5"/>
  <c r="V499" i="5" s="1"/>
  <c r="T499" i="5"/>
  <c r="S499" i="5"/>
  <c r="U489" i="5"/>
  <c r="V489" i="5" s="1"/>
  <c r="T489" i="5"/>
  <c r="S489" i="5"/>
  <c r="U1075" i="5"/>
  <c r="V1075" i="5" s="1"/>
  <c r="T1075" i="5"/>
  <c r="S1075" i="5"/>
  <c r="U1042" i="5"/>
  <c r="V1042" i="5" s="1"/>
  <c r="T1042" i="5"/>
  <c r="S1042" i="5"/>
  <c r="U726" i="5"/>
  <c r="S726" i="5"/>
  <c r="U633" i="5"/>
  <c r="V633" i="5" s="1"/>
  <c r="T633" i="5"/>
  <c r="S633" i="5"/>
  <c r="U632" i="5"/>
  <c r="V632" i="5" s="1"/>
  <c r="T632" i="5"/>
  <c r="S632" i="5"/>
  <c r="U631" i="5"/>
  <c r="V631" i="5" s="1"/>
  <c r="T631" i="5"/>
  <c r="S631" i="5"/>
  <c r="U630" i="5"/>
  <c r="V630" i="5" s="1"/>
  <c r="T630" i="5"/>
  <c r="S630" i="5"/>
  <c r="U687" i="5"/>
  <c r="V687" i="5" s="1"/>
  <c r="T687" i="5"/>
  <c r="S687" i="5"/>
  <c r="U654" i="5"/>
  <c r="V654" i="5" s="1"/>
  <c r="T654" i="5"/>
  <c r="S654" i="5"/>
  <c r="U267" i="5"/>
  <c r="V267" i="5" s="1"/>
  <c r="T267" i="5"/>
  <c r="S267" i="5"/>
  <c r="U1005" i="5"/>
  <c r="V1005" i="5" s="1"/>
  <c r="T1005" i="5"/>
  <c r="S1005" i="5"/>
  <c r="U979" i="5"/>
  <c r="V979" i="5" s="1"/>
  <c r="T979" i="5"/>
  <c r="S979" i="5"/>
  <c r="U563" i="5"/>
  <c r="V563" i="5" s="1"/>
  <c r="T563" i="5"/>
  <c r="S563" i="5"/>
  <c r="U562" i="5"/>
  <c r="V562" i="5" s="1"/>
  <c r="T562" i="5"/>
  <c r="S562" i="5"/>
  <c r="U561" i="5"/>
  <c r="V561" i="5" s="1"/>
  <c r="T561" i="5"/>
  <c r="S561" i="5"/>
  <c r="U560" i="5"/>
  <c r="V560" i="5" s="1"/>
  <c r="T560" i="5"/>
  <c r="S560" i="5"/>
  <c r="U559" i="5"/>
  <c r="V559" i="5" s="1"/>
  <c r="T559" i="5"/>
  <c r="S559" i="5"/>
  <c r="U558" i="5"/>
  <c r="V558" i="5" s="1"/>
  <c r="T558" i="5"/>
  <c r="S558" i="5"/>
  <c r="U557" i="5"/>
  <c r="V557" i="5" s="1"/>
  <c r="T557" i="5"/>
  <c r="S557" i="5"/>
  <c r="U552" i="5"/>
  <c r="V552" i="5" s="1"/>
  <c r="T552" i="5"/>
  <c r="S552" i="5"/>
  <c r="U551" i="5"/>
  <c r="V551" i="5" s="1"/>
  <c r="T551" i="5"/>
  <c r="S551" i="5"/>
  <c r="U550" i="5"/>
  <c r="V550" i="5" s="1"/>
  <c r="T550" i="5"/>
  <c r="S550" i="5"/>
  <c r="U548" i="5"/>
  <c r="V548" i="5" s="1"/>
  <c r="T548" i="5"/>
  <c r="S548" i="5"/>
  <c r="U538" i="5"/>
  <c r="V538" i="5" s="1"/>
  <c r="T538" i="5"/>
  <c r="S538" i="5"/>
  <c r="U537" i="5"/>
  <c r="V537" i="5" s="1"/>
  <c r="T537" i="5"/>
  <c r="S537" i="5"/>
  <c r="U534" i="5"/>
  <c r="V534" i="5" s="1"/>
  <c r="T534" i="5"/>
  <c r="S534" i="5"/>
  <c r="U533" i="5"/>
  <c r="V533" i="5" s="1"/>
  <c r="T533" i="5"/>
  <c r="S533" i="5"/>
  <c r="U532" i="5"/>
  <c r="V532" i="5" s="1"/>
  <c r="T532" i="5"/>
  <c r="S532" i="5"/>
  <c r="U531" i="5"/>
  <c r="V531" i="5" s="1"/>
  <c r="T531" i="5"/>
  <c r="S531" i="5"/>
  <c r="U529" i="5"/>
  <c r="V529" i="5" s="1"/>
  <c r="T529" i="5"/>
  <c r="S529" i="5"/>
  <c r="U528" i="5"/>
  <c r="V528" i="5" s="1"/>
  <c r="T528" i="5"/>
  <c r="S528" i="5"/>
  <c r="U527" i="5"/>
  <c r="V527" i="5" s="1"/>
  <c r="T527" i="5"/>
  <c r="S527" i="5"/>
  <c r="U526" i="5"/>
  <c r="V526" i="5" s="1"/>
  <c r="T526" i="5"/>
  <c r="S526" i="5"/>
  <c r="U501" i="5"/>
  <c r="V501" i="5" s="1"/>
  <c r="T501" i="5"/>
  <c r="S501" i="5"/>
  <c r="U500" i="5"/>
  <c r="V500" i="5" s="1"/>
  <c r="T500" i="5"/>
  <c r="S500" i="5"/>
  <c r="U498" i="5"/>
  <c r="V498" i="5" s="1"/>
  <c r="T498" i="5"/>
  <c r="S498" i="5"/>
  <c r="U497" i="5"/>
  <c r="V497" i="5" s="1"/>
  <c r="T497" i="5"/>
  <c r="S497" i="5"/>
  <c r="U496" i="5"/>
  <c r="V496" i="5" s="1"/>
  <c r="T496" i="5"/>
  <c r="S496" i="5"/>
  <c r="U495" i="5"/>
  <c r="V495" i="5" s="1"/>
  <c r="T495" i="5"/>
  <c r="S495" i="5"/>
  <c r="U488" i="5"/>
  <c r="V488" i="5" s="1"/>
  <c r="T488" i="5"/>
  <c r="S488" i="5"/>
  <c r="U176" i="5"/>
  <c r="V176" i="5" s="1"/>
  <c r="T176" i="5"/>
  <c r="S176" i="5"/>
  <c r="U1050" i="5"/>
  <c r="V1050" i="5" s="1"/>
  <c r="T1050" i="5"/>
  <c r="S1050" i="5"/>
  <c r="U1049" i="5"/>
  <c r="V1049" i="5" s="1"/>
  <c r="T1049" i="5"/>
  <c r="S1049" i="5"/>
  <c r="U1223" i="5"/>
  <c r="V1223" i="5" s="1"/>
  <c r="T1223" i="5"/>
  <c r="S1223" i="5"/>
  <c r="U1220" i="5"/>
  <c r="V1220" i="5" s="1"/>
  <c r="T1220" i="5"/>
  <c r="S1220" i="5"/>
  <c r="U1212" i="5"/>
  <c r="V1212" i="5" s="1"/>
  <c r="T1212" i="5"/>
  <c r="S1212" i="5"/>
  <c r="U1209" i="5"/>
  <c r="V1209" i="5" s="1"/>
  <c r="T1209" i="5"/>
  <c r="S1209" i="5"/>
  <c r="U1208" i="5"/>
  <c r="V1208" i="5" s="1"/>
  <c r="T1208" i="5"/>
  <c r="S1208" i="5"/>
  <c r="U1170" i="5"/>
  <c r="V1170" i="5" s="1"/>
  <c r="T1170" i="5"/>
  <c r="S1170" i="5"/>
  <c r="U1167" i="5"/>
  <c r="V1167" i="5" s="1"/>
  <c r="T1167" i="5"/>
  <c r="S1167" i="5"/>
  <c r="U1163" i="5"/>
  <c r="V1163" i="5" s="1"/>
  <c r="T1163" i="5"/>
  <c r="S1163" i="5"/>
  <c r="U1160" i="5"/>
  <c r="V1160" i="5" s="1"/>
  <c r="T1160" i="5"/>
  <c r="S1160" i="5"/>
  <c r="U1156" i="5"/>
  <c r="V1156" i="5" s="1"/>
  <c r="T1156" i="5"/>
  <c r="S1156" i="5"/>
  <c r="U1153" i="5"/>
  <c r="V1153" i="5" s="1"/>
  <c r="T1153" i="5"/>
  <c r="S1153" i="5"/>
  <c r="U1054" i="5"/>
  <c r="V1054" i="5" s="1"/>
  <c r="T1054" i="5"/>
  <c r="S1054" i="5"/>
  <c r="U1052" i="5"/>
  <c r="V1052" i="5" s="1"/>
  <c r="T1052" i="5"/>
  <c r="S1052" i="5"/>
  <c r="U946" i="5"/>
  <c r="V946" i="5" s="1"/>
  <c r="T946" i="5"/>
  <c r="S946" i="5"/>
  <c r="U937" i="5"/>
  <c r="V937" i="5" s="1"/>
  <c r="T937" i="5"/>
  <c r="S937" i="5"/>
  <c r="U931" i="5"/>
  <c r="V931" i="5" s="1"/>
  <c r="T931" i="5"/>
  <c r="S931" i="5"/>
  <c r="U925" i="5"/>
  <c r="V925" i="5" s="1"/>
  <c r="T925" i="5"/>
  <c r="S925" i="5"/>
  <c r="U912" i="5"/>
  <c r="V912" i="5" s="1"/>
  <c r="T912" i="5"/>
  <c r="S912" i="5"/>
  <c r="U904" i="5"/>
  <c r="V904" i="5" s="1"/>
  <c r="T904" i="5"/>
  <c r="S904" i="5"/>
  <c r="U898" i="5"/>
  <c r="V898" i="5" s="1"/>
  <c r="T898" i="5"/>
  <c r="S898" i="5"/>
  <c r="U884" i="5"/>
  <c r="V884" i="5" s="1"/>
  <c r="T884" i="5"/>
  <c r="S884" i="5"/>
  <c r="U878" i="5"/>
  <c r="V878" i="5" s="1"/>
  <c r="T878" i="5"/>
  <c r="S878" i="5"/>
  <c r="U872" i="5"/>
  <c r="V872" i="5" s="1"/>
  <c r="T872" i="5"/>
  <c r="S872" i="5"/>
  <c r="U866" i="5"/>
  <c r="V866" i="5" s="1"/>
  <c r="T866" i="5"/>
  <c r="S866" i="5"/>
  <c r="U854" i="5"/>
  <c r="V854" i="5" s="1"/>
  <c r="T854" i="5"/>
  <c r="S854" i="5"/>
  <c r="U846" i="5"/>
  <c r="V846" i="5" s="1"/>
  <c r="T846" i="5"/>
  <c r="S846" i="5"/>
  <c r="U835" i="5"/>
  <c r="V835" i="5" s="1"/>
  <c r="T835" i="5"/>
  <c r="S835" i="5"/>
  <c r="U820" i="5"/>
  <c r="V820" i="5" s="1"/>
  <c r="T820" i="5"/>
  <c r="S820" i="5"/>
  <c r="U818" i="5"/>
  <c r="V818" i="5" s="1"/>
  <c r="T818" i="5"/>
  <c r="S818" i="5"/>
  <c r="U816" i="5"/>
  <c r="V816" i="5" s="1"/>
  <c r="T816" i="5"/>
  <c r="S816" i="5"/>
  <c r="U813" i="5"/>
  <c r="V813" i="5" s="1"/>
  <c r="T813" i="5"/>
  <c r="S813" i="5"/>
  <c r="U810" i="5"/>
  <c r="V810" i="5" s="1"/>
  <c r="T810" i="5"/>
  <c r="S810" i="5"/>
  <c r="U790" i="5"/>
  <c r="V790" i="5" s="1"/>
  <c r="T790" i="5"/>
  <c r="S790" i="5"/>
  <c r="U786" i="5"/>
  <c r="V786" i="5" s="1"/>
  <c r="T786" i="5"/>
  <c r="S786" i="5"/>
  <c r="U757" i="5"/>
  <c r="V757" i="5" s="1"/>
  <c r="T757" i="5"/>
  <c r="S757" i="5"/>
  <c r="U755" i="5"/>
  <c r="V755" i="5" s="1"/>
  <c r="T755" i="5"/>
  <c r="S755" i="5"/>
  <c r="U749" i="5"/>
  <c r="V749" i="5" s="1"/>
  <c r="T749" i="5"/>
  <c r="S749" i="5"/>
  <c r="U744" i="5"/>
  <c r="V744" i="5" s="1"/>
  <c r="T744" i="5"/>
  <c r="S744" i="5"/>
  <c r="U743" i="5"/>
  <c r="V743" i="5" s="1"/>
  <c r="T743" i="5"/>
  <c r="S743" i="5"/>
  <c r="U718" i="5"/>
  <c r="V718" i="5" s="1"/>
  <c r="T718" i="5"/>
  <c r="S718" i="5"/>
  <c r="U708" i="5"/>
  <c r="V708" i="5" s="1"/>
  <c r="T708" i="5"/>
  <c r="S708" i="5"/>
  <c r="U699" i="5"/>
  <c r="V699" i="5" s="1"/>
  <c r="T699" i="5"/>
  <c r="S699" i="5"/>
  <c r="U693" i="5"/>
  <c r="V693" i="5" s="1"/>
  <c r="T693" i="5"/>
  <c r="S693" i="5"/>
  <c r="U671" i="5"/>
  <c r="V671" i="5" s="1"/>
  <c r="T671" i="5"/>
  <c r="S671" i="5"/>
  <c r="U657" i="5"/>
  <c r="V657" i="5" s="1"/>
  <c r="T657" i="5"/>
  <c r="S657" i="5"/>
  <c r="U317" i="5"/>
  <c r="V317" i="5" s="1"/>
  <c r="T317" i="5"/>
  <c r="S317" i="5"/>
  <c r="U312" i="5"/>
  <c r="V312" i="5" s="1"/>
  <c r="T312" i="5"/>
  <c r="S312" i="5"/>
  <c r="U307" i="5"/>
  <c r="V307" i="5" s="1"/>
  <c r="T307" i="5"/>
  <c r="S307" i="5"/>
  <c r="U301" i="5"/>
  <c r="V301" i="5" s="1"/>
  <c r="T301" i="5"/>
  <c r="S301" i="5"/>
  <c r="U295" i="5"/>
  <c r="V295" i="5" s="1"/>
  <c r="T295" i="5"/>
  <c r="S295" i="5"/>
  <c r="U289" i="5"/>
  <c r="V289" i="5" s="1"/>
  <c r="T289" i="5"/>
  <c r="S289" i="5"/>
  <c r="U238" i="5"/>
  <c r="V238" i="5" s="1"/>
  <c r="T238" i="5"/>
  <c r="S238" i="5"/>
  <c r="U236" i="5"/>
  <c r="V236" i="5" s="1"/>
  <c r="T236" i="5"/>
  <c r="S236" i="5"/>
  <c r="U234" i="5"/>
  <c r="V234" i="5" s="1"/>
  <c r="T234" i="5"/>
  <c r="S234" i="5"/>
  <c r="U232" i="5"/>
  <c r="V232" i="5" s="1"/>
  <c r="T232" i="5"/>
  <c r="S232" i="5"/>
  <c r="U205" i="5"/>
  <c r="V205" i="5" s="1"/>
  <c r="T205" i="5"/>
  <c r="S205" i="5"/>
  <c r="U201" i="5"/>
  <c r="V201" i="5" s="1"/>
  <c r="T201" i="5"/>
  <c r="S201" i="5"/>
  <c r="U195" i="5"/>
  <c r="V195" i="5" s="1"/>
  <c r="T195" i="5"/>
  <c r="S195" i="5"/>
  <c r="U189" i="5"/>
  <c r="V189" i="5" s="1"/>
  <c r="T189" i="5"/>
  <c r="S189" i="5"/>
  <c r="U183" i="5"/>
  <c r="V183" i="5" s="1"/>
  <c r="T183" i="5"/>
  <c r="S183" i="5"/>
  <c r="U141" i="5"/>
  <c r="V141" i="5" s="1"/>
  <c r="T141" i="5"/>
  <c r="S141" i="5"/>
  <c r="U140" i="5"/>
  <c r="V140" i="5" s="1"/>
  <c r="T140" i="5"/>
  <c r="S140" i="5"/>
  <c r="U79" i="5"/>
  <c r="V79" i="5" s="1"/>
  <c r="T79" i="5"/>
  <c r="S79" i="5"/>
  <c r="U77" i="5"/>
  <c r="V77" i="5" s="1"/>
  <c r="T77" i="5"/>
  <c r="S77" i="5"/>
  <c r="U75" i="5"/>
  <c r="V75" i="5" s="1"/>
  <c r="T75" i="5"/>
  <c r="S75" i="5"/>
  <c r="U73" i="5"/>
  <c r="V73" i="5" s="1"/>
  <c r="T73" i="5"/>
  <c r="S73" i="5"/>
  <c r="U71" i="5"/>
  <c r="V71" i="5" s="1"/>
  <c r="T71" i="5"/>
  <c r="S71" i="5"/>
  <c r="U69" i="5"/>
  <c r="V69" i="5" s="1"/>
  <c r="T69" i="5"/>
  <c r="S69" i="5"/>
  <c r="U53" i="5"/>
  <c r="V53" i="5" s="1"/>
  <c r="T53" i="5"/>
  <c r="S53" i="5"/>
  <c r="U51" i="5"/>
  <c r="V51" i="5" s="1"/>
  <c r="T51" i="5"/>
  <c r="S51" i="5"/>
  <c r="U49" i="5"/>
  <c r="V49" i="5" s="1"/>
  <c r="T49" i="5"/>
  <c r="S49" i="5"/>
  <c r="U47" i="5"/>
  <c r="V47" i="5" s="1"/>
  <c r="T47" i="5"/>
  <c r="S47" i="5"/>
  <c r="U45" i="5"/>
  <c r="V45" i="5" s="1"/>
  <c r="T45" i="5"/>
  <c r="S45" i="5"/>
  <c r="U34" i="5"/>
  <c r="V34" i="5" s="1"/>
  <c r="T34" i="5"/>
  <c r="S34" i="5"/>
  <c r="U31" i="5"/>
  <c r="V31" i="5" s="1"/>
  <c r="T31" i="5"/>
  <c r="S31" i="5"/>
  <c r="U25" i="5"/>
  <c r="V25" i="5" s="1"/>
  <c r="T25" i="5"/>
  <c r="S25" i="5"/>
  <c r="U19" i="5"/>
  <c r="V19" i="5" s="1"/>
  <c r="T19" i="5"/>
  <c r="S19" i="5"/>
  <c r="U11" i="5"/>
  <c r="V11" i="5" s="1"/>
  <c r="T11" i="5"/>
  <c r="S11" i="5"/>
  <c r="U996" i="5"/>
  <c r="V996" i="5" s="1"/>
  <c r="T996" i="5"/>
  <c r="S996" i="5"/>
  <c r="U995" i="5"/>
  <c r="V995" i="5" s="1"/>
  <c r="T995" i="5"/>
  <c r="S995" i="5"/>
  <c r="U624" i="5"/>
  <c r="V624" i="5" s="1"/>
  <c r="T624" i="5"/>
  <c r="S624" i="5"/>
  <c r="U623" i="5"/>
  <c r="V623" i="5" s="1"/>
  <c r="T623" i="5"/>
  <c r="S623" i="5"/>
  <c r="U947" i="5"/>
  <c r="S947" i="5"/>
  <c r="U938" i="5"/>
  <c r="S938" i="5"/>
  <c r="U932" i="5"/>
  <c r="S932" i="5"/>
  <c r="U926" i="5"/>
  <c r="S926" i="5"/>
  <c r="U913" i="5"/>
  <c r="S913" i="5"/>
  <c r="U905" i="5"/>
  <c r="S905" i="5"/>
  <c r="U899" i="5"/>
  <c r="S899" i="5"/>
  <c r="U885" i="5"/>
  <c r="S885" i="5"/>
  <c r="U879" i="5"/>
  <c r="S879" i="5"/>
  <c r="U873" i="5"/>
  <c r="S873" i="5"/>
  <c r="U867" i="5"/>
  <c r="S867" i="5"/>
  <c r="U855" i="5"/>
  <c r="S855" i="5"/>
  <c r="U847" i="5"/>
  <c r="S847" i="5"/>
  <c r="U836" i="5"/>
  <c r="S836" i="5"/>
  <c r="U719" i="5"/>
  <c r="S719" i="5"/>
  <c r="U709" i="5"/>
  <c r="S709" i="5"/>
  <c r="U700" i="5"/>
  <c r="S700" i="5"/>
  <c r="U694" i="5"/>
  <c r="S694" i="5"/>
  <c r="U672" i="5"/>
  <c r="S672" i="5"/>
  <c r="U658" i="5"/>
  <c r="S658" i="5"/>
  <c r="U318" i="5"/>
  <c r="S318" i="5"/>
  <c r="U313" i="5"/>
  <c r="S313" i="5"/>
  <c r="U308" i="5"/>
  <c r="S308" i="5"/>
  <c r="U302" i="5"/>
  <c r="S302" i="5"/>
  <c r="U296" i="5"/>
  <c r="S296" i="5"/>
  <c r="U290" i="5"/>
  <c r="S290" i="5"/>
  <c r="U239" i="5"/>
  <c r="S239" i="5"/>
  <c r="U237" i="5"/>
  <c r="S237" i="5"/>
  <c r="U235" i="5"/>
  <c r="S235" i="5"/>
  <c r="U233" i="5"/>
  <c r="S233" i="5"/>
  <c r="U206" i="5"/>
  <c r="S206" i="5"/>
  <c r="U202" i="5"/>
  <c r="S202" i="5"/>
  <c r="U196" i="5"/>
  <c r="S196" i="5"/>
  <c r="U190" i="5"/>
  <c r="S190" i="5"/>
  <c r="U184" i="5"/>
  <c r="S184" i="5"/>
  <c r="U80" i="5"/>
  <c r="S80" i="5"/>
  <c r="U78" i="5"/>
  <c r="S78" i="5"/>
  <c r="U76" i="5"/>
  <c r="S76" i="5"/>
  <c r="U74" i="5"/>
  <c r="S74" i="5"/>
  <c r="U72" i="5"/>
  <c r="S72" i="5"/>
  <c r="U70" i="5"/>
  <c r="S70" i="5"/>
  <c r="U54" i="5"/>
  <c r="S54" i="5"/>
  <c r="U52" i="5"/>
  <c r="S52" i="5"/>
  <c r="U50" i="5"/>
  <c r="S50" i="5"/>
  <c r="U48" i="5"/>
  <c r="S48" i="5"/>
  <c r="U46" i="5"/>
  <c r="S46" i="5"/>
  <c r="U32" i="5"/>
  <c r="S32" i="5"/>
  <c r="U26" i="5"/>
  <c r="S26" i="5"/>
  <c r="U20" i="5"/>
  <c r="S20" i="5"/>
  <c r="U12" i="5"/>
  <c r="S12" i="5"/>
  <c r="U1226" i="5"/>
  <c r="V1226" i="5" s="1"/>
  <c r="T1226" i="5"/>
  <c r="S1226" i="5"/>
  <c r="U1214" i="5"/>
  <c r="V1214" i="5" s="1"/>
  <c r="T1214" i="5"/>
  <c r="S1214" i="5"/>
  <c r="R886" i="5"/>
  <c r="U823" i="5"/>
  <c r="T823" i="5"/>
  <c r="T886" i="5" s="1"/>
  <c r="S823" i="5"/>
  <c r="S886" i="5" s="1"/>
  <c r="U803" i="5"/>
  <c r="V803" i="5" s="1"/>
  <c r="T803" i="5"/>
  <c r="S803" i="5"/>
  <c r="U777" i="5"/>
  <c r="V777" i="5" s="1"/>
  <c r="T777" i="5"/>
  <c r="S777" i="5"/>
  <c r="U775" i="5"/>
  <c r="V775" i="5" s="1"/>
  <c r="T775" i="5"/>
  <c r="S775" i="5"/>
  <c r="U677" i="5"/>
  <c r="V677" i="5" s="1"/>
  <c r="T677" i="5"/>
  <c r="S677" i="5"/>
  <c r="U374" i="5"/>
  <c r="V374" i="5" s="1"/>
  <c r="T374" i="5"/>
  <c r="S374" i="5"/>
  <c r="U346" i="5"/>
  <c r="V346" i="5" s="1"/>
  <c r="T346" i="5"/>
  <c r="S346" i="5"/>
  <c r="U277" i="5"/>
  <c r="V277" i="5" s="1"/>
  <c r="T277" i="5"/>
  <c r="S277" i="5"/>
  <c r="U258" i="5"/>
  <c r="V258" i="5" s="1"/>
  <c r="T258" i="5"/>
  <c r="S258" i="5"/>
  <c r="U163" i="5"/>
  <c r="V163" i="5" s="1"/>
  <c r="T163" i="5"/>
  <c r="S163" i="5"/>
  <c r="U157" i="5"/>
  <c r="V157" i="5" s="1"/>
  <c r="T157" i="5"/>
  <c r="S157" i="5"/>
  <c r="U146" i="5"/>
  <c r="V146" i="5" s="1"/>
  <c r="T146" i="5"/>
  <c r="S146" i="5"/>
  <c r="U132" i="5"/>
  <c r="V132" i="5" s="1"/>
  <c r="T132" i="5"/>
  <c r="S132" i="5"/>
  <c r="U121" i="5"/>
  <c r="V121" i="5" s="1"/>
  <c r="T121" i="5"/>
  <c r="S121" i="5"/>
  <c r="U99" i="5"/>
  <c r="V99" i="5" s="1"/>
  <c r="T99" i="5"/>
  <c r="S99" i="5"/>
  <c r="R40" i="5"/>
  <c r="U5" i="5"/>
  <c r="T5" i="5"/>
  <c r="T40" i="5" s="1"/>
  <c r="S5" i="5"/>
  <c r="S40" i="5" s="1"/>
  <c r="U1127" i="5"/>
  <c r="V1127" i="5" s="1"/>
  <c r="T1127" i="5"/>
  <c r="S1127" i="5"/>
  <c r="U1040" i="5"/>
  <c r="V1040" i="5" s="1"/>
  <c r="T1040" i="5"/>
  <c r="S1040" i="5"/>
  <c r="U968" i="5"/>
  <c r="V968" i="5" s="1"/>
  <c r="T968" i="5"/>
  <c r="S968" i="5"/>
  <c r="U622" i="5"/>
  <c r="V622" i="5" s="1"/>
  <c r="T622" i="5"/>
  <c r="S622" i="5"/>
  <c r="U619" i="5"/>
  <c r="V619" i="5" s="1"/>
  <c r="T619" i="5"/>
  <c r="S619" i="5"/>
  <c r="U487" i="5"/>
  <c r="V487" i="5" s="1"/>
  <c r="T487" i="5"/>
  <c r="S487" i="5"/>
  <c r="U486" i="5"/>
  <c r="V486" i="5" s="1"/>
  <c r="T486" i="5"/>
  <c r="S486" i="5"/>
  <c r="U824" i="5"/>
  <c r="S824" i="5"/>
  <c r="U259" i="5"/>
  <c r="S259" i="5"/>
  <c r="U164" i="5"/>
  <c r="S164" i="5"/>
  <c r="U100" i="5"/>
  <c r="S100" i="5"/>
  <c r="U1041" i="5"/>
  <c r="S1041" i="5"/>
  <c r="U1215" i="5"/>
  <c r="V1215" i="5" s="1"/>
  <c r="T1215" i="5"/>
  <c r="S1215" i="5"/>
  <c r="R962" i="5"/>
  <c r="U888" i="5"/>
  <c r="T888" i="5"/>
  <c r="T962" i="5" s="1"/>
  <c r="S888" i="5"/>
  <c r="S962" i="5" s="1"/>
  <c r="U804" i="5"/>
  <c r="V804" i="5" s="1"/>
  <c r="T804" i="5"/>
  <c r="S804" i="5"/>
  <c r="R793" i="5"/>
  <c r="U774" i="5"/>
  <c r="T774" i="5"/>
  <c r="T793" i="5" s="1"/>
  <c r="S774" i="5"/>
  <c r="S793" i="5" s="1"/>
  <c r="U771" i="5"/>
  <c r="V771" i="5" s="1"/>
  <c r="T771" i="5"/>
  <c r="S771" i="5"/>
  <c r="R761" i="5"/>
  <c r="U747" i="5"/>
  <c r="T747" i="5"/>
  <c r="T761" i="5" s="1"/>
  <c r="S747" i="5"/>
  <c r="S761" i="5" s="1"/>
  <c r="U655" i="5"/>
  <c r="V655" i="5" s="1"/>
  <c r="T655" i="5"/>
  <c r="S655" i="5"/>
  <c r="R483" i="5"/>
  <c r="U349" i="5"/>
  <c r="T349" i="5"/>
  <c r="T483" i="5" s="1"/>
  <c r="S349" i="5"/>
  <c r="S483" i="5" s="1"/>
  <c r="R337" i="5"/>
  <c r="U281" i="5"/>
  <c r="T281" i="5"/>
  <c r="T337" i="5" s="1"/>
  <c r="S281" i="5"/>
  <c r="S337" i="5" s="1"/>
  <c r="U278" i="5"/>
  <c r="V278" i="5" s="1"/>
  <c r="T278" i="5"/>
  <c r="S278" i="5"/>
  <c r="R211" i="5"/>
  <c r="U161" i="5"/>
  <c r="T161" i="5"/>
  <c r="T211" i="5" s="1"/>
  <c r="S161" i="5"/>
  <c r="S211" i="5" s="1"/>
  <c r="U158" i="5"/>
  <c r="V158" i="5" s="1"/>
  <c r="T158" i="5"/>
  <c r="S158" i="5"/>
  <c r="U147" i="5"/>
  <c r="V147" i="5" s="1"/>
  <c r="T147" i="5"/>
  <c r="S147" i="5"/>
  <c r="U133" i="5"/>
  <c r="V133" i="5" s="1"/>
  <c r="T133" i="5"/>
  <c r="S133" i="5"/>
  <c r="U122" i="5"/>
  <c r="V122" i="5" s="1"/>
  <c r="T122" i="5"/>
  <c r="S122" i="5"/>
  <c r="R1037" i="5"/>
  <c r="U1026" i="5"/>
  <c r="T1026" i="5"/>
  <c r="T1037" i="5" s="1"/>
  <c r="S1026" i="5"/>
  <c r="S1037" i="5" s="1"/>
  <c r="R1024" i="5"/>
  <c r="U1012" i="5"/>
  <c r="T1012" i="5"/>
  <c r="T1024" i="5" s="1"/>
  <c r="S1012" i="5"/>
  <c r="S1024" i="5" s="1"/>
  <c r="R1010" i="5"/>
  <c r="U1003" i="5"/>
  <c r="T1003" i="5"/>
  <c r="T1010" i="5" s="1"/>
  <c r="S1003" i="5"/>
  <c r="S1010" i="5" s="1"/>
  <c r="U1000" i="5"/>
  <c r="V1000" i="5" s="1"/>
  <c r="T1000" i="5"/>
  <c r="S1000" i="5"/>
  <c r="R988" i="5"/>
  <c r="U964" i="5"/>
  <c r="T964" i="5"/>
  <c r="T988" i="5" s="1"/>
  <c r="S964" i="5"/>
  <c r="S988" i="5" s="1"/>
  <c r="U625" i="5"/>
  <c r="V625" i="5" s="1"/>
  <c r="T625" i="5"/>
  <c r="S625" i="5"/>
  <c r="U621" i="5"/>
  <c r="V621" i="5" s="1"/>
  <c r="T621" i="5"/>
  <c r="S621" i="5"/>
  <c r="U620" i="5"/>
  <c r="V620" i="5" s="1"/>
  <c r="T620" i="5"/>
  <c r="S620" i="5"/>
  <c r="R573" i="5"/>
  <c r="U485" i="5"/>
  <c r="T485" i="5"/>
  <c r="T573" i="5" s="1"/>
  <c r="S485" i="5"/>
  <c r="S573" i="5" s="1"/>
  <c r="U599" i="5"/>
  <c r="V599" i="5" s="1"/>
  <c r="T599" i="5"/>
  <c r="S599" i="5"/>
  <c r="U889" i="5"/>
  <c r="S889" i="5"/>
  <c r="U282" i="5"/>
  <c r="S282" i="5"/>
  <c r="U162" i="5"/>
  <c r="S162" i="5"/>
  <c r="U1134" i="5"/>
  <c r="V1134" i="5" s="1"/>
  <c r="T1134" i="5"/>
  <c r="S1134" i="5"/>
  <c r="U1133" i="5"/>
  <c r="V1133" i="5" s="1"/>
  <c r="T1133" i="5"/>
  <c r="S1133" i="5"/>
  <c r="R1227" i="5"/>
  <c r="U1218" i="5"/>
  <c r="T1218" i="5"/>
  <c r="T1227" i="5" s="1"/>
  <c r="S1218" i="5"/>
  <c r="S1227" i="5" s="1"/>
  <c r="R1216" i="5"/>
  <c r="U1204" i="5"/>
  <c r="T1204" i="5"/>
  <c r="T1216" i="5" s="1"/>
  <c r="S1204" i="5"/>
  <c r="S1216" i="5" s="1"/>
  <c r="U1141" i="5"/>
  <c r="V1141" i="5" s="1"/>
  <c r="T1141" i="5"/>
  <c r="S1141" i="5"/>
  <c r="U939" i="5"/>
  <c r="V939" i="5" s="1"/>
  <c r="T939" i="5"/>
  <c r="S939" i="5"/>
  <c r="U918" i="5"/>
  <c r="V918" i="5" s="1"/>
  <c r="T918" i="5"/>
  <c r="S918" i="5"/>
  <c r="U839" i="5"/>
  <c r="V839" i="5" s="1"/>
  <c r="T839" i="5"/>
  <c r="S839" i="5"/>
  <c r="R805" i="5"/>
  <c r="U795" i="5"/>
  <c r="T795" i="5"/>
  <c r="T805" i="5" s="1"/>
  <c r="S795" i="5"/>
  <c r="S805" i="5" s="1"/>
  <c r="U791" i="5"/>
  <c r="V791" i="5" s="1"/>
  <c r="T791" i="5"/>
  <c r="S791" i="5"/>
  <c r="R772" i="5"/>
  <c r="U763" i="5"/>
  <c r="T763" i="5"/>
  <c r="T772" i="5" s="1"/>
  <c r="S763" i="5"/>
  <c r="S772" i="5" s="1"/>
  <c r="U758" i="5"/>
  <c r="V758" i="5" s="1"/>
  <c r="T758" i="5"/>
  <c r="S758" i="5"/>
  <c r="U742" i="5"/>
  <c r="V742" i="5" s="1"/>
  <c r="T742" i="5"/>
  <c r="S742" i="5"/>
  <c r="U741" i="5"/>
  <c r="V741" i="5" s="1"/>
  <c r="T741" i="5"/>
  <c r="S741" i="5"/>
  <c r="U730" i="5"/>
  <c r="V730" i="5" s="1"/>
  <c r="T730" i="5"/>
  <c r="S730" i="5"/>
  <c r="U728" i="5"/>
  <c r="V728" i="5" s="1"/>
  <c r="T728" i="5"/>
  <c r="S728" i="5"/>
  <c r="U665" i="5"/>
  <c r="V665" i="5" s="1"/>
  <c r="T665" i="5"/>
  <c r="S665" i="5"/>
  <c r="U340" i="5"/>
  <c r="V340" i="5" s="1"/>
  <c r="T340" i="5"/>
  <c r="S340" i="5"/>
  <c r="R347" i="5"/>
  <c r="U339" i="5"/>
  <c r="T339" i="5"/>
  <c r="T347" i="5" s="1"/>
  <c r="S339" i="5"/>
  <c r="S347" i="5" s="1"/>
  <c r="U322" i="5"/>
  <c r="V322" i="5" s="1"/>
  <c r="T322" i="5"/>
  <c r="S322" i="5"/>
  <c r="U271" i="5"/>
  <c r="V271" i="5" s="1"/>
  <c r="T271" i="5"/>
  <c r="S271" i="5"/>
  <c r="R279" i="5"/>
  <c r="U270" i="5"/>
  <c r="T270" i="5"/>
  <c r="T279" i="5" s="1"/>
  <c r="S270" i="5"/>
  <c r="S279" i="5" s="1"/>
  <c r="R268" i="5"/>
  <c r="U213" i="5"/>
  <c r="T213" i="5"/>
  <c r="T268" i="5" s="1"/>
  <c r="S213" i="5"/>
  <c r="S268" i="5" s="1"/>
  <c r="U207" i="5"/>
  <c r="V207" i="5" s="1"/>
  <c r="T207" i="5"/>
  <c r="S207" i="5"/>
  <c r="U151" i="5"/>
  <c r="V151" i="5" s="1"/>
  <c r="T151" i="5"/>
  <c r="S151" i="5"/>
  <c r="R159" i="5"/>
  <c r="U150" i="5"/>
  <c r="T150" i="5"/>
  <c r="T159" i="5" s="1"/>
  <c r="S150" i="5"/>
  <c r="S159" i="5" s="1"/>
  <c r="U137" i="5"/>
  <c r="V137" i="5" s="1"/>
  <c r="T137" i="5"/>
  <c r="S137" i="5"/>
  <c r="R148" i="5"/>
  <c r="U136" i="5"/>
  <c r="T136" i="5"/>
  <c r="T148" i="5" s="1"/>
  <c r="S136" i="5"/>
  <c r="S148" i="5" s="1"/>
  <c r="U126" i="5"/>
  <c r="V126" i="5" s="1"/>
  <c r="T126" i="5"/>
  <c r="S126" i="5"/>
  <c r="R134" i="5"/>
  <c r="U125" i="5"/>
  <c r="T125" i="5"/>
  <c r="T134" i="5" s="1"/>
  <c r="S125" i="5"/>
  <c r="S134" i="5" s="1"/>
  <c r="U115" i="5"/>
  <c r="V115" i="5" s="1"/>
  <c r="T115" i="5"/>
  <c r="S115" i="5"/>
  <c r="R123" i="5"/>
  <c r="U114" i="5"/>
  <c r="T114" i="5"/>
  <c r="T123" i="5" s="1"/>
  <c r="S114" i="5"/>
  <c r="S123" i="5" s="1"/>
  <c r="R112" i="5"/>
  <c r="U42" i="5"/>
  <c r="T42" i="5"/>
  <c r="T112" i="5" s="1"/>
  <c r="S42" i="5"/>
  <c r="S112" i="5" s="1"/>
  <c r="U36" i="5"/>
  <c r="V36" i="5" s="1"/>
  <c r="T36" i="5"/>
  <c r="S36" i="5"/>
  <c r="R821" i="5"/>
  <c r="U807" i="5"/>
  <c r="T807" i="5"/>
  <c r="T821" i="5" s="1"/>
  <c r="S807" i="5"/>
  <c r="S821" i="5" s="1"/>
  <c r="U1225" i="5"/>
  <c r="V1225" i="5" s="1"/>
  <c r="T1225" i="5"/>
  <c r="S1225" i="5"/>
  <c r="U1205" i="5"/>
  <c r="V1205" i="5" s="1"/>
  <c r="T1205" i="5"/>
  <c r="S1205" i="5"/>
  <c r="U1145" i="5"/>
  <c r="V1145" i="5" s="1"/>
  <c r="T1145" i="5"/>
  <c r="S1145" i="5"/>
  <c r="U1144" i="5"/>
  <c r="V1144" i="5" s="1"/>
  <c r="T1144" i="5"/>
  <c r="S1144" i="5"/>
  <c r="U1143" i="5"/>
  <c r="V1143" i="5" s="1"/>
  <c r="T1143" i="5"/>
  <c r="S1143" i="5"/>
  <c r="U1142" i="5"/>
  <c r="V1142" i="5" s="1"/>
  <c r="T1142" i="5"/>
  <c r="S1142" i="5"/>
  <c r="U797" i="5"/>
  <c r="V797" i="5" s="1"/>
  <c r="T797" i="5"/>
  <c r="S797" i="5"/>
  <c r="U792" i="5"/>
  <c r="V792" i="5" s="1"/>
  <c r="T792" i="5"/>
  <c r="S792" i="5"/>
  <c r="U765" i="5"/>
  <c r="V765" i="5" s="1"/>
  <c r="T765" i="5"/>
  <c r="S765" i="5"/>
  <c r="U760" i="5"/>
  <c r="V760" i="5" s="1"/>
  <c r="T760" i="5"/>
  <c r="S760" i="5"/>
  <c r="U727" i="5"/>
  <c r="V727" i="5" s="1"/>
  <c r="T727" i="5"/>
  <c r="S727" i="5"/>
  <c r="U723" i="5"/>
  <c r="V723" i="5" s="1"/>
  <c r="T723" i="5"/>
  <c r="S723" i="5"/>
  <c r="U722" i="5"/>
  <c r="V722" i="5" s="1"/>
  <c r="T722" i="5"/>
  <c r="S722" i="5"/>
  <c r="U673" i="5"/>
  <c r="V673" i="5" s="1"/>
  <c r="T673" i="5"/>
  <c r="S673" i="5"/>
  <c r="U324" i="5"/>
  <c r="V324" i="5" s="1"/>
  <c r="T324" i="5"/>
  <c r="S324" i="5"/>
  <c r="U215" i="5"/>
  <c r="V215" i="5" s="1"/>
  <c r="T215" i="5"/>
  <c r="S215" i="5"/>
  <c r="U209" i="5"/>
  <c r="V209" i="5" s="1"/>
  <c r="T209" i="5"/>
  <c r="S209" i="5"/>
  <c r="U44" i="5"/>
  <c r="V44" i="5" s="1"/>
  <c r="T44" i="5"/>
  <c r="S44" i="5"/>
  <c r="U38" i="5"/>
  <c r="V38" i="5" s="1"/>
  <c r="T38" i="5"/>
  <c r="S38" i="5"/>
  <c r="U940" i="5"/>
  <c r="S940" i="5"/>
  <c r="U919" i="5"/>
  <c r="S919" i="5"/>
  <c r="U840" i="5"/>
  <c r="S840" i="5"/>
  <c r="U731" i="5"/>
  <c r="S731" i="5"/>
  <c r="U729" i="5"/>
  <c r="S729" i="5"/>
  <c r="U666" i="5"/>
  <c r="S666" i="5"/>
  <c r="U323" i="5"/>
  <c r="S323" i="5"/>
  <c r="U214" i="5"/>
  <c r="S214" i="5"/>
  <c r="U208" i="5"/>
  <c r="S208" i="5"/>
  <c r="U43" i="5"/>
  <c r="S43" i="5"/>
  <c r="U37" i="5"/>
  <c r="S37" i="5"/>
  <c r="U674" i="5"/>
  <c r="S674" i="5"/>
  <c r="U1146" i="5"/>
  <c r="V1146" i="5" s="1"/>
  <c r="T1146" i="5"/>
  <c r="S1146" i="5"/>
  <c r="U1053" i="5"/>
  <c r="V1053" i="5" s="1"/>
  <c r="T1053" i="5"/>
  <c r="S1053" i="5"/>
  <c r="U1222" i="5"/>
  <c r="V1222" i="5" s="1"/>
  <c r="T1222" i="5"/>
  <c r="S1222" i="5"/>
  <c r="U1219" i="5"/>
  <c r="V1219" i="5" s="1"/>
  <c r="T1219" i="5"/>
  <c r="S1219" i="5"/>
  <c r="U1213" i="5"/>
  <c r="V1213" i="5" s="1"/>
  <c r="T1213" i="5"/>
  <c r="S1213" i="5"/>
  <c r="U1211" i="5"/>
  <c r="V1211" i="5" s="1"/>
  <c r="T1211" i="5"/>
  <c r="S1211" i="5"/>
  <c r="U1210" i="5"/>
  <c r="V1210" i="5" s="1"/>
  <c r="T1210" i="5"/>
  <c r="S1210" i="5"/>
  <c r="U1169" i="5"/>
  <c r="V1169" i="5" s="1"/>
  <c r="T1169" i="5"/>
  <c r="S1169" i="5"/>
  <c r="U1166" i="5"/>
  <c r="V1166" i="5" s="1"/>
  <c r="T1166" i="5"/>
  <c r="S1166" i="5"/>
  <c r="U1162" i="5"/>
  <c r="V1162" i="5" s="1"/>
  <c r="T1162" i="5"/>
  <c r="S1162" i="5"/>
  <c r="U1159" i="5"/>
  <c r="V1159" i="5" s="1"/>
  <c r="T1159" i="5"/>
  <c r="S1159" i="5"/>
  <c r="U1155" i="5"/>
  <c r="V1155" i="5" s="1"/>
  <c r="T1155" i="5"/>
  <c r="S1155" i="5"/>
  <c r="U1152" i="5"/>
  <c r="V1152" i="5" s="1"/>
  <c r="T1152" i="5"/>
  <c r="S1152" i="5"/>
  <c r="U1148" i="5"/>
  <c r="V1148" i="5" s="1"/>
  <c r="T1148" i="5"/>
  <c r="S1148" i="5"/>
  <c r="U942" i="5"/>
  <c r="V942" i="5" s="1"/>
  <c r="T942" i="5"/>
  <c r="S942" i="5"/>
  <c r="U933" i="5"/>
  <c r="V933" i="5" s="1"/>
  <c r="T933" i="5"/>
  <c r="S933" i="5"/>
  <c r="U927" i="5"/>
  <c r="V927" i="5" s="1"/>
  <c r="T927" i="5"/>
  <c r="S927" i="5"/>
  <c r="U921" i="5"/>
  <c r="V921" i="5" s="1"/>
  <c r="T921" i="5"/>
  <c r="S921" i="5"/>
  <c r="U914" i="5"/>
  <c r="V914" i="5" s="1"/>
  <c r="T914" i="5"/>
  <c r="S914" i="5"/>
  <c r="U908" i="5"/>
  <c r="V908" i="5" s="1"/>
  <c r="T908" i="5"/>
  <c r="S908" i="5"/>
  <c r="U906" i="5"/>
  <c r="V906" i="5" s="1"/>
  <c r="T906" i="5"/>
  <c r="S906" i="5"/>
  <c r="U900" i="5"/>
  <c r="V900" i="5" s="1"/>
  <c r="T900" i="5"/>
  <c r="S900" i="5"/>
  <c r="U894" i="5"/>
  <c r="V894" i="5" s="1"/>
  <c r="T894" i="5"/>
  <c r="S894" i="5"/>
  <c r="U880" i="5"/>
  <c r="V880" i="5" s="1"/>
  <c r="T880" i="5"/>
  <c r="S880" i="5"/>
  <c r="U874" i="5"/>
  <c r="V874" i="5" s="1"/>
  <c r="T874" i="5"/>
  <c r="S874" i="5"/>
  <c r="U868" i="5"/>
  <c r="V868" i="5" s="1"/>
  <c r="T868" i="5"/>
  <c r="S868" i="5"/>
  <c r="U860" i="5"/>
  <c r="V860" i="5" s="1"/>
  <c r="T860" i="5"/>
  <c r="S860" i="5"/>
  <c r="U858" i="5"/>
  <c r="V858" i="5" s="1"/>
  <c r="T858" i="5"/>
  <c r="S858" i="5"/>
  <c r="U850" i="5"/>
  <c r="V850" i="5" s="1"/>
  <c r="T850" i="5"/>
  <c r="S850" i="5"/>
  <c r="U844" i="5"/>
  <c r="V844" i="5" s="1"/>
  <c r="T844" i="5"/>
  <c r="S844" i="5"/>
  <c r="U842" i="5"/>
  <c r="V842" i="5" s="1"/>
  <c r="T842" i="5"/>
  <c r="S842" i="5"/>
  <c r="U833" i="5"/>
  <c r="V833" i="5" s="1"/>
  <c r="T833" i="5"/>
  <c r="S833" i="5"/>
  <c r="U817" i="5"/>
  <c r="V817" i="5" s="1"/>
  <c r="T817" i="5"/>
  <c r="S817" i="5"/>
  <c r="U814" i="5"/>
  <c r="V814" i="5" s="1"/>
  <c r="T814" i="5"/>
  <c r="S814" i="5"/>
  <c r="U811" i="5"/>
  <c r="V811" i="5" s="1"/>
  <c r="T811" i="5"/>
  <c r="S811" i="5"/>
  <c r="U809" i="5"/>
  <c r="V809" i="5" s="1"/>
  <c r="T809" i="5"/>
  <c r="S809" i="5"/>
  <c r="U802" i="5"/>
  <c r="V802" i="5" s="1"/>
  <c r="T802" i="5"/>
  <c r="S802" i="5"/>
  <c r="U801" i="5"/>
  <c r="V801" i="5" s="1"/>
  <c r="T801" i="5"/>
  <c r="S801" i="5"/>
  <c r="U800" i="5"/>
  <c r="V800" i="5" s="1"/>
  <c r="T800" i="5"/>
  <c r="S800" i="5"/>
  <c r="U789" i="5"/>
  <c r="V789" i="5" s="1"/>
  <c r="T789" i="5"/>
  <c r="S789" i="5"/>
  <c r="U785" i="5"/>
  <c r="V785" i="5" s="1"/>
  <c r="T785" i="5"/>
  <c r="S785" i="5"/>
  <c r="U784" i="5"/>
  <c r="V784" i="5" s="1"/>
  <c r="T784" i="5"/>
  <c r="S784" i="5"/>
  <c r="U783" i="5"/>
  <c r="V783" i="5" s="1"/>
  <c r="T783" i="5"/>
  <c r="S783" i="5"/>
  <c r="U781" i="5"/>
  <c r="V781" i="5" s="1"/>
  <c r="T781" i="5"/>
  <c r="S781" i="5"/>
  <c r="U778" i="5"/>
  <c r="V778" i="5" s="1"/>
  <c r="T778" i="5"/>
  <c r="S778" i="5"/>
  <c r="U770" i="5"/>
  <c r="V770" i="5" s="1"/>
  <c r="T770" i="5"/>
  <c r="S770" i="5"/>
  <c r="U769" i="5"/>
  <c r="V769" i="5" s="1"/>
  <c r="T769" i="5"/>
  <c r="S769" i="5"/>
  <c r="U753" i="5"/>
  <c r="V753" i="5" s="1"/>
  <c r="T753" i="5"/>
  <c r="S753" i="5"/>
  <c r="U751" i="5"/>
  <c r="V751" i="5" s="1"/>
  <c r="T751" i="5"/>
  <c r="S751" i="5"/>
  <c r="U748" i="5"/>
  <c r="V748" i="5" s="1"/>
  <c r="T748" i="5"/>
  <c r="S748" i="5"/>
  <c r="U739" i="5"/>
  <c r="V739" i="5" s="1"/>
  <c r="T739" i="5"/>
  <c r="S739" i="5"/>
  <c r="U736" i="5"/>
  <c r="V736" i="5" s="1"/>
  <c r="T736" i="5"/>
  <c r="S736" i="5"/>
  <c r="U735" i="5"/>
  <c r="V735" i="5" s="1"/>
  <c r="T735" i="5"/>
  <c r="S735" i="5"/>
  <c r="U716" i="5"/>
  <c r="V716" i="5" s="1"/>
  <c r="T716" i="5"/>
  <c r="S716" i="5"/>
  <c r="U710" i="5"/>
  <c r="V710" i="5" s="1"/>
  <c r="T710" i="5"/>
  <c r="S710" i="5"/>
  <c r="U706" i="5"/>
  <c r="V706" i="5" s="1"/>
  <c r="T706" i="5"/>
  <c r="S706" i="5"/>
  <c r="U697" i="5"/>
  <c r="V697" i="5" s="1"/>
  <c r="T697" i="5"/>
  <c r="S697" i="5"/>
  <c r="U669" i="5"/>
  <c r="V669" i="5" s="1"/>
  <c r="T669" i="5"/>
  <c r="S669" i="5"/>
  <c r="U659" i="5"/>
  <c r="V659" i="5" s="1"/>
  <c r="T659" i="5"/>
  <c r="S659" i="5"/>
  <c r="U344" i="5"/>
  <c r="V344" i="5" s="1"/>
  <c r="T344" i="5"/>
  <c r="S344" i="5"/>
  <c r="U343" i="5"/>
  <c r="V343" i="5" s="1"/>
  <c r="T343" i="5"/>
  <c r="S343" i="5"/>
  <c r="U314" i="5"/>
  <c r="V314" i="5" s="1"/>
  <c r="T314" i="5"/>
  <c r="S314" i="5"/>
  <c r="U309" i="5"/>
  <c r="V309" i="5" s="1"/>
  <c r="T309" i="5"/>
  <c r="S309" i="5"/>
  <c r="U303" i="5"/>
  <c r="V303" i="5" s="1"/>
  <c r="T303" i="5"/>
  <c r="S303" i="5"/>
  <c r="U297" i="5"/>
  <c r="V297" i="5" s="1"/>
  <c r="T297" i="5"/>
  <c r="S297" i="5"/>
  <c r="U291" i="5"/>
  <c r="V291" i="5" s="1"/>
  <c r="T291" i="5"/>
  <c r="S291" i="5"/>
  <c r="U285" i="5"/>
  <c r="V285" i="5" s="1"/>
  <c r="T285" i="5"/>
  <c r="S285" i="5"/>
  <c r="U276" i="5"/>
  <c r="V276" i="5" s="1"/>
  <c r="T276" i="5"/>
  <c r="S276" i="5"/>
  <c r="U275" i="5"/>
  <c r="V275" i="5" s="1"/>
  <c r="T275" i="5"/>
  <c r="S275" i="5"/>
  <c r="U274" i="5"/>
  <c r="V274" i="5" s="1"/>
  <c r="T274" i="5"/>
  <c r="S274" i="5"/>
  <c r="U246" i="5"/>
  <c r="V246" i="5" s="1"/>
  <c r="T246" i="5"/>
  <c r="S246" i="5"/>
  <c r="U244" i="5"/>
  <c r="V244" i="5" s="1"/>
  <c r="T244" i="5"/>
  <c r="S244" i="5"/>
  <c r="U242" i="5"/>
  <c r="V242" i="5" s="1"/>
  <c r="T242" i="5"/>
  <c r="S242" i="5"/>
  <c r="U240" i="5"/>
  <c r="V240" i="5" s="1"/>
  <c r="T240" i="5"/>
  <c r="S240" i="5"/>
  <c r="U197" i="5"/>
  <c r="V197" i="5" s="1"/>
  <c r="T197" i="5"/>
  <c r="S197" i="5"/>
  <c r="U191" i="5"/>
  <c r="V191" i="5" s="1"/>
  <c r="T191" i="5"/>
  <c r="S191" i="5"/>
  <c r="U185" i="5"/>
  <c r="V185" i="5" s="1"/>
  <c r="T185" i="5"/>
  <c r="S185" i="5"/>
  <c r="U181" i="5"/>
  <c r="V181" i="5" s="1"/>
  <c r="T181" i="5"/>
  <c r="S181" i="5"/>
  <c r="U156" i="5"/>
  <c r="V156" i="5" s="1"/>
  <c r="T156" i="5"/>
  <c r="S156" i="5"/>
  <c r="U155" i="5"/>
  <c r="V155" i="5" s="1"/>
  <c r="T155" i="5"/>
  <c r="S155" i="5"/>
  <c r="U154" i="5"/>
  <c r="V154" i="5" s="1"/>
  <c r="T154" i="5"/>
  <c r="S154" i="5"/>
  <c r="U145" i="5"/>
  <c r="V145" i="5" s="1"/>
  <c r="T145" i="5"/>
  <c r="S145" i="5"/>
  <c r="U143" i="5"/>
  <c r="V143" i="5" s="1"/>
  <c r="T143" i="5"/>
  <c r="S143" i="5"/>
  <c r="U142" i="5"/>
  <c r="V142" i="5" s="1"/>
  <c r="T142" i="5"/>
  <c r="S142" i="5"/>
  <c r="U131" i="5"/>
  <c r="V131" i="5" s="1"/>
  <c r="T131" i="5"/>
  <c r="S131" i="5"/>
  <c r="U130" i="5"/>
  <c r="V130" i="5" s="1"/>
  <c r="T130" i="5"/>
  <c r="S130" i="5"/>
  <c r="U129" i="5"/>
  <c r="V129" i="5" s="1"/>
  <c r="T129" i="5"/>
  <c r="S129" i="5"/>
  <c r="U120" i="5"/>
  <c r="V120" i="5" s="1"/>
  <c r="T120" i="5"/>
  <c r="S120" i="5"/>
  <c r="U119" i="5"/>
  <c r="V119" i="5" s="1"/>
  <c r="T119" i="5"/>
  <c r="S119" i="5"/>
  <c r="U118" i="5"/>
  <c r="V118" i="5" s="1"/>
  <c r="T118" i="5"/>
  <c r="S118" i="5"/>
  <c r="U95" i="5"/>
  <c r="V95" i="5" s="1"/>
  <c r="T95" i="5"/>
  <c r="S95" i="5"/>
  <c r="U93" i="5"/>
  <c r="V93" i="5" s="1"/>
  <c r="T93" i="5"/>
  <c r="S93" i="5"/>
  <c r="U91" i="5"/>
  <c r="V91" i="5" s="1"/>
  <c r="T91" i="5"/>
  <c r="S91" i="5"/>
  <c r="U89" i="5"/>
  <c r="V89" i="5" s="1"/>
  <c r="T89" i="5"/>
  <c r="S89" i="5"/>
  <c r="U87" i="5"/>
  <c r="V87" i="5" s="1"/>
  <c r="T87" i="5"/>
  <c r="S87" i="5"/>
  <c r="U85" i="5"/>
  <c r="V85" i="5" s="1"/>
  <c r="T85" i="5"/>
  <c r="S85" i="5"/>
  <c r="U83" i="5"/>
  <c r="V83" i="5" s="1"/>
  <c r="T83" i="5"/>
  <c r="S83" i="5"/>
  <c r="U81" i="5"/>
  <c r="V81" i="5" s="1"/>
  <c r="T81" i="5"/>
  <c r="S81" i="5"/>
  <c r="U27" i="5"/>
  <c r="V27" i="5" s="1"/>
  <c r="T27" i="5"/>
  <c r="S27" i="5"/>
  <c r="U21" i="5"/>
  <c r="V21" i="5" s="1"/>
  <c r="T21" i="5"/>
  <c r="S21" i="5"/>
  <c r="U15" i="5"/>
  <c r="V15" i="5" s="1"/>
  <c r="T15" i="5"/>
  <c r="S15" i="5"/>
  <c r="U9" i="5"/>
  <c r="V9" i="5" s="1"/>
  <c r="T9" i="5"/>
  <c r="S9" i="5"/>
  <c r="U993" i="5"/>
  <c r="V993" i="5" s="1"/>
  <c r="T993" i="5"/>
  <c r="S993" i="5"/>
  <c r="U992" i="5"/>
  <c r="V992" i="5" s="1"/>
  <c r="T992" i="5"/>
  <c r="S992" i="5"/>
  <c r="U991" i="5"/>
  <c r="V991" i="5" s="1"/>
  <c r="T991" i="5"/>
  <c r="S991" i="5"/>
  <c r="R1001" i="5"/>
  <c r="U990" i="5"/>
  <c r="T990" i="5"/>
  <c r="T1001" i="5" s="1"/>
  <c r="S990" i="5"/>
  <c r="S1001" i="5" s="1"/>
  <c r="U618" i="5"/>
  <c r="V618" i="5" s="1"/>
  <c r="T618" i="5"/>
  <c r="S618" i="5"/>
  <c r="U617" i="5"/>
  <c r="V617" i="5" s="1"/>
  <c r="T617" i="5"/>
  <c r="S617" i="5"/>
  <c r="U1197" i="5"/>
  <c r="V1197" i="5" s="1"/>
  <c r="T1197" i="5"/>
  <c r="S1197" i="5"/>
  <c r="U943" i="5"/>
  <c r="S943" i="5"/>
  <c r="U934" i="5"/>
  <c r="S934" i="5"/>
  <c r="U928" i="5"/>
  <c r="S928" i="5"/>
  <c r="U922" i="5"/>
  <c r="S922" i="5"/>
  <c r="U915" i="5"/>
  <c r="S915" i="5"/>
  <c r="U909" i="5"/>
  <c r="S909" i="5"/>
  <c r="U907" i="5"/>
  <c r="S907" i="5"/>
  <c r="U901" i="5"/>
  <c r="S901" i="5"/>
  <c r="U895" i="5"/>
  <c r="S895" i="5"/>
  <c r="U881" i="5"/>
  <c r="S881" i="5"/>
  <c r="U875" i="5"/>
  <c r="S875" i="5"/>
  <c r="U869" i="5"/>
  <c r="S869" i="5"/>
  <c r="U861" i="5"/>
  <c r="S861" i="5"/>
  <c r="U859" i="5"/>
  <c r="S859" i="5"/>
  <c r="U851" i="5"/>
  <c r="S851" i="5"/>
  <c r="U845" i="5"/>
  <c r="S845" i="5"/>
  <c r="U843" i="5"/>
  <c r="S843" i="5"/>
  <c r="U834" i="5"/>
  <c r="S834" i="5"/>
  <c r="U717" i="5"/>
  <c r="S717" i="5"/>
  <c r="U711" i="5"/>
  <c r="S711" i="5"/>
  <c r="U707" i="5"/>
  <c r="S707" i="5"/>
  <c r="U698" i="5"/>
  <c r="S698" i="5"/>
  <c r="U670" i="5"/>
  <c r="S670" i="5"/>
  <c r="U660" i="5"/>
  <c r="S660" i="5"/>
  <c r="U304" i="5"/>
  <c r="S304" i="5"/>
  <c r="U298" i="5"/>
  <c r="S298" i="5"/>
  <c r="U292" i="5"/>
  <c r="S292" i="5"/>
  <c r="U286" i="5"/>
  <c r="S286" i="5"/>
  <c r="U247" i="5"/>
  <c r="S247" i="5"/>
  <c r="U245" i="5"/>
  <c r="S245" i="5"/>
  <c r="U243" i="5"/>
  <c r="S243" i="5"/>
  <c r="U241" i="5"/>
  <c r="S241" i="5"/>
  <c r="U198" i="5"/>
  <c r="S198" i="5"/>
  <c r="U192" i="5"/>
  <c r="S192" i="5"/>
  <c r="U186" i="5"/>
  <c r="S186" i="5"/>
  <c r="U182" i="5"/>
  <c r="S182" i="5"/>
  <c r="U96" i="5"/>
  <c r="S96" i="5"/>
  <c r="U94" i="5"/>
  <c r="S94" i="5"/>
  <c r="U92" i="5"/>
  <c r="S92" i="5"/>
  <c r="U90" i="5"/>
  <c r="S90" i="5"/>
  <c r="U88" i="5"/>
  <c r="S88" i="5"/>
  <c r="U86" i="5"/>
  <c r="S86" i="5"/>
  <c r="U84" i="5"/>
  <c r="S84" i="5"/>
  <c r="U82" i="5"/>
  <c r="S82" i="5"/>
  <c r="U28" i="5"/>
  <c r="S28" i="5"/>
  <c r="U22" i="5"/>
  <c r="S22" i="5"/>
  <c r="U16" i="5"/>
  <c r="S16" i="5"/>
  <c r="U10" i="5"/>
  <c r="S10" i="5"/>
  <c r="U684" i="5"/>
  <c r="V684" i="5" s="1"/>
  <c r="T684" i="5"/>
  <c r="S684" i="5"/>
  <c r="U482" i="5"/>
  <c r="V482" i="5" s="1"/>
  <c r="T482" i="5"/>
  <c r="S482" i="5"/>
  <c r="U478" i="5"/>
  <c r="V478" i="5" s="1"/>
  <c r="T478" i="5"/>
  <c r="S478" i="5"/>
  <c r="U477" i="5"/>
  <c r="V477" i="5" s="1"/>
  <c r="T477" i="5"/>
  <c r="S477" i="5"/>
  <c r="U476" i="5"/>
  <c r="V476" i="5" s="1"/>
  <c r="T476" i="5"/>
  <c r="S476" i="5"/>
  <c r="U475" i="5"/>
  <c r="V475" i="5" s="1"/>
  <c r="T475" i="5"/>
  <c r="S475" i="5"/>
  <c r="U472" i="5"/>
  <c r="V472" i="5" s="1"/>
  <c r="T472" i="5"/>
  <c r="S472" i="5"/>
  <c r="U471" i="5"/>
  <c r="V471" i="5" s="1"/>
  <c r="T471" i="5"/>
  <c r="S471" i="5"/>
  <c r="U470" i="5"/>
  <c r="V470" i="5" s="1"/>
  <c r="T470" i="5"/>
  <c r="S470" i="5"/>
  <c r="U469" i="5"/>
  <c r="V469" i="5" s="1"/>
  <c r="T469" i="5"/>
  <c r="S469" i="5"/>
  <c r="U468" i="5"/>
  <c r="V468" i="5" s="1"/>
  <c r="T468" i="5"/>
  <c r="S468" i="5"/>
  <c r="U467" i="5"/>
  <c r="V467" i="5" s="1"/>
  <c r="T467" i="5"/>
  <c r="S467" i="5"/>
  <c r="U465" i="5"/>
  <c r="V465" i="5" s="1"/>
  <c r="T465" i="5"/>
  <c r="S465" i="5"/>
  <c r="U463" i="5"/>
  <c r="V463" i="5" s="1"/>
  <c r="T463" i="5"/>
  <c r="S463" i="5"/>
  <c r="U461" i="5"/>
  <c r="V461" i="5" s="1"/>
  <c r="T461" i="5"/>
  <c r="S461" i="5"/>
  <c r="U459" i="5"/>
  <c r="V459" i="5" s="1"/>
  <c r="T459" i="5"/>
  <c r="S459" i="5"/>
  <c r="U457" i="5"/>
  <c r="V457" i="5" s="1"/>
  <c r="T457" i="5"/>
  <c r="S457" i="5"/>
  <c r="U456" i="5"/>
  <c r="V456" i="5" s="1"/>
  <c r="T456" i="5"/>
  <c r="S456" i="5"/>
  <c r="U453" i="5"/>
  <c r="V453" i="5" s="1"/>
  <c r="T453" i="5"/>
  <c r="S453" i="5"/>
  <c r="U452" i="5"/>
  <c r="V452" i="5" s="1"/>
  <c r="T452" i="5"/>
  <c r="S452" i="5"/>
  <c r="U444" i="5"/>
  <c r="V444" i="5" s="1"/>
  <c r="T444" i="5"/>
  <c r="S444" i="5"/>
  <c r="U443" i="5"/>
  <c r="V443" i="5" s="1"/>
  <c r="T443" i="5"/>
  <c r="S443" i="5"/>
  <c r="U442" i="5"/>
  <c r="V442" i="5" s="1"/>
  <c r="T442" i="5"/>
  <c r="S442" i="5"/>
  <c r="U440" i="5"/>
  <c r="V440" i="5" s="1"/>
  <c r="T440" i="5"/>
  <c r="S440" i="5"/>
  <c r="U439" i="5"/>
  <c r="V439" i="5" s="1"/>
  <c r="T439" i="5"/>
  <c r="S439" i="5"/>
  <c r="U435" i="5"/>
  <c r="V435" i="5" s="1"/>
  <c r="T435" i="5"/>
  <c r="S435" i="5"/>
  <c r="U434" i="5"/>
  <c r="V434" i="5" s="1"/>
  <c r="T434" i="5"/>
  <c r="S434" i="5"/>
  <c r="U430" i="5"/>
  <c r="V430" i="5" s="1"/>
  <c r="T430" i="5"/>
  <c r="S430" i="5"/>
  <c r="U429" i="5"/>
  <c r="V429" i="5" s="1"/>
  <c r="T429" i="5"/>
  <c r="S429" i="5"/>
  <c r="U428" i="5"/>
  <c r="V428" i="5" s="1"/>
  <c r="T428" i="5"/>
  <c r="S428" i="5"/>
  <c r="U424" i="5"/>
  <c r="V424" i="5" s="1"/>
  <c r="T424" i="5"/>
  <c r="S424" i="5"/>
  <c r="U423" i="5"/>
  <c r="V423" i="5" s="1"/>
  <c r="T423" i="5"/>
  <c r="S423" i="5"/>
  <c r="U410" i="5"/>
  <c r="V410" i="5" s="1"/>
  <c r="T410" i="5"/>
  <c r="S410" i="5"/>
  <c r="U409" i="5"/>
  <c r="V409" i="5" s="1"/>
  <c r="T409" i="5"/>
  <c r="S409" i="5"/>
  <c r="U408" i="5"/>
  <c r="V408" i="5" s="1"/>
  <c r="T408" i="5"/>
  <c r="S408" i="5"/>
  <c r="U406" i="5"/>
  <c r="V406" i="5" s="1"/>
  <c r="T406" i="5"/>
  <c r="S406" i="5"/>
  <c r="U405" i="5"/>
  <c r="V405" i="5" s="1"/>
  <c r="T405" i="5"/>
  <c r="S405" i="5"/>
  <c r="U402" i="5"/>
  <c r="V402" i="5" s="1"/>
  <c r="T402" i="5"/>
  <c r="S402" i="5"/>
  <c r="U400" i="5"/>
  <c r="V400" i="5" s="1"/>
  <c r="T400" i="5"/>
  <c r="S400" i="5"/>
  <c r="U398" i="5"/>
  <c r="V398" i="5" s="1"/>
  <c r="T398" i="5"/>
  <c r="S398" i="5"/>
  <c r="U391" i="5"/>
  <c r="V391" i="5" s="1"/>
  <c r="T391" i="5"/>
  <c r="S391" i="5"/>
  <c r="U363" i="5"/>
  <c r="V363" i="5" s="1"/>
  <c r="T363" i="5"/>
  <c r="S363" i="5"/>
  <c r="U362" i="5"/>
  <c r="V362" i="5" s="1"/>
  <c r="T362" i="5"/>
  <c r="S362" i="5"/>
  <c r="U361" i="5"/>
  <c r="V361" i="5" s="1"/>
  <c r="T361" i="5"/>
  <c r="S361" i="5"/>
  <c r="U359" i="5"/>
  <c r="V359" i="5" s="1"/>
  <c r="T359" i="5"/>
  <c r="S359" i="5"/>
  <c r="U358" i="5"/>
  <c r="V358" i="5" s="1"/>
  <c r="T358" i="5"/>
  <c r="S358" i="5"/>
  <c r="U353" i="5"/>
  <c r="V353" i="5" s="1"/>
  <c r="T353" i="5"/>
  <c r="S353" i="5"/>
  <c r="U351" i="5"/>
  <c r="V351" i="5" s="1"/>
  <c r="T351" i="5"/>
  <c r="S351" i="5"/>
  <c r="U626" i="5"/>
  <c r="V626" i="5" s="1"/>
  <c r="T626" i="5"/>
  <c r="S626" i="5"/>
  <c r="U675" i="5"/>
  <c r="V675" i="5" s="1"/>
  <c r="T675" i="5"/>
  <c r="S675" i="5"/>
  <c r="U556" i="5"/>
  <c r="V556" i="5" s="1"/>
  <c r="T556" i="5"/>
  <c r="S556" i="5"/>
  <c r="U549" i="5"/>
  <c r="V549" i="5" s="1"/>
  <c r="T549" i="5"/>
  <c r="S549" i="5"/>
  <c r="U536" i="5"/>
  <c r="V536" i="5" s="1"/>
  <c r="T536" i="5"/>
  <c r="S536" i="5"/>
  <c r="U524" i="5"/>
  <c r="V524" i="5" s="1"/>
  <c r="T524" i="5"/>
  <c r="S524" i="5"/>
  <c r="U502" i="5"/>
  <c r="V502" i="5" s="1"/>
  <c r="T502" i="5"/>
  <c r="S502" i="5"/>
  <c r="U653" i="5"/>
  <c r="V653" i="5" s="1"/>
  <c r="T653" i="5"/>
  <c r="S653" i="5"/>
  <c r="U417" i="5"/>
  <c r="V417" i="5" s="1"/>
  <c r="T417" i="5"/>
  <c r="S417" i="5"/>
  <c r="U383" i="5"/>
  <c r="V383" i="5" s="1"/>
  <c r="T383" i="5"/>
  <c r="S383" i="5"/>
  <c r="U1035" i="5"/>
  <c r="V1035" i="5" s="1"/>
  <c r="T1035" i="5"/>
  <c r="S1035" i="5"/>
  <c r="U1033" i="5"/>
  <c r="V1033" i="5" s="1"/>
  <c r="T1033" i="5"/>
  <c r="S1033" i="5"/>
  <c r="U1021" i="5"/>
  <c r="V1021" i="5" s="1"/>
  <c r="T1021" i="5"/>
  <c r="S1021" i="5"/>
  <c r="U1009" i="5"/>
  <c r="V1009" i="5" s="1"/>
  <c r="T1009" i="5"/>
  <c r="S1009" i="5"/>
  <c r="U1007" i="5"/>
  <c r="V1007" i="5" s="1"/>
  <c r="T1007" i="5"/>
  <c r="S1007" i="5"/>
  <c r="U975" i="5"/>
  <c r="V975" i="5" s="1"/>
  <c r="T975" i="5"/>
  <c r="S975" i="5"/>
  <c r="U974" i="5"/>
  <c r="V974" i="5" s="1"/>
  <c r="T974" i="5"/>
  <c r="S974" i="5"/>
  <c r="U628" i="5"/>
  <c r="V628" i="5" s="1"/>
  <c r="T628" i="5"/>
  <c r="S628" i="5"/>
  <c r="U616" i="5"/>
  <c r="V616" i="5" s="1"/>
  <c r="T616" i="5"/>
  <c r="S616" i="5"/>
  <c r="U615" i="5"/>
  <c r="V615" i="5" s="1"/>
  <c r="T615" i="5"/>
  <c r="S615" i="5"/>
  <c r="U491" i="5"/>
  <c r="V491" i="5" s="1"/>
  <c r="T491" i="5"/>
  <c r="S491" i="5"/>
  <c r="U688" i="5"/>
  <c r="V688" i="5" s="1"/>
  <c r="T688" i="5"/>
  <c r="S688" i="5"/>
  <c r="U629" i="5"/>
  <c r="V629" i="5" s="1"/>
  <c r="T629" i="5"/>
  <c r="S629" i="5"/>
  <c r="U652" i="5"/>
  <c r="V652" i="5" s="1"/>
  <c r="T652" i="5"/>
  <c r="S652" i="5"/>
  <c r="U651" i="5"/>
  <c r="V651" i="5" s="1"/>
  <c r="T651" i="5"/>
  <c r="S651" i="5"/>
  <c r="U419" i="5"/>
  <c r="V419" i="5" s="1"/>
  <c r="T419" i="5"/>
  <c r="S419" i="5"/>
  <c r="U416" i="5"/>
  <c r="V416" i="5" s="1"/>
  <c r="T416" i="5"/>
  <c r="S416" i="5"/>
  <c r="U392" i="5"/>
  <c r="V392" i="5" s="1"/>
  <c r="T392" i="5"/>
  <c r="S392" i="5"/>
  <c r="U386" i="5"/>
  <c r="V386" i="5" s="1"/>
  <c r="T386" i="5"/>
  <c r="S386" i="5"/>
  <c r="U373" i="5"/>
  <c r="V373" i="5" s="1"/>
  <c r="T373" i="5"/>
  <c r="S373" i="5"/>
  <c r="U368" i="5"/>
  <c r="V368" i="5" s="1"/>
  <c r="T368" i="5"/>
  <c r="S368" i="5"/>
  <c r="R641" i="5"/>
  <c r="U614" i="5"/>
  <c r="T614" i="5"/>
  <c r="T641" i="5" s="1"/>
  <c r="S614" i="5"/>
  <c r="S641" i="5" s="1"/>
  <c r="U493" i="5"/>
  <c r="V493" i="5" s="1"/>
  <c r="T493" i="5"/>
  <c r="S493" i="5"/>
  <c r="U490" i="5"/>
  <c r="V490" i="5" s="1"/>
  <c r="T490" i="5"/>
  <c r="S490" i="5"/>
  <c r="U609" i="5"/>
  <c r="V609" i="5" s="1"/>
  <c r="T609" i="5"/>
  <c r="S609" i="5"/>
  <c r="U607" i="5"/>
  <c r="V607" i="5" s="1"/>
  <c r="T607" i="5"/>
  <c r="S607" i="5"/>
  <c r="U606" i="5"/>
  <c r="V606" i="5" s="1"/>
  <c r="T606" i="5"/>
  <c r="S606" i="5"/>
  <c r="U1149" i="5"/>
  <c r="V1149" i="5" s="1"/>
  <c r="T1149" i="5"/>
  <c r="S1149" i="5"/>
  <c r="U1224" i="5"/>
  <c r="V1224" i="5" s="1"/>
  <c r="T1224" i="5"/>
  <c r="S1224" i="5"/>
  <c r="U1221" i="5"/>
  <c r="V1221" i="5" s="1"/>
  <c r="T1221" i="5"/>
  <c r="S1221" i="5"/>
  <c r="U1207" i="5"/>
  <c r="V1207" i="5" s="1"/>
  <c r="T1207" i="5"/>
  <c r="S1207" i="5"/>
  <c r="U1206" i="5"/>
  <c r="V1206" i="5" s="1"/>
  <c r="T1206" i="5"/>
  <c r="S1206" i="5"/>
  <c r="U1171" i="5"/>
  <c r="V1171" i="5" s="1"/>
  <c r="T1171" i="5"/>
  <c r="S1171" i="5"/>
  <c r="U1168" i="5"/>
  <c r="V1168" i="5" s="1"/>
  <c r="T1168" i="5"/>
  <c r="S1168" i="5"/>
  <c r="U1164" i="5"/>
  <c r="V1164" i="5" s="1"/>
  <c r="T1164" i="5"/>
  <c r="S1164" i="5"/>
  <c r="U1161" i="5"/>
  <c r="V1161" i="5" s="1"/>
  <c r="T1161" i="5"/>
  <c r="S1161" i="5"/>
  <c r="U1157" i="5"/>
  <c r="V1157" i="5" s="1"/>
  <c r="T1157" i="5"/>
  <c r="S1157" i="5"/>
  <c r="U1154" i="5"/>
  <c r="V1154" i="5" s="1"/>
  <c r="T1154" i="5"/>
  <c r="S1154" i="5"/>
  <c r="U958" i="5"/>
  <c r="V958" i="5" s="1"/>
  <c r="T958" i="5"/>
  <c r="S958" i="5"/>
  <c r="U956" i="5"/>
  <c r="V956" i="5" s="1"/>
  <c r="T956" i="5"/>
  <c r="S956" i="5"/>
  <c r="U954" i="5"/>
  <c r="V954" i="5" s="1"/>
  <c r="T954" i="5"/>
  <c r="S954" i="5"/>
  <c r="U952" i="5"/>
  <c r="V952" i="5" s="1"/>
  <c r="T952" i="5"/>
  <c r="S952" i="5"/>
  <c r="U944" i="5"/>
  <c r="V944" i="5" s="1"/>
  <c r="T944" i="5"/>
  <c r="S944" i="5"/>
  <c r="U935" i="5"/>
  <c r="V935" i="5" s="1"/>
  <c r="T935" i="5"/>
  <c r="S935" i="5"/>
  <c r="U929" i="5"/>
  <c r="V929" i="5" s="1"/>
  <c r="T929" i="5"/>
  <c r="S929" i="5"/>
  <c r="U923" i="5"/>
  <c r="V923" i="5" s="1"/>
  <c r="T923" i="5"/>
  <c r="S923" i="5"/>
  <c r="U916" i="5"/>
  <c r="V916" i="5" s="1"/>
  <c r="T916" i="5"/>
  <c r="S916" i="5"/>
  <c r="U910" i="5"/>
  <c r="V910" i="5" s="1"/>
  <c r="T910" i="5"/>
  <c r="S910" i="5"/>
  <c r="U902" i="5"/>
  <c r="V902" i="5" s="1"/>
  <c r="T902" i="5"/>
  <c r="S902" i="5"/>
  <c r="U896" i="5"/>
  <c r="V896" i="5" s="1"/>
  <c r="T896" i="5"/>
  <c r="S896" i="5"/>
  <c r="U882" i="5"/>
  <c r="V882" i="5" s="1"/>
  <c r="T882" i="5"/>
  <c r="S882" i="5"/>
  <c r="U876" i="5"/>
  <c r="V876" i="5" s="1"/>
  <c r="T876" i="5"/>
  <c r="S876" i="5"/>
  <c r="U870" i="5"/>
  <c r="V870" i="5" s="1"/>
  <c r="T870" i="5"/>
  <c r="S870" i="5"/>
  <c r="U864" i="5"/>
  <c r="V864" i="5" s="1"/>
  <c r="T864" i="5"/>
  <c r="S864" i="5"/>
  <c r="U862" i="5"/>
  <c r="V862" i="5" s="1"/>
  <c r="T862" i="5"/>
  <c r="S862" i="5"/>
  <c r="U852" i="5"/>
  <c r="V852" i="5" s="1"/>
  <c r="T852" i="5"/>
  <c r="S852" i="5"/>
  <c r="U848" i="5"/>
  <c r="V848" i="5" s="1"/>
  <c r="T848" i="5"/>
  <c r="S848" i="5"/>
  <c r="U837" i="5"/>
  <c r="V837" i="5" s="1"/>
  <c r="T837" i="5"/>
  <c r="S837" i="5"/>
  <c r="U831" i="5"/>
  <c r="V831" i="5" s="1"/>
  <c r="T831" i="5"/>
  <c r="S831" i="5"/>
  <c r="U829" i="5"/>
  <c r="V829" i="5" s="1"/>
  <c r="T829" i="5"/>
  <c r="S829" i="5"/>
  <c r="U827" i="5"/>
  <c r="V827" i="5" s="1"/>
  <c r="T827" i="5"/>
  <c r="S827" i="5"/>
  <c r="U819" i="5"/>
  <c r="V819" i="5" s="1"/>
  <c r="T819" i="5"/>
  <c r="S819" i="5"/>
  <c r="U815" i="5"/>
  <c r="V815" i="5" s="1"/>
  <c r="T815" i="5"/>
  <c r="S815" i="5"/>
  <c r="U812" i="5"/>
  <c r="V812" i="5" s="1"/>
  <c r="T812" i="5"/>
  <c r="S812" i="5"/>
  <c r="U799" i="5"/>
  <c r="V799" i="5" s="1"/>
  <c r="T799" i="5"/>
  <c r="S799" i="5"/>
  <c r="U798" i="5"/>
  <c r="V798" i="5" s="1"/>
  <c r="T798" i="5"/>
  <c r="S798" i="5"/>
  <c r="U788" i="5"/>
  <c r="V788" i="5" s="1"/>
  <c r="T788" i="5"/>
  <c r="S788" i="5"/>
  <c r="U787" i="5"/>
  <c r="V787" i="5" s="1"/>
  <c r="T787" i="5"/>
  <c r="S787" i="5"/>
  <c r="U782" i="5"/>
  <c r="V782" i="5" s="1"/>
  <c r="T782" i="5"/>
  <c r="S782" i="5"/>
  <c r="U780" i="5"/>
  <c r="V780" i="5" s="1"/>
  <c r="T780" i="5"/>
  <c r="S780" i="5"/>
  <c r="U779" i="5"/>
  <c r="V779" i="5" s="1"/>
  <c r="T779" i="5"/>
  <c r="S779" i="5"/>
  <c r="U776" i="5"/>
  <c r="V776" i="5" s="1"/>
  <c r="T776" i="5"/>
  <c r="S776" i="5"/>
  <c r="U768" i="5"/>
  <c r="V768" i="5" s="1"/>
  <c r="T768" i="5"/>
  <c r="S768" i="5"/>
  <c r="U767" i="5"/>
  <c r="V767" i="5" s="1"/>
  <c r="T767" i="5"/>
  <c r="S767" i="5"/>
  <c r="U766" i="5"/>
  <c r="V766" i="5" s="1"/>
  <c r="T766" i="5"/>
  <c r="S766" i="5"/>
  <c r="U756" i="5"/>
  <c r="V756" i="5" s="1"/>
  <c r="T756" i="5"/>
  <c r="S756" i="5"/>
  <c r="U754" i="5"/>
  <c r="V754" i="5" s="1"/>
  <c r="T754" i="5"/>
  <c r="S754" i="5"/>
  <c r="U752" i="5"/>
  <c r="V752" i="5" s="1"/>
  <c r="T752" i="5"/>
  <c r="S752" i="5"/>
  <c r="U750" i="5"/>
  <c r="V750" i="5" s="1"/>
  <c r="T750" i="5"/>
  <c r="S750" i="5"/>
  <c r="U740" i="5"/>
  <c r="V740" i="5" s="1"/>
  <c r="T740" i="5"/>
  <c r="S740" i="5"/>
  <c r="U738" i="5"/>
  <c r="V738" i="5" s="1"/>
  <c r="T738" i="5"/>
  <c r="S738" i="5"/>
  <c r="U737" i="5"/>
  <c r="V737" i="5" s="1"/>
  <c r="T737" i="5"/>
  <c r="S737" i="5"/>
  <c r="U720" i="5"/>
  <c r="V720" i="5" s="1"/>
  <c r="T720" i="5"/>
  <c r="S720" i="5"/>
  <c r="U714" i="5"/>
  <c r="V714" i="5" s="1"/>
  <c r="T714" i="5"/>
  <c r="S714" i="5"/>
  <c r="U712" i="5"/>
  <c r="V712" i="5" s="1"/>
  <c r="T712" i="5"/>
  <c r="S712" i="5"/>
  <c r="U704" i="5"/>
  <c r="V704" i="5" s="1"/>
  <c r="T704" i="5"/>
  <c r="S704" i="5"/>
  <c r="U701" i="5"/>
  <c r="V701" i="5" s="1"/>
  <c r="T701" i="5"/>
  <c r="S701" i="5"/>
  <c r="U695" i="5"/>
  <c r="V695" i="5" s="1"/>
  <c r="T695" i="5"/>
  <c r="S695" i="5"/>
  <c r="U692" i="5"/>
  <c r="V692" i="5" s="1"/>
  <c r="T692" i="5"/>
  <c r="S692" i="5"/>
  <c r="U691" i="5"/>
  <c r="V691" i="5" s="1"/>
  <c r="T691" i="5"/>
  <c r="S691" i="5"/>
  <c r="U690" i="5"/>
  <c r="V690" i="5" s="1"/>
  <c r="T690" i="5"/>
  <c r="S690" i="5"/>
  <c r="U682" i="5"/>
  <c r="V682" i="5" s="1"/>
  <c r="T682" i="5"/>
  <c r="S682" i="5"/>
  <c r="U681" i="5"/>
  <c r="V681" i="5" s="1"/>
  <c r="T681" i="5"/>
  <c r="S681" i="5"/>
  <c r="U680" i="5"/>
  <c r="V680" i="5" s="1"/>
  <c r="T680" i="5"/>
  <c r="S680" i="5"/>
  <c r="U678" i="5"/>
  <c r="V678" i="5" s="1"/>
  <c r="T678" i="5"/>
  <c r="S678" i="5"/>
  <c r="U676" i="5"/>
  <c r="V676" i="5" s="1"/>
  <c r="T676" i="5"/>
  <c r="S676" i="5"/>
  <c r="U667" i="5"/>
  <c r="V667" i="5" s="1"/>
  <c r="T667" i="5"/>
  <c r="S667" i="5"/>
  <c r="U663" i="5"/>
  <c r="V663" i="5" s="1"/>
  <c r="T663" i="5"/>
  <c r="S663" i="5"/>
  <c r="U661" i="5"/>
  <c r="V661" i="5" s="1"/>
  <c r="T661" i="5"/>
  <c r="S661" i="5"/>
  <c r="U473" i="5"/>
  <c r="V473" i="5" s="1"/>
  <c r="T473" i="5"/>
  <c r="S473" i="5"/>
  <c r="U447" i="5"/>
  <c r="V447" i="5" s="1"/>
  <c r="T447" i="5"/>
  <c r="S447" i="5"/>
  <c r="U445" i="5"/>
  <c r="V445" i="5" s="1"/>
  <c r="T445" i="5"/>
  <c r="S445" i="5"/>
  <c r="U437" i="5"/>
  <c r="V437" i="5" s="1"/>
  <c r="T437" i="5"/>
  <c r="S437" i="5"/>
  <c r="U425" i="5"/>
  <c r="V425" i="5" s="1"/>
  <c r="T425" i="5"/>
  <c r="S425" i="5"/>
  <c r="U414" i="5"/>
  <c r="V414" i="5" s="1"/>
  <c r="T414" i="5"/>
  <c r="S414" i="5"/>
  <c r="U411" i="5"/>
  <c r="V411" i="5" s="1"/>
  <c r="T411" i="5"/>
  <c r="S411" i="5"/>
  <c r="U403" i="5"/>
  <c r="V403" i="5" s="1"/>
  <c r="T403" i="5"/>
  <c r="S403" i="5"/>
  <c r="U387" i="5"/>
  <c r="V387" i="5" s="1"/>
  <c r="T387" i="5"/>
  <c r="S387" i="5"/>
  <c r="U384" i="5"/>
  <c r="V384" i="5" s="1"/>
  <c r="T384" i="5"/>
  <c r="S384" i="5"/>
  <c r="U364" i="5"/>
  <c r="V364" i="5" s="1"/>
  <c r="T364" i="5"/>
  <c r="S364" i="5"/>
  <c r="U356" i="5"/>
  <c r="V356" i="5" s="1"/>
  <c r="T356" i="5"/>
  <c r="S356" i="5"/>
  <c r="U345" i="5"/>
  <c r="V345" i="5" s="1"/>
  <c r="T345" i="5"/>
  <c r="S345" i="5"/>
  <c r="U342" i="5"/>
  <c r="V342" i="5" s="1"/>
  <c r="T342" i="5"/>
  <c r="S342" i="5"/>
  <c r="U341" i="5"/>
  <c r="V341" i="5" s="1"/>
  <c r="T341" i="5"/>
  <c r="S341" i="5"/>
  <c r="U329" i="5"/>
  <c r="V329" i="5" s="1"/>
  <c r="T329" i="5"/>
  <c r="S329" i="5"/>
  <c r="U327" i="5"/>
  <c r="V327" i="5" s="1"/>
  <c r="T327" i="5"/>
  <c r="S327" i="5"/>
  <c r="U319" i="5"/>
  <c r="V319" i="5" s="1"/>
  <c r="T319" i="5"/>
  <c r="S319" i="5"/>
  <c r="U315" i="5"/>
  <c r="V315" i="5" s="1"/>
  <c r="T315" i="5"/>
  <c r="S315" i="5"/>
  <c r="U310" i="5"/>
  <c r="V310" i="5" s="1"/>
  <c r="T310" i="5"/>
  <c r="S310" i="5"/>
  <c r="U305" i="5"/>
  <c r="V305" i="5" s="1"/>
  <c r="T305" i="5"/>
  <c r="S305" i="5"/>
  <c r="U299" i="5"/>
  <c r="V299" i="5" s="1"/>
  <c r="T299" i="5"/>
  <c r="S299" i="5"/>
  <c r="U293" i="5"/>
  <c r="V293" i="5" s="1"/>
  <c r="T293" i="5"/>
  <c r="S293" i="5"/>
  <c r="U287" i="5"/>
  <c r="V287" i="5" s="1"/>
  <c r="T287" i="5"/>
  <c r="S287" i="5"/>
  <c r="U273" i="5"/>
  <c r="V273" i="5" s="1"/>
  <c r="T273" i="5"/>
  <c r="S273" i="5"/>
  <c r="U272" i="5"/>
  <c r="V272" i="5" s="1"/>
  <c r="T272" i="5"/>
  <c r="S272" i="5"/>
  <c r="U260" i="5"/>
  <c r="V260" i="5" s="1"/>
  <c r="T260" i="5"/>
  <c r="S260" i="5"/>
  <c r="U254" i="5"/>
  <c r="V254" i="5" s="1"/>
  <c r="T254" i="5"/>
  <c r="S254" i="5"/>
  <c r="U252" i="5"/>
  <c r="V252" i="5" s="1"/>
  <c r="T252" i="5"/>
  <c r="S252" i="5"/>
  <c r="U250" i="5"/>
  <c r="V250" i="5" s="1"/>
  <c r="T250" i="5"/>
  <c r="S250" i="5"/>
  <c r="U248" i="5"/>
  <c r="V248" i="5" s="1"/>
  <c r="T248" i="5"/>
  <c r="S248" i="5"/>
  <c r="U230" i="5"/>
  <c r="V230" i="5" s="1"/>
  <c r="T230" i="5"/>
  <c r="S230" i="5"/>
  <c r="U228" i="5"/>
  <c r="V228" i="5" s="1"/>
  <c r="T228" i="5"/>
  <c r="S228" i="5"/>
  <c r="U226" i="5"/>
  <c r="V226" i="5" s="1"/>
  <c r="T226" i="5"/>
  <c r="S226" i="5"/>
  <c r="U224" i="5"/>
  <c r="V224" i="5" s="1"/>
  <c r="T224" i="5"/>
  <c r="S224" i="5"/>
  <c r="U222" i="5"/>
  <c r="V222" i="5" s="1"/>
  <c r="T222" i="5"/>
  <c r="S222" i="5"/>
  <c r="U220" i="5"/>
  <c r="V220" i="5" s="1"/>
  <c r="T220" i="5"/>
  <c r="S220" i="5"/>
  <c r="U218" i="5"/>
  <c r="V218" i="5" s="1"/>
  <c r="T218" i="5"/>
  <c r="S218" i="5"/>
  <c r="U216" i="5"/>
  <c r="V216" i="5" s="1"/>
  <c r="T216" i="5"/>
  <c r="S216" i="5"/>
  <c r="U203" i="5"/>
  <c r="V203" i="5" s="1"/>
  <c r="T203" i="5"/>
  <c r="S203" i="5"/>
  <c r="U199" i="5"/>
  <c r="V199" i="5" s="1"/>
  <c r="T199" i="5"/>
  <c r="S199" i="5"/>
  <c r="U193" i="5"/>
  <c r="V193" i="5" s="1"/>
  <c r="T193" i="5"/>
  <c r="S193" i="5"/>
  <c r="U187" i="5"/>
  <c r="V187" i="5" s="1"/>
  <c r="T187" i="5"/>
  <c r="S187" i="5"/>
  <c r="U174" i="5"/>
  <c r="V174" i="5" s="1"/>
  <c r="T174" i="5"/>
  <c r="S174" i="5"/>
  <c r="U172" i="5"/>
  <c r="V172" i="5" s="1"/>
  <c r="T172" i="5"/>
  <c r="S172" i="5"/>
  <c r="U171" i="5"/>
  <c r="V171" i="5" s="1"/>
  <c r="T171" i="5"/>
  <c r="S171" i="5"/>
  <c r="U169" i="5"/>
  <c r="V169" i="5" s="1"/>
  <c r="T169" i="5"/>
  <c r="S169" i="5"/>
  <c r="U167" i="5"/>
  <c r="V167" i="5" s="1"/>
  <c r="T167" i="5"/>
  <c r="S167" i="5"/>
  <c r="U153" i="5"/>
  <c r="V153" i="5" s="1"/>
  <c r="T153" i="5"/>
  <c r="S153" i="5"/>
  <c r="U152" i="5"/>
  <c r="V152" i="5" s="1"/>
  <c r="T152" i="5"/>
  <c r="S152" i="5"/>
  <c r="U144" i="5"/>
  <c r="V144" i="5" s="1"/>
  <c r="T144" i="5"/>
  <c r="S144" i="5"/>
  <c r="U139" i="5"/>
  <c r="V139" i="5" s="1"/>
  <c r="T139" i="5"/>
  <c r="S139" i="5"/>
  <c r="U138" i="5"/>
  <c r="V138" i="5" s="1"/>
  <c r="T138" i="5"/>
  <c r="S138" i="5"/>
  <c r="U128" i="5"/>
  <c r="V128" i="5" s="1"/>
  <c r="T128" i="5"/>
  <c r="S128" i="5"/>
  <c r="U127" i="5"/>
  <c r="V127" i="5" s="1"/>
  <c r="T127" i="5"/>
  <c r="S127" i="5"/>
  <c r="U117" i="5"/>
  <c r="V117" i="5" s="1"/>
  <c r="T117" i="5"/>
  <c r="S117" i="5"/>
  <c r="U116" i="5"/>
  <c r="V116" i="5" s="1"/>
  <c r="T116" i="5"/>
  <c r="S116" i="5"/>
  <c r="U67" i="5"/>
  <c r="V67" i="5" s="1"/>
  <c r="T67" i="5"/>
  <c r="S67" i="5"/>
  <c r="U65" i="5"/>
  <c r="V65" i="5" s="1"/>
  <c r="T65" i="5"/>
  <c r="S65" i="5"/>
  <c r="U63" i="5"/>
  <c r="V63" i="5" s="1"/>
  <c r="T63" i="5"/>
  <c r="S63" i="5"/>
  <c r="U61" i="5"/>
  <c r="V61" i="5" s="1"/>
  <c r="T61" i="5"/>
  <c r="S61" i="5"/>
  <c r="U59" i="5"/>
  <c r="V59" i="5" s="1"/>
  <c r="T59" i="5"/>
  <c r="S59" i="5"/>
  <c r="U57" i="5"/>
  <c r="V57" i="5" s="1"/>
  <c r="T57" i="5"/>
  <c r="S57" i="5"/>
  <c r="U55" i="5"/>
  <c r="V55" i="5" s="1"/>
  <c r="T55" i="5"/>
  <c r="S55" i="5"/>
  <c r="U33" i="5"/>
  <c r="V33" i="5" s="1"/>
  <c r="T33" i="5"/>
  <c r="S33" i="5"/>
  <c r="U29" i="5"/>
  <c r="V29" i="5" s="1"/>
  <c r="T29" i="5"/>
  <c r="S29" i="5"/>
  <c r="U23" i="5"/>
  <c r="V23" i="5" s="1"/>
  <c r="T23" i="5"/>
  <c r="S23" i="5"/>
  <c r="U17" i="5"/>
  <c r="V17" i="5" s="1"/>
  <c r="T17" i="5"/>
  <c r="S17" i="5"/>
  <c r="U13" i="5"/>
  <c r="V13" i="5" s="1"/>
  <c r="T13" i="5"/>
  <c r="S13" i="5"/>
  <c r="U7" i="5"/>
  <c r="V7" i="5" s="1"/>
  <c r="T7" i="5"/>
  <c r="S7" i="5"/>
  <c r="U1193" i="5"/>
  <c r="V1193" i="5" s="1"/>
  <c r="T1193" i="5"/>
  <c r="S1193" i="5"/>
  <c r="U1189" i="5"/>
  <c r="V1189" i="5" s="1"/>
  <c r="T1189" i="5"/>
  <c r="S1189" i="5"/>
  <c r="U1187" i="5"/>
  <c r="V1187" i="5" s="1"/>
  <c r="T1187" i="5"/>
  <c r="S1187" i="5"/>
  <c r="U1185" i="5"/>
  <c r="V1185" i="5" s="1"/>
  <c r="T1185" i="5"/>
  <c r="S1185" i="5"/>
  <c r="U1184" i="5"/>
  <c r="V1184" i="5" s="1"/>
  <c r="T1184" i="5"/>
  <c r="S1184" i="5"/>
  <c r="U1147" i="5"/>
  <c r="V1147" i="5" s="1"/>
  <c r="T1147" i="5"/>
  <c r="S1147" i="5"/>
  <c r="U1138" i="5"/>
  <c r="V1138" i="5" s="1"/>
  <c r="T1138" i="5"/>
  <c r="S1138" i="5"/>
  <c r="U1136" i="5"/>
  <c r="V1136" i="5" s="1"/>
  <c r="T1136" i="5"/>
  <c r="S1136" i="5"/>
  <c r="U1056" i="5"/>
  <c r="V1056" i="5" s="1"/>
  <c r="T1056" i="5"/>
  <c r="S1056" i="5"/>
  <c r="U1055" i="5"/>
  <c r="V1055" i="5" s="1"/>
  <c r="T1055" i="5"/>
  <c r="S1055" i="5"/>
  <c r="U1047" i="5"/>
  <c r="V1047" i="5" s="1"/>
  <c r="T1047" i="5"/>
  <c r="S1047" i="5"/>
  <c r="U1045" i="5"/>
  <c r="V1045" i="5" s="1"/>
  <c r="T1045" i="5"/>
  <c r="S1045" i="5"/>
  <c r="U1043" i="5"/>
  <c r="V1043" i="5" s="1"/>
  <c r="T1043" i="5"/>
  <c r="S1043" i="5"/>
  <c r="U1031" i="5"/>
  <c r="V1031" i="5" s="1"/>
  <c r="T1031" i="5"/>
  <c r="S1031" i="5"/>
  <c r="U1030" i="5"/>
  <c r="V1030" i="5" s="1"/>
  <c r="T1030" i="5"/>
  <c r="S1030" i="5"/>
  <c r="U1029" i="5"/>
  <c r="V1029" i="5" s="1"/>
  <c r="T1029" i="5"/>
  <c r="S1029" i="5"/>
  <c r="U1028" i="5"/>
  <c r="V1028" i="5" s="1"/>
  <c r="T1028" i="5"/>
  <c r="S1028" i="5"/>
  <c r="U1023" i="5"/>
  <c r="V1023" i="5" s="1"/>
  <c r="T1023" i="5"/>
  <c r="S1023" i="5"/>
  <c r="U1006" i="5"/>
  <c r="V1006" i="5" s="1"/>
  <c r="T1006" i="5"/>
  <c r="S1006" i="5"/>
  <c r="U999" i="5"/>
  <c r="V999" i="5" s="1"/>
  <c r="T999" i="5"/>
  <c r="S999" i="5"/>
  <c r="U998" i="5"/>
  <c r="V998" i="5" s="1"/>
  <c r="T998" i="5"/>
  <c r="S998" i="5"/>
  <c r="U997" i="5"/>
  <c r="V997" i="5" s="1"/>
  <c r="T997" i="5"/>
  <c r="S997" i="5"/>
  <c r="U984" i="5"/>
  <c r="V984" i="5" s="1"/>
  <c r="T984" i="5"/>
  <c r="S984" i="5"/>
  <c r="U983" i="5"/>
  <c r="V983" i="5" s="1"/>
  <c r="T983" i="5"/>
  <c r="S983" i="5"/>
  <c r="U982" i="5"/>
  <c r="V982" i="5" s="1"/>
  <c r="T982" i="5"/>
  <c r="S982" i="5"/>
  <c r="U981" i="5"/>
  <c r="V981" i="5" s="1"/>
  <c r="T981" i="5"/>
  <c r="S981" i="5"/>
  <c r="U639" i="5"/>
  <c r="V639" i="5" s="1"/>
  <c r="T639" i="5"/>
  <c r="S639" i="5"/>
  <c r="U638" i="5"/>
  <c r="V638" i="5" s="1"/>
  <c r="T638" i="5"/>
  <c r="S638" i="5"/>
  <c r="U637" i="5"/>
  <c r="V637" i="5" s="1"/>
  <c r="T637" i="5"/>
  <c r="S637" i="5"/>
  <c r="U636" i="5"/>
  <c r="V636" i="5" s="1"/>
  <c r="T636" i="5"/>
  <c r="S636" i="5"/>
  <c r="U635" i="5"/>
  <c r="V635" i="5" s="1"/>
  <c r="T635" i="5"/>
  <c r="S635" i="5"/>
  <c r="U634" i="5"/>
  <c r="V634" i="5" s="1"/>
  <c r="T634" i="5"/>
  <c r="S634" i="5"/>
  <c r="U569" i="5"/>
  <c r="V569" i="5" s="1"/>
  <c r="T569" i="5"/>
  <c r="S569" i="5"/>
  <c r="U568" i="5"/>
  <c r="V568" i="5" s="1"/>
  <c r="T568" i="5"/>
  <c r="S568" i="5"/>
  <c r="U567" i="5"/>
  <c r="V567" i="5" s="1"/>
  <c r="T567" i="5"/>
  <c r="S567" i="5"/>
  <c r="U566" i="5"/>
  <c r="V566" i="5" s="1"/>
  <c r="T566" i="5"/>
  <c r="S566" i="5"/>
  <c r="U546" i="5"/>
  <c r="V546" i="5" s="1"/>
  <c r="T546" i="5"/>
  <c r="S546" i="5"/>
  <c r="U545" i="5"/>
  <c r="V545" i="5" s="1"/>
  <c r="T545" i="5"/>
  <c r="S545" i="5"/>
  <c r="U544" i="5"/>
  <c r="V544" i="5" s="1"/>
  <c r="T544" i="5"/>
  <c r="S544" i="5"/>
  <c r="U543" i="5"/>
  <c r="V543" i="5" s="1"/>
  <c r="T543" i="5"/>
  <c r="S543" i="5"/>
  <c r="U542" i="5"/>
  <c r="V542" i="5" s="1"/>
  <c r="T542" i="5"/>
  <c r="S542" i="5"/>
  <c r="U541" i="5"/>
  <c r="V541" i="5" s="1"/>
  <c r="T541" i="5"/>
  <c r="S541" i="5"/>
  <c r="U523" i="5"/>
  <c r="V523" i="5" s="1"/>
  <c r="T523" i="5"/>
  <c r="S523" i="5"/>
  <c r="U515" i="5"/>
  <c r="V515" i="5" s="1"/>
  <c r="T515" i="5"/>
  <c r="S515" i="5"/>
  <c r="U510" i="5"/>
  <c r="V510" i="5" s="1"/>
  <c r="T510" i="5"/>
  <c r="S510" i="5"/>
  <c r="U509" i="5"/>
  <c r="V509" i="5" s="1"/>
  <c r="T509" i="5"/>
  <c r="S509" i="5"/>
  <c r="U508" i="5"/>
  <c r="V508" i="5" s="1"/>
  <c r="T508" i="5"/>
  <c r="S508" i="5"/>
  <c r="U507" i="5"/>
  <c r="V507" i="5" s="1"/>
  <c r="T507" i="5"/>
  <c r="S507" i="5"/>
  <c r="U605" i="5"/>
  <c r="V605" i="5" s="1"/>
  <c r="T605" i="5"/>
  <c r="S605" i="5"/>
  <c r="U604" i="5"/>
  <c r="V604" i="5" s="1"/>
  <c r="T604" i="5"/>
  <c r="S604" i="5"/>
  <c r="U603" i="5"/>
  <c r="V603" i="5" s="1"/>
  <c r="T603" i="5"/>
  <c r="S603" i="5"/>
  <c r="U911" i="5"/>
  <c r="V911" i="5" s="1"/>
  <c r="T911" i="5"/>
  <c r="S911" i="5"/>
  <c r="U903" i="5"/>
  <c r="V903" i="5" s="1"/>
  <c r="T903" i="5"/>
  <c r="S903" i="5"/>
  <c r="U897" i="5"/>
  <c r="V897" i="5" s="1"/>
  <c r="T897" i="5"/>
  <c r="S897" i="5"/>
  <c r="U1172" i="5"/>
  <c r="S1172" i="5"/>
  <c r="U1165" i="5"/>
  <c r="S1165" i="5"/>
  <c r="U1158" i="5"/>
  <c r="S1158" i="5"/>
  <c r="U959" i="5"/>
  <c r="S959" i="5"/>
  <c r="U957" i="5"/>
  <c r="S957" i="5"/>
  <c r="U955" i="5"/>
  <c r="S955" i="5"/>
  <c r="U953" i="5"/>
  <c r="S953" i="5"/>
  <c r="U945" i="5"/>
  <c r="S945" i="5"/>
  <c r="U936" i="5"/>
  <c r="S936" i="5"/>
  <c r="U930" i="5"/>
  <c r="S930" i="5"/>
  <c r="U924" i="5"/>
  <c r="S924" i="5"/>
  <c r="U917" i="5"/>
  <c r="S917" i="5"/>
  <c r="U883" i="5"/>
  <c r="S883" i="5"/>
  <c r="U877" i="5"/>
  <c r="S877" i="5"/>
  <c r="U871" i="5"/>
  <c r="S871" i="5"/>
  <c r="U865" i="5"/>
  <c r="S865" i="5"/>
  <c r="U863" i="5"/>
  <c r="S863" i="5"/>
  <c r="U853" i="5"/>
  <c r="S853" i="5"/>
  <c r="U849" i="5"/>
  <c r="S849" i="5"/>
  <c r="U838" i="5"/>
  <c r="S838" i="5"/>
  <c r="U832" i="5"/>
  <c r="S832" i="5"/>
  <c r="U830" i="5"/>
  <c r="S830" i="5"/>
  <c r="U828" i="5"/>
  <c r="S828" i="5"/>
  <c r="U721" i="5"/>
  <c r="S721" i="5"/>
  <c r="U715" i="5"/>
  <c r="S715" i="5"/>
  <c r="U713" i="5"/>
  <c r="S713" i="5"/>
  <c r="U705" i="5"/>
  <c r="S705" i="5"/>
  <c r="U702" i="5"/>
  <c r="S702" i="5"/>
  <c r="U696" i="5"/>
  <c r="S696" i="5"/>
  <c r="U668" i="5"/>
  <c r="S668" i="5"/>
  <c r="U664" i="5"/>
  <c r="S664" i="5"/>
  <c r="U662" i="5"/>
  <c r="S662" i="5"/>
  <c r="U474" i="5"/>
  <c r="S474" i="5"/>
  <c r="U448" i="5"/>
  <c r="S448" i="5"/>
  <c r="U446" i="5"/>
  <c r="S446" i="5"/>
  <c r="U438" i="5"/>
  <c r="S438" i="5"/>
  <c r="U426" i="5"/>
  <c r="S426" i="5"/>
  <c r="U415" i="5"/>
  <c r="S415" i="5"/>
  <c r="U412" i="5"/>
  <c r="S412" i="5"/>
  <c r="U404" i="5"/>
  <c r="S404" i="5"/>
  <c r="U388" i="5"/>
  <c r="S388" i="5"/>
  <c r="U385" i="5"/>
  <c r="S385" i="5"/>
  <c r="U365" i="5"/>
  <c r="S365" i="5"/>
  <c r="U357" i="5"/>
  <c r="S357" i="5"/>
  <c r="U330" i="5"/>
  <c r="S330" i="5"/>
  <c r="U328" i="5"/>
  <c r="S328" i="5"/>
  <c r="U320" i="5"/>
  <c r="S320" i="5"/>
  <c r="U316" i="5"/>
  <c r="S316" i="5"/>
  <c r="U311" i="5"/>
  <c r="S311" i="5"/>
  <c r="U306" i="5"/>
  <c r="S306" i="5"/>
  <c r="U300" i="5"/>
  <c r="S300" i="5"/>
  <c r="U294" i="5"/>
  <c r="S294" i="5"/>
  <c r="U288" i="5"/>
  <c r="S288" i="5"/>
  <c r="U261" i="5"/>
  <c r="S261" i="5"/>
  <c r="U255" i="5"/>
  <c r="S255" i="5"/>
  <c r="U253" i="5"/>
  <c r="S253" i="5"/>
  <c r="U251" i="5"/>
  <c r="S251" i="5"/>
  <c r="U249" i="5"/>
  <c r="S249" i="5"/>
  <c r="U231" i="5"/>
  <c r="S231" i="5"/>
  <c r="U229" i="5"/>
  <c r="S229" i="5"/>
  <c r="U227" i="5"/>
  <c r="S227" i="5"/>
  <c r="U225" i="5"/>
  <c r="S225" i="5"/>
  <c r="U223" i="5"/>
  <c r="S223" i="5"/>
  <c r="U221" i="5"/>
  <c r="S221" i="5"/>
  <c r="U219" i="5"/>
  <c r="S219" i="5"/>
  <c r="U217" i="5"/>
  <c r="S217" i="5"/>
  <c r="U204" i="5"/>
  <c r="S204" i="5"/>
  <c r="U200" i="5"/>
  <c r="S200" i="5"/>
  <c r="U194" i="5"/>
  <c r="S194" i="5"/>
  <c r="U188" i="5"/>
  <c r="S188" i="5"/>
  <c r="U175" i="5"/>
  <c r="S175" i="5"/>
  <c r="U173" i="5"/>
  <c r="S173" i="5"/>
  <c r="U170" i="5"/>
  <c r="S170" i="5"/>
  <c r="U168" i="5"/>
  <c r="S168" i="5"/>
  <c r="U68" i="5"/>
  <c r="S68" i="5"/>
  <c r="U66" i="5"/>
  <c r="S66" i="5"/>
  <c r="U64" i="5"/>
  <c r="S64" i="5"/>
  <c r="U62" i="5"/>
  <c r="S62" i="5"/>
  <c r="U60" i="5"/>
  <c r="S60" i="5"/>
  <c r="U58" i="5"/>
  <c r="S58" i="5"/>
  <c r="U56" i="5"/>
  <c r="S56" i="5"/>
  <c r="U30" i="5"/>
  <c r="S30" i="5"/>
  <c r="U24" i="5"/>
  <c r="S24" i="5"/>
  <c r="U18" i="5"/>
  <c r="S18" i="5"/>
  <c r="U14" i="5"/>
  <c r="S14" i="5"/>
  <c r="U1188" i="5"/>
  <c r="S1188" i="5"/>
  <c r="U1186" i="5"/>
  <c r="S1186" i="5"/>
  <c r="U1139" i="5"/>
  <c r="S1139" i="5"/>
  <c r="U1137" i="5"/>
  <c r="S1137" i="5"/>
  <c r="U1046" i="5"/>
  <c r="S1046" i="5"/>
  <c r="U1044" i="5"/>
  <c r="S1044" i="5"/>
  <c r="U601" i="5"/>
  <c r="V601" i="5" s="1"/>
  <c r="T601" i="5"/>
  <c r="S601" i="5"/>
  <c r="U581" i="5"/>
  <c r="V581" i="5" s="1"/>
  <c r="T581" i="5"/>
  <c r="S581" i="5"/>
  <c r="U650" i="5"/>
  <c r="V650" i="5" s="1"/>
  <c r="T650" i="5"/>
  <c r="S650" i="5"/>
  <c r="U649" i="5"/>
  <c r="V649" i="5" s="1"/>
  <c r="T649" i="5"/>
  <c r="S649" i="5"/>
  <c r="U648" i="5"/>
  <c r="V648" i="5" s="1"/>
  <c r="T648" i="5"/>
  <c r="S648" i="5"/>
  <c r="U647" i="5"/>
  <c r="V647" i="5" s="1"/>
  <c r="T647" i="5"/>
  <c r="S647" i="5"/>
  <c r="U646" i="5"/>
  <c r="V646" i="5" s="1"/>
  <c r="T646" i="5"/>
  <c r="S646" i="5"/>
  <c r="U645" i="5"/>
  <c r="V645" i="5" s="1"/>
  <c r="T645" i="5"/>
  <c r="S645" i="5"/>
  <c r="U644" i="5"/>
  <c r="V644" i="5" s="1"/>
  <c r="T644" i="5"/>
  <c r="S644" i="5"/>
  <c r="R732" i="5"/>
  <c r="U643" i="5"/>
  <c r="T643" i="5"/>
  <c r="T732" i="5" s="1"/>
  <c r="S643" i="5"/>
  <c r="S732" i="5" s="1"/>
  <c r="U481" i="5"/>
  <c r="V481" i="5" s="1"/>
  <c r="T481" i="5"/>
  <c r="S481" i="5"/>
  <c r="U464" i="5"/>
  <c r="V464" i="5" s="1"/>
  <c r="T464" i="5"/>
  <c r="S464" i="5"/>
  <c r="U460" i="5"/>
  <c r="V460" i="5" s="1"/>
  <c r="T460" i="5"/>
  <c r="S460" i="5"/>
  <c r="U458" i="5"/>
  <c r="V458" i="5" s="1"/>
  <c r="T458" i="5"/>
  <c r="S458" i="5"/>
  <c r="U451" i="5"/>
  <c r="V451" i="5" s="1"/>
  <c r="T451" i="5"/>
  <c r="S451" i="5"/>
  <c r="U441" i="5"/>
  <c r="V441" i="5" s="1"/>
  <c r="T441" i="5"/>
  <c r="S441" i="5"/>
  <c r="U431" i="5"/>
  <c r="V431" i="5" s="1"/>
  <c r="T431" i="5"/>
  <c r="S431" i="5"/>
  <c r="U427" i="5"/>
  <c r="V427" i="5" s="1"/>
  <c r="T427" i="5"/>
  <c r="S427" i="5"/>
  <c r="U421" i="5"/>
  <c r="V421" i="5" s="1"/>
  <c r="T421" i="5"/>
  <c r="S421" i="5"/>
  <c r="U420" i="5"/>
  <c r="V420" i="5" s="1"/>
  <c r="T420" i="5"/>
  <c r="S420" i="5"/>
  <c r="U418" i="5"/>
  <c r="V418" i="5" s="1"/>
  <c r="T418" i="5"/>
  <c r="S418" i="5"/>
  <c r="U407" i="5"/>
  <c r="V407" i="5" s="1"/>
  <c r="T407" i="5"/>
  <c r="S407" i="5"/>
  <c r="U399" i="5"/>
  <c r="V399" i="5" s="1"/>
  <c r="T399" i="5"/>
  <c r="S399" i="5"/>
  <c r="U397" i="5"/>
  <c r="V397" i="5" s="1"/>
  <c r="T397" i="5"/>
  <c r="S397" i="5"/>
  <c r="U389" i="5"/>
  <c r="V389" i="5" s="1"/>
  <c r="T389" i="5"/>
  <c r="S389" i="5"/>
  <c r="U382" i="5"/>
  <c r="V382" i="5" s="1"/>
  <c r="T382" i="5"/>
  <c r="S382" i="5"/>
  <c r="U372" i="5"/>
  <c r="V372" i="5" s="1"/>
  <c r="T372" i="5"/>
  <c r="S372" i="5"/>
  <c r="U367" i="5"/>
  <c r="V367" i="5" s="1"/>
  <c r="T367" i="5"/>
  <c r="S367" i="5"/>
  <c r="U360" i="5"/>
  <c r="V360" i="5" s="1"/>
  <c r="T360" i="5"/>
  <c r="S360" i="5"/>
  <c r="U332" i="5"/>
  <c r="V332" i="5" s="1"/>
  <c r="T332" i="5"/>
  <c r="S332" i="5"/>
  <c r="U1199" i="5"/>
  <c r="V1199" i="5" s="1"/>
  <c r="T1199" i="5"/>
  <c r="S1199" i="5"/>
  <c r="U1195" i="5"/>
  <c r="V1195" i="5" s="1"/>
  <c r="T1195" i="5"/>
  <c r="S1195" i="5"/>
  <c r="U1194" i="5"/>
  <c r="V1194" i="5" s="1"/>
  <c r="T1194" i="5"/>
  <c r="S1194" i="5"/>
  <c r="U1150" i="5"/>
  <c r="V1150" i="5" s="1"/>
  <c r="T1150" i="5"/>
  <c r="S1150" i="5"/>
  <c r="U1135" i="5"/>
  <c r="V1135" i="5" s="1"/>
  <c r="T1135" i="5"/>
  <c r="S1135" i="5"/>
  <c r="U1130" i="5"/>
  <c r="V1130" i="5" s="1"/>
  <c r="T1130" i="5"/>
  <c r="S1130" i="5"/>
  <c r="U1129" i="5"/>
  <c r="V1129" i="5" s="1"/>
  <c r="T1129" i="5"/>
  <c r="S1129" i="5"/>
  <c r="U1128" i="5"/>
  <c r="V1128" i="5" s="1"/>
  <c r="T1128" i="5"/>
  <c r="S1128" i="5"/>
  <c r="U1048" i="5"/>
  <c r="V1048" i="5" s="1"/>
  <c r="T1048" i="5"/>
  <c r="S1048" i="5"/>
  <c r="U1013" i="5"/>
  <c r="V1013" i="5" s="1"/>
  <c r="T1013" i="5"/>
  <c r="S1013" i="5"/>
  <c r="U565" i="5"/>
  <c r="V565" i="5" s="1"/>
  <c r="T565" i="5"/>
  <c r="S565" i="5"/>
  <c r="U539" i="5"/>
  <c r="V539" i="5" s="1"/>
  <c r="T539" i="5"/>
  <c r="S539" i="5"/>
  <c r="U505" i="5"/>
  <c r="V505" i="5" s="1"/>
  <c r="T505" i="5"/>
  <c r="S505" i="5"/>
  <c r="U336" i="5"/>
  <c r="V336" i="5" s="1"/>
  <c r="T336" i="5"/>
  <c r="S336" i="5"/>
  <c r="U1196" i="5"/>
  <c r="V1196" i="5" s="1"/>
  <c r="T1196" i="5"/>
  <c r="S1196" i="5"/>
  <c r="U1132" i="5"/>
  <c r="V1132" i="5" s="1"/>
  <c r="T1132" i="5"/>
  <c r="S1132" i="5"/>
  <c r="U577" i="5"/>
  <c r="V577" i="5" s="1"/>
  <c r="T577" i="5"/>
  <c r="S577" i="5"/>
  <c r="U432" i="5"/>
  <c r="V432" i="5" s="1"/>
  <c r="T432" i="5"/>
  <c r="S432" i="5"/>
  <c r="U333" i="5"/>
  <c r="V333" i="5" s="1"/>
  <c r="T333" i="5"/>
  <c r="S333" i="5"/>
  <c r="U564" i="5"/>
  <c r="V564" i="5" s="1"/>
  <c r="T564" i="5"/>
  <c r="S564" i="5"/>
  <c r="U540" i="5"/>
  <c r="V540" i="5" s="1"/>
  <c r="T540" i="5"/>
  <c r="S540" i="5"/>
  <c r="U506" i="5"/>
  <c r="V506" i="5" s="1"/>
  <c r="T506" i="5"/>
  <c r="S506" i="5"/>
  <c r="U1198" i="5"/>
  <c r="V1198" i="5" s="1"/>
  <c r="T1198" i="5"/>
  <c r="S1198" i="5"/>
  <c r="U978" i="5"/>
  <c r="V978" i="5" s="1"/>
  <c r="T978" i="5"/>
  <c r="S978" i="5"/>
  <c r="U1173" i="5"/>
  <c r="V1173" i="5" s="1"/>
  <c r="T1173" i="5"/>
  <c r="S1173" i="5"/>
  <c r="U1151" i="5"/>
  <c r="V1151" i="5" s="1"/>
  <c r="T1151" i="5"/>
  <c r="S1151" i="5"/>
  <c r="U1057" i="5"/>
  <c r="V1057" i="5" s="1"/>
  <c r="T1057" i="5"/>
  <c r="S1057" i="5"/>
  <c r="U960" i="5"/>
  <c r="V960" i="5" s="1"/>
  <c r="T960" i="5"/>
  <c r="S960" i="5"/>
  <c r="U950" i="5"/>
  <c r="V950" i="5" s="1"/>
  <c r="T950" i="5"/>
  <c r="S950" i="5"/>
  <c r="U948" i="5"/>
  <c r="V948" i="5" s="1"/>
  <c r="T948" i="5"/>
  <c r="S948" i="5"/>
  <c r="U892" i="5"/>
  <c r="V892" i="5" s="1"/>
  <c r="T892" i="5"/>
  <c r="S892" i="5"/>
  <c r="U890" i="5"/>
  <c r="V890" i="5" s="1"/>
  <c r="T890" i="5"/>
  <c r="S890" i="5"/>
  <c r="U856" i="5"/>
  <c r="V856" i="5" s="1"/>
  <c r="T856" i="5"/>
  <c r="S856" i="5"/>
  <c r="U825" i="5"/>
  <c r="V825" i="5" s="1"/>
  <c r="T825" i="5"/>
  <c r="S825" i="5"/>
  <c r="R745" i="5"/>
  <c r="U734" i="5"/>
  <c r="T734" i="5"/>
  <c r="T745" i="5" s="1"/>
  <c r="S734" i="5"/>
  <c r="S745" i="5" s="1"/>
  <c r="U689" i="5"/>
  <c r="V689" i="5" s="1"/>
  <c r="T689" i="5"/>
  <c r="S689" i="5"/>
  <c r="U686" i="5"/>
  <c r="V686" i="5" s="1"/>
  <c r="T686" i="5"/>
  <c r="S686" i="5"/>
  <c r="U685" i="5"/>
  <c r="V685" i="5" s="1"/>
  <c r="T685" i="5"/>
  <c r="S685" i="5"/>
  <c r="U679" i="5"/>
  <c r="V679" i="5" s="1"/>
  <c r="T679" i="5"/>
  <c r="S679" i="5"/>
  <c r="U656" i="5"/>
  <c r="V656" i="5" s="1"/>
  <c r="T656" i="5"/>
  <c r="S656" i="5"/>
  <c r="U480" i="5"/>
  <c r="V480" i="5" s="1"/>
  <c r="T480" i="5"/>
  <c r="S480" i="5"/>
  <c r="U479" i="5"/>
  <c r="V479" i="5" s="1"/>
  <c r="T479" i="5"/>
  <c r="S479" i="5"/>
  <c r="U466" i="5"/>
  <c r="V466" i="5" s="1"/>
  <c r="T466" i="5"/>
  <c r="S466" i="5"/>
  <c r="U462" i="5"/>
  <c r="V462" i="5" s="1"/>
  <c r="T462" i="5"/>
  <c r="S462" i="5"/>
  <c r="U455" i="5"/>
  <c r="V455" i="5" s="1"/>
  <c r="T455" i="5"/>
  <c r="S455" i="5"/>
  <c r="U454" i="5"/>
  <c r="V454" i="5" s="1"/>
  <c r="T454" i="5"/>
  <c r="S454" i="5"/>
  <c r="U436" i="5"/>
  <c r="V436" i="5" s="1"/>
  <c r="T436" i="5"/>
  <c r="S436" i="5"/>
  <c r="U433" i="5"/>
  <c r="V433" i="5" s="1"/>
  <c r="T433" i="5"/>
  <c r="S433" i="5"/>
  <c r="U422" i="5"/>
  <c r="V422" i="5" s="1"/>
  <c r="T422" i="5"/>
  <c r="S422" i="5"/>
  <c r="U413" i="5"/>
  <c r="V413" i="5" s="1"/>
  <c r="T413" i="5"/>
  <c r="S413" i="5"/>
  <c r="U401" i="5"/>
  <c r="V401" i="5" s="1"/>
  <c r="T401" i="5"/>
  <c r="S401" i="5"/>
  <c r="U394" i="5"/>
  <c r="V394" i="5" s="1"/>
  <c r="T394" i="5"/>
  <c r="S394" i="5"/>
  <c r="U393" i="5"/>
  <c r="V393" i="5" s="1"/>
  <c r="T393" i="5"/>
  <c r="S393" i="5"/>
  <c r="U377" i="5"/>
  <c r="V377" i="5" s="1"/>
  <c r="T377" i="5"/>
  <c r="S377" i="5"/>
  <c r="U376" i="5"/>
  <c r="V376" i="5" s="1"/>
  <c r="T376" i="5"/>
  <c r="S376" i="5"/>
  <c r="U375" i="5"/>
  <c r="V375" i="5" s="1"/>
  <c r="T375" i="5"/>
  <c r="S375" i="5"/>
  <c r="U371" i="5"/>
  <c r="V371" i="5" s="1"/>
  <c r="T371" i="5"/>
  <c r="S371" i="5"/>
  <c r="U370" i="5"/>
  <c r="V370" i="5" s="1"/>
  <c r="T370" i="5"/>
  <c r="S370" i="5"/>
  <c r="U369" i="5"/>
  <c r="V369" i="5" s="1"/>
  <c r="T369" i="5"/>
  <c r="S369" i="5"/>
  <c r="U355" i="5"/>
  <c r="V355" i="5" s="1"/>
  <c r="T355" i="5"/>
  <c r="S355" i="5"/>
  <c r="U354" i="5"/>
  <c r="V354" i="5" s="1"/>
  <c r="T354" i="5"/>
  <c r="S354" i="5"/>
  <c r="U352" i="5"/>
  <c r="V352" i="5" s="1"/>
  <c r="T352" i="5"/>
  <c r="S352" i="5"/>
  <c r="U350" i="5"/>
  <c r="V350" i="5" s="1"/>
  <c r="T350" i="5"/>
  <c r="S350" i="5"/>
  <c r="U334" i="5"/>
  <c r="V334" i="5" s="1"/>
  <c r="T334" i="5"/>
  <c r="S334" i="5"/>
  <c r="U325" i="5"/>
  <c r="V325" i="5" s="1"/>
  <c r="T325" i="5"/>
  <c r="S325" i="5"/>
  <c r="U283" i="5"/>
  <c r="V283" i="5" s="1"/>
  <c r="T283" i="5"/>
  <c r="S283" i="5"/>
  <c r="U264" i="5"/>
  <c r="V264" i="5" s="1"/>
  <c r="T264" i="5"/>
  <c r="S264" i="5"/>
  <c r="U262" i="5"/>
  <c r="V262" i="5" s="1"/>
  <c r="T262" i="5"/>
  <c r="S262" i="5"/>
  <c r="U256" i="5"/>
  <c r="V256" i="5" s="1"/>
  <c r="T256" i="5"/>
  <c r="S256" i="5"/>
  <c r="U179" i="5"/>
  <c r="V179" i="5" s="1"/>
  <c r="T179" i="5"/>
  <c r="S179" i="5"/>
  <c r="U177" i="5"/>
  <c r="V177" i="5" s="1"/>
  <c r="T177" i="5"/>
  <c r="S177" i="5"/>
  <c r="U165" i="5"/>
  <c r="V165" i="5" s="1"/>
  <c r="T165" i="5"/>
  <c r="S165" i="5"/>
  <c r="U108" i="5"/>
  <c r="V108" i="5" s="1"/>
  <c r="T108" i="5"/>
  <c r="S108" i="5"/>
  <c r="U105" i="5"/>
  <c r="V105" i="5" s="1"/>
  <c r="T105" i="5"/>
  <c r="S105" i="5"/>
  <c r="U103" i="5"/>
  <c r="V103" i="5" s="1"/>
  <c r="T103" i="5"/>
  <c r="S103" i="5"/>
  <c r="U101" i="5"/>
  <c r="V101" i="5" s="1"/>
  <c r="T101" i="5"/>
  <c r="S101" i="5"/>
  <c r="U97" i="5"/>
  <c r="V97" i="5" s="1"/>
  <c r="T97" i="5"/>
  <c r="S97" i="5"/>
  <c r="U39" i="5"/>
  <c r="V39" i="5" s="1"/>
  <c r="T39" i="5"/>
  <c r="S39" i="5"/>
  <c r="U8" i="5"/>
  <c r="V8" i="5" s="1"/>
  <c r="T8" i="5"/>
  <c r="S8" i="5"/>
  <c r="U6" i="5"/>
  <c r="V6" i="5" s="1"/>
  <c r="T6" i="5"/>
  <c r="S6" i="5"/>
  <c r="U1201" i="5"/>
  <c r="V1201" i="5" s="1"/>
  <c r="T1201" i="5"/>
  <c r="S1201" i="5"/>
  <c r="U1200" i="5"/>
  <c r="V1200" i="5" s="1"/>
  <c r="T1200" i="5"/>
  <c r="S1200" i="5"/>
  <c r="U1192" i="5"/>
  <c r="V1192" i="5" s="1"/>
  <c r="T1192" i="5"/>
  <c r="S1192" i="5"/>
  <c r="U1191" i="5"/>
  <c r="V1191" i="5" s="1"/>
  <c r="T1191" i="5"/>
  <c r="S1191" i="5"/>
  <c r="U1190" i="5"/>
  <c r="V1190" i="5" s="1"/>
  <c r="T1190" i="5"/>
  <c r="S1190" i="5"/>
  <c r="U1183" i="5"/>
  <c r="V1183" i="5" s="1"/>
  <c r="T1183" i="5"/>
  <c r="S1183" i="5"/>
  <c r="U1182" i="5"/>
  <c r="V1182" i="5" s="1"/>
  <c r="T1182" i="5"/>
  <c r="S1182" i="5"/>
  <c r="U1181" i="5"/>
  <c r="V1181" i="5" s="1"/>
  <c r="T1181" i="5"/>
  <c r="S1181" i="5"/>
  <c r="U1180" i="5"/>
  <c r="V1180" i="5" s="1"/>
  <c r="T1180" i="5"/>
  <c r="S1180" i="5"/>
  <c r="U1175" i="5"/>
  <c r="V1175" i="5" s="1"/>
  <c r="T1175" i="5"/>
  <c r="S1175" i="5"/>
  <c r="U1174" i="5"/>
  <c r="V1174" i="5" s="1"/>
  <c r="T1174" i="5"/>
  <c r="S1174" i="5"/>
  <c r="U1140" i="5"/>
  <c r="V1140" i="5" s="1"/>
  <c r="T1140" i="5"/>
  <c r="S1140" i="5"/>
  <c r="U1131" i="5"/>
  <c r="V1131" i="5" s="1"/>
  <c r="T1131" i="5"/>
  <c r="S1131" i="5"/>
  <c r="U1027" i="5"/>
  <c r="V1027" i="5" s="1"/>
  <c r="T1027" i="5"/>
  <c r="S1027" i="5"/>
  <c r="U1020" i="5"/>
  <c r="V1020" i="5" s="1"/>
  <c r="T1020" i="5"/>
  <c r="S1020" i="5"/>
  <c r="U994" i="5"/>
  <c r="V994" i="5" s="1"/>
  <c r="T994" i="5"/>
  <c r="S994" i="5"/>
  <c r="U985" i="5"/>
  <c r="V985" i="5" s="1"/>
  <c r="T985" i="5"/>
  <c r="S985" i="5"/>
  <c r="U977" i="5"/>
  <c r="V977" i="5" s="1"/>
  <c r="T977" i="5"/>
  <c r="S977" i="5"/>
  <c r="U967" i="5"/>
  <c r="V967" i="5" s="1"/>
  <c r="T967" i="5"/>
  <c r="S967" i="5"/>
  <c r="U966" i="5"/>
  <c r="V966" i="5" s="1"/>
  <c r="T966" i="5"/>
  <c r="S966" i="5"/>
  <c r="U965" i="5"/>
  <c r="V965" i="5" s="1"/>
  <c r="T965" i="5"/>
  <c r="S965" i="5"/>
  <c r="U640" i="5"/>
  <c r="V640" i="5" s="1"/>
  <c r="T640" i="5"/>
  <c r="S640" i="5"/>
  <c r="U570" i="5"/>
  <c r="V570" i="5" s="1"/>
  <c r="T570" i="5"/>
  <c r="S570" i="5"/>
  <c r="U554" i="5"/>
  <c r="V554" i="5" s="1"/>
  <c r="T554" i="5"/>
  <c r="S554" i="5"/>
  <c r="U547" i="5"/>
  <c r="V547" i="5" s="1"/>
  <c r="T547" i="5"/>
  <c r="S547" i="5"/>
  <c r="U530" i="5"/>
  <c r="V530" i="5" s="1"/>
  <c r="T530" i="5"/>
  <c r="S530" i="5"/>
  <c r="U525" i="5"/>
  <c r="V525" i="5" s="1"/>
  <c r="T525" i="5"/>
  <c r="S525" i="5"/>
  <c r="U522" i="5"/>
  <c r="V522" i="5" s="1"/>
  <c r="T522" i="5"/>
  <c r="S522" i="5"/>
  <c r="U516" i="5"/>
  <c r="V516" i="5" s="1"/>
  <c r="T516" i="5"/>
  <c r="S516" i="5"/>
  <c r="U514" i="5"/>
  <c r="V514" i="5" s="1"/>
  <c r="T514" i="5"/>
  <c r="S514" i="5"/>
  <c r="U513" i="5"/>
  <c r="V513" i="5" s="1"/>
  <c r="T513" i="5"/>
  <c r="S513" i="5"/>
  <c r="U511" i="5"/>
  <c r="V511" i="5" s="1"/>
  <c r="T511" i="5"/>
  <c r="S511" i="5"/>
  <c r="U504" i="5"/>
  <c r="V504" i="5" s="1"/>
  <c r="T504" i="5"/>
  <c r="S504" i="5"/>
  <c r="U503" i="5"/>
  <c r="V503" i="5" s="1"/>
  <c r="T503" i="5"/>
  <c r="S503" i="5"/>
  <c r="U494" i="5"/>
  <c r="V494" i="5" s="1"/>
  <c r="T494" i="5"/>
  <c r="S494" i="5"/>
  <c r="U492" i="5"/>
  <c r="V492" i="5" s="1"/>
  <c r="T492" i="5"/>
  <c r="S492" i="5"/>
  <c r="U321" i="5"/>
  <c r="V321" i="5" s="1"/>
  <c r="T321" i="5"/>
  <c r="S321" i="5"/>
  <c r="U266" i="5"/>
  <c r="V266" i="5" s="1"/>
  <c r="T266" i="5"/>
  <c r="S266" i="5"/>
  <c r="U107" i="5"/>
  <c r="V107" i="5" s="1"/>
  <c r="T107" i="5"/>
  <c r="S107" i="5"/>
  <c r="U35" i="5"/>
  <c r="V35" i="5" s="1"/>
  <c r="T35" i="5"/>
  <c r="S35" i="5"/>
  <c r="U1179" i="5"/>
  <c r="V1179" i="5" s="1"/>
  <c r="T1179" i="5"/>
  <c r="S1179" i="5"/>
  <c r="U1178" i="5"/>
  <c r="V1178" i="5" s="1"/>
  <c r="T1178" i="5"/>
  <c r="S1178" i="5"/>
  <c r="U1177" i="5"/>
  <c r="V1177" i="5" s="1"/>
  <c r="T1177" i="5"/>
  <c r="S1177" i="5"/>
  <c r="U608" i="5"/>
  <c r="V608" i="5" s="1"/>
  <c r="T608" i="5"/>
  <c r="S608" i="5"/>
  <c r="U600" i="5"/>
  <c r="V600" i="5" s="1"/>
  <c r="T600" i="5"/>
  <c r="S600" i="5"/>
  <c r="U588" i="5"/>
  <c r="V588" i="5" s="1"/>
  <c r="T588" i="5"/>
  <c r="S588" i="5"/>
  <c r="U587" i="5"/>
  <c r="V587" i="5" s="1"/>
  <c r="T587" i="5"/>
  <c r="S587" i="5"/>
  <c r="U580" i="5"/>
  <c r="V580" i="5" s="1"/>
  <c r="T580" i="5"/>
  <c r="S580" i="5"/>
  <c r="U1176" i="5"/>
  <c r="S1176" i="5"/>
  <c r="U961" i="5"/>
  <c r="S961" i="5"/>
  <c r="U951" i="5"/>
  <c r="S951" i="5"/>
  <c r="U949" i="5"/>
  <c r="S949" i="5"/>
  <c r="U893" i="5"/>
  <c r="S893" i="5"/>
  <c r="U891" i="5"/>
  <c r="S891" i="5"/>
  <c r="U857" i="5"/>
  <c r="S857" i="5"/>
  <c r="U826" i="5"/>
  <c r="S826" i="5"/>
  <c r="U335" i="5"/>
  <c r="S335" i="5"/>
  <c r="U326" i="5"/>
  <c r="S326" i="5"/>
  <c r="U284" i="5"/>
  <c r="S284" i="5"/>
  <c r="U265" i="5"/>
  <c r="S265" i="5"/>
  <c r="U263" i="5"/>
  <c r="S263" i="5"/>
  <c r="U257" i="5"/>
  <c r="S257" i="5"/>
  <c r="U180" i="5"/>
  <c r="S180" i="5"/>
  <c r="U178" i="5"/>
  <c r="S178" i="5"/>
  <c r="U166" i="5"/>
  <c r="S166" i="5"/>
  <c r="U109" i="5"/>
  <c r="S109" i="5"/>
  <c r="U106" i="5"/>
  <c r="S106" i="5"/>
  <c r="U104" i="5"/>
  <c r="S104" i="5"/>
  <c r="U102" i="5"/>
  <c r="S102" i="5"/>
  <c r="U98" i="5"/>
  <c r="S98" i="5"/>
  <c r="R1202" i="5"/>
  <c r="U1039" i="5"/>
  <c r="T1039" i="5"/>
  <c r="T1202" i="5" s="1"/>
  <c r="S1039" i="5"/>
  <c r="S1202" i="5" s="1"/>
  <c r="U1090" i="5"/>
  <c r="V1090" i="5" s="1"/>
  <c r="T1090" i="5"/>
  <c r="S1090" i="5"/>
  <c r="U1061" i="5"/>
  <c r="V1061" i="5" s="1"/>
  <c r="T1061" i="5"/>
  <c r="S1061" i="5"/>
  <c r="U1060" i="5"/>
  <c r="V1060" i="5" s="1"/>
  <c r="T1060" i="5"/>
  <c r="S1060" i="5"/>
  <c r="U1089" i="5"/>
  <c r="S1089" i="5"/>
  <c r="U1088" i="5"/>
  <c r="S1088" i="5"/>
  <c r="U593" i="5"/>
  <c r="V593" i="5" s="1"/>
  <c r="T593" i="5"/>
  <c r="S593" i="5"/>
  <c r="U1091" i="5"/>
  <c r="V1091" i="5" s="1"/>
  <c r="T1091" i="5"/>
  <c r="S1091" i="5"/>
  <c r="U1092" i="5"/>
  <c r="S1092" i="5"/>
  <c r="U611" i="5"/>
  <c r="V611" i="5" s="1"/>
  <c r="T611" i="5"/>
  <c r="S611" i="5"/>
  <c r="U590" i="5"/>
  <c r="V590" i="5" s="1"/>
  <c r="T590" i="5"/>
  <c r="S590" i="5"/>
  <c r="U579" i="5"/>
  <c r="V579" i="5" s="1"/>
  <c r="T579" i="5"/>
  <c r="S579" i="5"/>
  <c r="U578" i="5"/>
  <c r="V578" i="5" s="1"/>
  <c r="T578" i="5"/>
  <c r="S578" i="5"/>
  <c r="U576" i="5"/>
  <c r="V576" i="5" s="1"/>
  <c r="T576" i="5"/>
  <c r="S576" i="5"/>
  <c r="R612" i="5"/>
  <c r="U575" i="5"/>
  <c r="T575" i="5"/>
  <c r="T612" i="5" s="1"/>
  <c r="S575" i="5"/>
  <c r="S612" i="5" s="1"/>
  <c r="U1051" i="5"/>
  <c r="V1051" i="5" s="1"/>
  <c r="T1051" i="5"/>
  <c r="S1051" i="5"/>
  <c r="U1121" i="5"/>
  <c r="V1121" i="5" s="1"/>
  <c r="T1121" i="5"/>
  <c r="S1121" i="5"/>
  <c r="U1119" i="5"/>
  <c r="V1119" i="5" s="1"/>
  <c r="T1119" i="5"/>
  <c r="S1119" i="5"/>
  <c r="U1117" i="5"/>
  <c r="V1117" i="5" s="1"/>
  <c r="T1117" i="5"/>
  <c r="S1117" i="5"/>
  <c r="U1115" i="5"/>
  <c r="V1115" i="5" s="1"/>
  <c r="T1115" i="5"/>
  <c r="S1115" i="5"/>
  <c r="U1113" i="5"/>
  <c r="V1113" i="5" s="1"/>
  <c r="T1113" i="5"/>
  <c r="S1113" i="5"/>
  <c r="U1111" i="5"/>
  <c r="V1111" i="5" s="1"/>
  <c r="T1111" i="5"/>
  <c r="S1111" i="5"/>
  <c r="U1109" i="5"/>
  <c r="V1109" i="5" s="1"/>
  <c r="T1109" i="5"/>
  <c r="S1109" i="5"/>
  <c r="U1107" i="5"/>
  <c r="V1107" i="5" s="1"/>
  <c r="T1107" i="5"/>
  <c r="S1107" i="5"/>
  <c r="U1105" i="5"/>
  <c r="V1105" i="5" s="1"/>
  <c r="T1105" i="5"/>
  <c r="S1105" i="5"/>
  <c r="U1103" i="5"/>
  <c r="V1103" i="5" s="1"/>
  <c r="T1103" i="5"/>
  <c r="S1103" i="5"/>
  <c r="U1095" i="5"/>
  <c r="V1095" i="5" s="1"/>
  <c r="T1095" i="5"/>
  <c r="S1095" i="5"/>
  <c r="U1064" i="5"/>
  <c r="V1064" i="5" s="1"/>
  <c r="T1064" i="5"/>
  <c r="S1064" i="5"/>
  <c r="U610" i="5"/>
  <c r="V610" i="5" s="1"/>
  <c r="T610" i="5"/>
  <c r="S610" i="5"/>
  <c r="U597" i="5"/>
  <c r="V597" i="5" s="1"/>
  <c r="T597" i="5"/>
  <c r="S597" i="5"/>
  <c r="U595" i="5"/>
  <c r="V595" i="5" s="1"/>
  <c r="T595" i="5"/>
  <c r="S595" i="5"/>
  <c r="U594" i="5"/>
  <c r="V594" i="5" s="1"/>
  <c r="T594" i="5"/>
  <c r="S594" i="5"/>
  <c r="U591" i="5"/>
  <c r="V591" i="5" s="1"/>
  <c r="T591" i="5"/>
  <c r="S591" i="5"/>
  <c r="U586" i="5"/>
  <c r="V586" i="5" s="1"/>
  <c r="T586" i="5"/>
  <c r="S586" i="5"/>
  <c r="U584" i="5"/>
  <c r="V584" i="5" s="1"/>
  <c r="T584" i="5"/>
  <c r="S584" i="5"/>
  <c r="U1122" i="5"/>
  <c r="S1122" i="5"/>
  <c r="U1120" i="5"/>
  <c r="S1120" i="5"/>
  <c r="U1118" i="5"/>
  <c r="S1118" i="5"/>
  <c r="U1116" i="5"/>
  <c r="S1116" i="5"/>
  <c r="U1114" i="5"/>
  <c r="S1114" i="5"/>
  <c r="U1112" i="5"/>
  <c r="S1112" i="5"/>
  <c r="U1110" i="5"/>
  <c r="S1110" i="5"/>
  <c r="U1108" i="5"/>
  <c r="S1108" i="5"/>
  <c r="U1106" i="5"/>
  <c r="S1106" i="5"/>
  <c r="U1104" i="5"/>
  <c r="S1104" i="5"/>
  <c r="U1096" i="5"/>
  <c r="S1096" i="5"/>
  <c r="U1073" i="5"/>
  <c r="V1073" i="5" s="1"/>
  <c r="T1073" i="5"/>
  <c r="S1073" i="5"/>
  <c r="U1062" i="5"/>
  <c r="V1062" i="5" s="1"/>
  <c r="T1062" i="5"/>
  <c r="S1062" i="5"/>
  <c r="U1058" i="5"/>
  <c r="V1058" i="5" s="1"/>
  <c r="T1058" i="5"/>
  <c r="S1058" i="5"/>
  <c r="U1074" i="5"/>
  <c r="S1074" i="5"/>
  <c r="U1063" i="5"/>
  <c r="S1063" i="5"/>
  <c r="U1059" i="5"/>
  <c r="S1059" i="5"/>
  <c r="U1076" i="5"/>
  <c r="V1076" i="5" s="1"/>
  <c r="T1076" i="5"/>
  <c r="S1076" i="5"/>
  <c r="U1077" i="5"/>
  <c r="S1077" i="5"/>
  <c r="U1102" i="5"/>
  <c r="V1102" i="5" s="1"/>
  <c r="T1102" i="5"/>
  <c r="S1102" i="5"/>
  <c r="U1101" i="5"/>
  <c r="V1101" i="5" s="1"/>
  <c r="T1101" i="5"/>
  <c r="S1101" i="5"/>
  <c r="U1087" i="5"/>
  <c r="V1087" i="5" s="1"/>
  <c r="T1087" i="5"/>
  <c r="S1087" i="5"/>
  <c r="U1085" i="5"/>
  <c r="V1085" i="5" s="1"/>
  <c r="T1085" i="5"/>
  <c r="S1085" i="5"/>
  <c r="U1083" i="5"/>
  <c r="V1083" i="5" s="1"/>
  <c r="T1083" i="5"/>
  <c r="S1083" i="5"/>
  <c r="U1082" i="5"/>
  <c r="V1082" i="5" s="1"/>
  <c r="T1082" i="5"/>
  <c r="S1082" i="5"/>
  <c r="U1080" i="5"/>
  <c r="V1080" i="5" s="1"/>
  <c r="T1080" i="5"/>
  <c r="S1080" i="5"/>
  <c r="U1078" i="5"/>
  <c r="V1078" i="5" s="1"/>
  <c r="T1078" i="5"/>
  <c r="S1078" i="5"/>
  <c r="U1069" i="5"/>
  <c r="V1069" i="5" s="1"/>
  <c r="T1069" i="5"/>
  <c r="S1069" i="5"/>
  <c r="U1067" i="5"/>
  <c r="V1067" i="5" s="1"/>
  <c r="T1067" i="5"/>
  <c r="S1067" i="5"/>
  <c r="U1065" i="5"/>
  <c r="V1065" i="5" s="1"/>
  <c r="T1065" i="5"/>
  <c r="S1065" i="5"/>
  <c r="U592" i="5"/>
  <c r="V592" i="5" s="1"/>
  <c r="T592" i="5"/>
  <c r="S592" i="5"/>
  <c r="U589" i="5"/>
  <c r="V589" i="5" s="1"/>
  <c r="T589" i="5"/>
  <c r="S589" i="5"/>
  <c r="U582" i="5"/>
  <c r="V582" i="5" s="1"/>
  <c r="T582" i="5"/>
  <c r="S582" i="5"/>
  <c r="U1086" i="5"/>
  <c r="S1086" i="5"/>
  <c r="U1084" i="5"/>
  <c r="S1084" i="5"/>
  <c r="U1081" i="5"/>
  <c r="S1081" i="5"/>
  <c r="U1079" i="5"/>
  <c r="S1079" i="5"/>
  <c r="U1070" i="5"/>
  <c r="S1070" i="5"/>
  <c r="U1068" i="5"/>
  <c r="S1068" i="5"/>
  <c r="U1066" i="5"/>
  <c r="S1066" i="5"/>
  <c r="U1126" i="5"/>
  <c r="V1126" i="5" s="1"/>
  <c r="T1126" i="5"/>
  <c r="S1126" i="5"/>
  <c r="U1125" i="5"/>
  <c r="V1125" i="5" s="1"/>
  <c r="T1125" i="5"/>
  <c r="S1125" i="5"/>
  <c r="U1123" i="5"/>
  <c r="V1123" i="5" s="1"/>
  <c r="T1123" i="5"/>
  <c r="S1123" i="5"/>
  <c r="U1099" i="5"/>
  <c r="V1099" i="5" s="1"/>
  <c r="T1099" i="5"/>
  <c r="S1099" i="5"/>
  <c r="U1097" i="5"/>
  <c r="V1097" i="5" s="1"/>
  <c r="T1097" i="5"/>
  <c r="S1097" i="5"/>
  <c r="U1093" i="5"/>
  <c r="V1093" i="5" s="1"/>
  <c r="T1093" i="5"/>
  <c r="S1093" i="5"/>
  <c r="U1071" i="5"/>
  <c r="V1071" i="5" s="1"/>
  <c r="T1071" i="5"/>
  <c r="S1071" i="5"/>
  <c r="U598" i="5"/>
  <c r="V598" i="5" s="1"/>
  <c r="T598" i="5"/>
  <c r="S598" i="5"/>
  <c r="U596" i="5"/>
  <c r="V596" i="5" s="1"/>
  <c r="T596" i="5"/>
  <c r="S596" i="5"/>
  <c r="U585" i="5"/>
  <c r="V585" i="5" s="1"/>
  <c r="T585" i="5"/>
  <c r="S585" i="5"/>
  <c r="U583" i="5"/>
  <c r="V583" i="5" s="1"/>
  <c r="T583" i="5"/>
  <c r="S583" i="5"/>
  <c r="U1124" i="5"/>
  <c r="S1124" i="5"/>
  <c r="U1100" i="5"/>
  <c r="S1100" i="5"/>
  <c r="U1098" i="5"/>
  <c r="S1098" i="5"/>
  <c r="U1094" i="5"/>
  <c r="S1094" i="5"/>
  <c r="U1072" i="5"/>
  <c r="S1072" i="5"/>
  <c r="U6" i="6"/>
  <c r="S6" i="6"/>
  <c r="M121" i="4"/>
  <c r="J123" i="4" s="1"/>
  <c r="F42" i="8" s="1"/>
  <c r="N42" i="8" s="1"/>
  <c r="U27" i="6"/>
  <c r="S27" i="6"/>
  <c r="U23" i="6"/>
  <c r="S23" i="6"/>
  <c r="U20" i="6"/>
  <c r="S20" i="6"/>
  <c r="U11" i="6"/>
  <c r="S11" i="6"/>
  <c r="U9" i="6"/>
  <c r="S9" i="6"/>
  <c r="U7" i="6"/>
  <c r="S7" i="6"/>
  <c r="U24" i="6"/>
  <c r="S24" i="6"/>
  <c r="U21" i="6"/>
  <c r="S21" i="6"/>
  <c r="U10" i="6"/>
  <c r="S10" i="6"/>
  <c r="U8" i="6"/>
  <c r="S8" i="6"/>
  <c r="U12" i="6"/>
  <c r="S12" i="6"/>
  <c r="R50" i="6"/>
  <c r="U5" i="6"/>
  <c r="S5" i="6"/>
  <c r="S50" i="6" s="1"/>
  <c r="U29" i="6"/>
  <c r="S29" i="6"/>
  <c r="U28" i="6"/>
  <c r="S28" i="6"/>
  <c r="U30" i="6"/>
  <c r="S30" i="6"/>
  <c r="U31" i="6"/>
  <c r="S31" i="6"/>
  <c r="U49" i="6"/>
  <c r="S49" i="6"/>
  <c r="U48" i="6"/>
  <c r="S48" i="6"/>
  <c r="U47" i="6"/>
  <c r="S47" i="6"/>
  <c r="U46" i="6"/>
  <c r="S46" i="6"/>
  <c r="U45" i="6"/>
  <c r="S45" i="6"/>
  <c r="U44" i="6"/>
  <c r="S44" i="6"/>
  <c r="U43" i="6"/>
  <c r="S43" i="6"/>
  <c r="U42" i="6"/>
  <c r="S42" i="6"/>
  <c r="U41" i="6"/>
  <c r="S41" i="6"/>
  <c r="U40" i="6"/>
  <c r="S40" i="6"/>
  <c r="U32" i="6"/>
  <c r="S32" i="6"/>
  <c r="U34" i="6"/>
  <c r="S34" i="6"/>
  <c r="U33" i="6"/>
  <c r="S33" i="6"/>
  <c r="U39" i="6"/>
  <c r="S39" i="6"/>
  <c r="U38" i="6"/>
  <c r="S38" i="6"/>
  <c r="U25" i="6"/>
  <c r="S25" i="6"/>
  <c r="U22" i="6"/>
  <c r="S22" i="6"/>
  <c r="U18" i="6"/>
  <c r="S18" i="6"/>
  <c r="U16" i="6"/>
  <c r="S16" i="6"/>
  <c r="U14" i="6"/>
  <c r="S14" i="6"/>
  <c r="U13" i="6"/>
  <c r="S13" i="6"/>
  <c r="U26" i="6"/>
  <c r="S26" i="6"/>
  <c r="U19" i="6"/>
  <c r="S19" i="6"/>
  <c r="U17" i="6"/>
  <c r="S17" i="6"/>
  <c r="U15" i="6"/>
  <c r="S15" i="6"/>
  <c r="U36" i="6"/>
  <c r="S36" i="6"/>
  <c r="U35" i="6"/>
  <c r="S35" i="6"/>
  <c r="U37" i="6"/>
  <c r="S37" i="6"/>
  <c r="U50" i="6" l="1"/>
  <c r="Q50" i="6" s="1"/>
  <c r="U612" i="5"/>
  <c r="Q612" i="5" s="1"/>
  <c r="V575" i="5"/>
  <c r="V612" i="5" s="1"/>
  <c r="U1202" i="5"/>
  <c r="Q1202" i="5" s="1"/>
  <c r="V1039" i="5"/>
  <c r="V1202" i="5" s="1"/>
  <c r="U745" i="5"/>
  <c r="Q745" i="5" s="1"/>
  <c r="V734" i="5"/>
  <c r="V745" i="5" s="1"/>
  <c r="U732" i="5"/>
  <c r="Q732" i="5" s="1"/>
  <c r="V643" i="5"/>
  <c r="V732" i="5" s="1"/>
  <c r="U641" i="5"/>
  <c r="Q641" i="5" s="1"/>
  <c r="V614" i="5"/>
  <c r="V641" i="5" s="1"/>
  <c r="U1001" i="5"/>
  <c r="Q1001" i="5" s="1"/>
  <c r="V990" i="5"/>
  <c r="V1001" i="5" s="1"/>
  <c r="U821" i="5"/>
  <c r="Q821" i="5" s="1"/>
  <c r="V807" i="5"/>
  <c r="V821" i="5" s="1"/>
  <c r="U112" i="5"/>
  <c r="Q112" i="5" s="1"/>
  <c r="V42" i="5"/>
  <c r="V112" i="5" s="1"/>
  <c r="U123" i="5"/>
  <c r="Q123" i="5" s="1"/>
  <c r="V114" i="5"/>
  <c r="V123" i="5" s="1"/>
  <c r="U134" i="5"/>
  <c r="Q134" i="5" s="1"/>
  <c r="V125" i="5"/>
  <c r="V134" i="5" s="1"/>
  <c r="U148" i="5"/>
  <c r="Q148" i="5" s="1"/>
  <c r="V136" i="5"/>
  <c r="V148" i="5" s="1"/>
  <c r="U159" i="5"/>
  <c r="Q159" i="5" s="1"/>
  <c r="V150" i="5"/>
  <c r="V159" i="5" s="1"/>
  <c r="U268" i="5"/>
  <c r="Q268" i="5" s="1"/>
  <c r="V213" i="5"/>
  <c r="V268" i="5" s="1"/>
  <c r="U279" i="5"/>
  <c r="Q279" i="5" s="1"/>
  <c r="V270" i="5"/>
  <c r="V279" i="5" s="1"/>
  <c r="U347" i="5"/>
  <c r="Q347" i="5" s="1"/>
  <c r="V339" i="5"/>
  <c r="V347" i="5" s="1"/>
  <c r="U772" i="5"/>
  <c r="Q772" i="5" s="1"/>
  <c r="V763" i="5"/>
  <c r="V772" i="5" s="1"/>
  <c r="U805" i="5"/>
  <c r="Q805" i="5" s="1"/>
  <c r="V795" i="5"/>
  <c r="V805" i="5" s="1"/>
  <c r="U1216" i="5"/>
  <c r="Q1216" i="5" s="1"/>
  <c r="V1204" i="5"/>
  <c r="V1216" i="5" s="1"/>
  <c r="U1227" i="5"/>
  <c r="Q1227" i="5" s="1"/>
  <c r="V1218" i="5"/>
  <c r="V1227" i="5" s="1"/>
  <c r="U573" i="5"/>
  <c r="Q573" i="5" s="1"/>
  <c r="V485" i="5"/>
  <c r="V573" i="5" s="1"/>
  <c r="U988" i="5"/>
  <c r="Q988" i="5" s="1"/>
  <c r="V964" i="5"/>
  <c r="V988" i="5" s="1"/>
  <c r="U1010" i="5"/>
  <c r="Q1010" i="5" s="1"/>
  <c r="V1003" i="5"/>
  <c r="V1010" i="5" s="1"/>
  <c r="U1024" i="5"/>
  <c r="Q1024" i="5" s="1"/>
  <c r="V1012" i="5"/>
  <c r="V1024" i="5" s="1"/>
  <c r="U1037" i="5"/>
  <c r="Q1037" i="5" s="1"/>
  <c r="V1026" i="5"/>
  <c r="V1037" i="5" s="1"/>
  <c r="U211" i="5"/>
  <c r="Q211" i="5" s="1"/>
  <c r="V161" i="5"/>
  <c r="V211" i="5" s="1"/>
  <c r="U337" i="5"/>
  <c r="Q337" i="5" s="1"/>
  <c r="V281" i="5"/>
  <c r="V337" i="5" s="1"/>
  <c r="U483" i="5"/>
  <c r="Q483" i="5" s="1"/>
  <c r="V349" i="5"/>
  <c r="V483" i="5" s="1"/>
  <c r="U761" i="5"/>
  <c r="Q761" i="5" s="1"/>
  <c r="V747" i="5"/>
  <c r="V761" i="5" s="1"/>
  <c r="U793" i="5"/>
  <c r="Q793" i="5" s="1"/>
  <c r="V774" i="5"/>
  <c r="V793" i="5" s="1"/>
  <c r="U962" i="5"/>
  <c r="Q962" i="5" s="1"/>
  <c r="V888" i="5"/>
  <c r="V962" i="5" s="1"/>
  <c r="U40" i="5"/>
  <c r="Q40" i="5" s="1"/>
  <c r="V5" i="5"/>
  <c r="V40" i="5" s="1"/>
  <c r="U886" i="5"/>
  <c r="Q886" i="5" s="1"/>
  <c r="V823" i="5"/>
  <c r="V886" i="5" s="1"/>
  <c r="M126" i="4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D5" i="16"/>
  <c r="L9" i="10"/>
  <c r="D7" i="16"/>
  <c r="L20" i="14"/>
  <c r="D6" i="16"/>
  <c r="L18" i="12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O37" i="2" l="1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I42" i="8"/>
  <c r="K42" i="8"/>
  <c r="P42" i="8"/>
  <c r="P43" i="8"/>
  <c r="G42" i="8"/>
  <c r="H42" i="8"/>
  <c r="L42" i="8"/>
  <c r="Q42" i="8"/>
  <c r="Q43" i="8"/>
  <c r="C50" i="2"/>
  <c r="B53" i="2"/>
  <c r="H8" i="3"/>
  <c r="J9" i="4"/>
  <c r="I8" i="7"/>
  <c r="H61" i="3"/>
  <c r="J15" i="4"/>
  <c r="I14" i="7"/>
  <c r="H43" i="3"/>
  <c r="J23" i="4"/>
  <c r="I22" i="7"/>
  <c r="H12" i="3"/>
  <c r="J26" i="4"/>
  <c r="I25" i="7"/>
  <c r="J27" i="4"/>
  <c r="I26" i="7"/>
  <c r="H15" i="3"/>
  <c r="J31" i="4"/>
  <c r="I30" i="7"/>
  <c r="H58" i="3"/>
  <c r="J36" i="4"/>
  <c r="I35" i="7"/>
  <c r="J37" i="4"/>
  <c r="I36" i="7"/>
  <c r="H81" i="3"/>
  <c r="J42" i="4"/>
  <c r="I41" i="7"/>
  <c r="H46" i="3"/>
  <c r="J59" i="4"/>
  <c r="I58" i="7"/>
  <c r="J60" i="4"/>
  <c r="I59" i="7"/>
  <c r="H32" i="3"/>
  <c r="J73" i="4"/>
  <c r="I72" i="7"/>
  <c r="H31" i="3"/>
  <c r="J74" i="4"/>
  <c r="I73" i="7"/>
  <c r="H50" i="3"/>
  <c r="J77" i="4"/>
  <c r="I76" i="7"/>
  <c r="H37" i="3"/>
  <c r="J80" i="4"/>
  <c r="I79" i="7"/>
  <c r="H84" i="3"/>
  <c r="J85" i="4"/>
  <c r="I84" i="7"/>
  <c r="H39" i="3"/>
  <c r="J87" i="4"/>
  <c r="I86" i="7"/>
  <c r="H52" i="3"/>
  <c r="J89" i="4"/>
  <c r="I88" i="7"/>
  <c r="H54" i="3"/>
  <c r="J92" i="4"/>
  <c r="I91" i="7"/>
  <c r="H41" i="3"/>
  <c r="J95" i="4"/>
  <c r="I94" i="7"/>
  <c r="J96" i="4"/>
  <c r="I95" i="7"/>
  <c r="J97" i="4"/>
  <c r="I96" i="7"/>
  <c r="J98" i="4"/>
  <c r="I97" i="7"/>
  <c r="J99" i="4"/>
  <c r="I98" i="7"/>
  <c r="J100" i="4"/>
  <c r="I99" i="7"/>
  <c r="M37" i="8"/>
  <c r="N99" i="4"/>
  <c r="J103" i="4"/>
  <c r="F37" i="8"/>
  <c r="N37" i="8"/>
  <c r="O37" i="8"/>
  <c r="R37" i="8"/>
  <c r="S37" i="8"/>
  <c r="G35" i="9"/>
  <c r="H35" i="9"/>
  <c r="I37" i="8"/>
  <c r="K37" i="8"/>
  <c r="P37" i="8"/>
  <c r="E35" i="9"/>
  <c r="G37" i="8"/>
  <c r="H37" i="8"/>
  <c r="L37" i="8"/>
  <c r="Q37" i="8"/>
  <c r="F35" i="9"/>
  <c r="M36" i="8"/>
  <c r="F36" i="8"/>
  <c r="N36" i="8"/>
  <c r="O36" i="8"/>
  <c r="R36" i="8"/>
  <c r="S36" i="8"/>
  <c r="G34" i="9"/>
  <c r="H34" i="9"/>
  <c r="I36" i="8"/>
  <c r="K36" i="8"/>
  <c r="P36" i="8"/>
  <c r="E34" i="9"/>
  <c r="G36" i="8"/>
  <c r="H36" i="8"/>
  <c r="L36" i="8"/>
  <c r="Q36" i="8"/>
  <c r="F34" i="9"/>
  <c r="M35" i="8"/>
  <c r="F35" i="8"/>
  <c r="N35" i="8"/>
  <c r="O35" i="8"/>
  <c r="R35" i="8"/>
  <c r="S35" i="8"/>
  <c r="I35" i="8"/>
  <c r="K35" i="8"/>
  <c r="P35" i="8"/>
  <c r="E33" i="9"/>
  <c r="G35" i="8"/>
  <c r="H35" i="8"/>
  <c r="L35" i="8"/>
  <c r="Q35" i="8"/>
  <c r="F33" i="9"/>
  <c r="M34" i="8"/>
  <c r="F34" i="8"/>
  <c r="N34" i="8"/>
  <c r="O34" i="8"/>
  <c r="R34" i="8"/>
  <c r="S34" i="8"/>
  <c r="G32" i="9"/>
  <c r="H32" i="9"/>
  <c r="I34" i="8"/>
  <c r="K34" i="8"/>
  <c r="P34" i="8"/>
  <c r="E32" i="9"/>
  <c r="G34" i="8"/>
  <c r="H34" i="8"/>
  <c r="L34" i="8"/>
  <c r="Q34" i="8"/>
  <c r="F32" i="9"/>
  <c r="M33" i="8"/>
  <c r="F33" i="8"/>
  <c r="N33" i="8"/>
  <c r="O33" i="8"/>
  <c r="R33" i="8"/>
  <c r="S33" i="8"/>
  <c r="G31" i="9"/>
  <c r="H31" i="9"/>
  <c r="I33" i="8"/>
  <c r="K33" i="8"/>
  <c r="P33" i="8"/>
  <c r="E31" i="9"/>
  <c r="G33" i="8"/>
  <c r="H33" i="8"/>
  <c r="L33" i="8"/>
  <c r="Q33" i="8"/>
  <c r="F31" i="9"/>
  <c r="M32" i="8"/>
  <c r="F32" i="8"/>
  <c r="N32" i="8"/>
  <c r="O32" i="8"/>
  <c r="R32" i="8"/>
  <c r="S32" i="8"/>
  <c r="G30" i="9"/>
  <c r="H30" i="9"/>
  <c r="I32" i="8"/>
  <c r="K32" i="8"/>
  <c r="P32" i="8"/>
  <c r="E30" i="9"/>
  <c r="G32" i="8"/>
  <c r="H32" i="8"/>
  <c r="L32" i="8"/>
  <c r="Q32" i="8"/>
  <c r="F30" i="9"/>
  <c r="M31" i="8"/>
  <c r="F31" i="8"/>
  <c r="N31" i="8"/>
  <c r="O31" i="8"/>
  <c r="R31" i="8"/>
  <c r="S31" i="8"/>
  <c r="G29" i="9"/>
  <c r="H29" i="9"/>
  <c r="I31" i="8"/>
  <c r="K31" i="8"/>
  <c r="P31" i="8"/>
  <c r="E29" i="9"/>
  <c r="G31" i="8"/>
  <c r="H31" i="8"/>
  <c r="L31" i="8"/>
  <c r="Q31" i="8"/>
  <c r="F29" i="9"/>
  <c r="M30" i="8"/>
  <c r="F30" i="8"/>
  <c r="N30" i="8"/>
  <c r="O30" i="8"/>
  <c r="R30" i="8"/>
  <c r="S30" i="8"/>
  <c r="G28" i="9"/>
  <c r="H28" i="9"/>
  <c r="I30" i="8"/>
  <c r="K30" i="8"/>
  <c r="P30" i="8"/>
  <c r="E28" i="9"/>
  <c r="G30" i="8"/>
  <c r="H30" i="8"/>
  <c r="L30" i="8"/>
  <c r="Q30" i="8"/>
  <c r="F28" i="9"/>
  <c r="M29" i="8"/>
  <c r="F29" i="8"/>
  <c r="N29" i="8"/>
  <c r="O29" i="8"/>
  <c r="R29" i="8"/>
  <c r="S29" i="8"/>
  <c r="G27" i="9"/>
  <c r="H27" i="9"/>
  <c r="I29" i="8"/>
  <c r="K29" i="8"/>
  <c r="P29" i="8"/>
  <c r="E27" i="9"/>
  <c r="G29" i="8"/>
  <c r="H29" i="8"/>
  <c r="L29" i="8"/>
  <c r="Q29" i="8"/>
  <c r="F27" i="9"/>
  <c r="M28" i="8"/>
  <c r="F28" i="8"/>
  <c r="N28" i="8"/>
  <c r="O28" i="8"/>
  <c r="R28" i="8"/>
  <c r="S28" i="8"/>
  <c r="G26" i="9"/>
  <c r="H26" i="9"/>
  <c r="I28" i="8"/>
  <c r="K28" i="8"/>
  <c r="P28" i="8"/>
  <c r="E26" i="9"/>
  <c r="G28" i="8"/>
  <c r="H28" i="8"/>
  <c r="L28" i="8"/>
  <c r="Q28" i="8"/>
  <c r="F26" i="9"/>
  <c r="M27" i="8"/>
  <c r="F27" i="8"/>
  <c r="N27" i="8"/>
  <c r="O27" i="8"/>
  <c r="R27" i="8"/>
  <c r="S27" i="8"/>
  <c r="G25" i="9"/>
  <c r="H25" i="9"/>
  <c r="I27" i="8"/>
  <c r="K27" i="8"/>
  <c r="P27" i="8"/>
  <c r="E25" i="9"/>
  <c r="G27" i="8"/>
  <c r="H27" i="8"/>
  <c r="L27" i="8"/>
  <c r="Q27" i="8"/>
  <c r="F25" i="9"/>
  <c r="M26" i="8"/>
  <c r="F26" i="8"/>
  <c r="N26" i="8"/>
  <c r="O26" i="8"/>
  <c r="R26" i="8"/>
  <c r="S26" i="8"/>
  <c r="G24" i="9"/>
  <c r="H24" i="9"/>
  <c r="I26" i="8"/>
  <c r="K26" i="8"/>
  <c r="P26" i="8"/>
  <c r="E24" i="9"/>
  <c r="G26" i="8"/>
  <c r="H26" i="8"/>
  <c r="L26" i="8"/>
  <c r="Q26" i="8"/>
  <c r="F24" i="9"/>
  <c r="M25" i="8"/>
  <c r="F25" i="8"/>
  <c r="N25" i="8"/>
  <c r="O25" i="8"/>
  <c r="R25" i="8"/>
  <c r="S25" i="8"/>
  <c r="G23" i="9"/>
  <c r="H23" i="9"/>
  <c r="I25" i="8"/>
  <c r="K25" i="8"/>
  <c r="P25" i="8"/>
  <c r="E23" i="9"/>
  <c r="G25" i="8"/>
  <c r="H25" i="8"/>
  <c r="L25" i="8"/>
  <c r="Q25" i="8"/>
  <c r="F23" i="9"/>
  <c r="M24" i="8"/>
  <c r="F24" i="8"/>
  <c r="N24" i="8"/>
  <c r="O24" i="8"/>
  <c r="R24" i="8"/>
  <c r="S24" i="8"/>
  <c r="G22" i="9"/>
  <c r="H22" i="9"/>
  <c r="I24" i="8"/>
  <c r="K24" i="8"/>
  <c r="P24" i="8"/>
  <c r="E22" i="9"/>
  <c r="G24" i="8"/>
  <c r="H24" i="8"/>
  <c r="L24" i="8"/>
  <c r="Q24" i="8"/>
  <c r="F22" i="9"/>
  <c r="M23" i="8"/>
  <c r="F23" i="8"/>
  <c r="N23" i="8"/>
  <c r="O23" i="8"/>
  <c r="R23" i="8"/>
  <c r="S23" i="8"/>
  <c r="G21" i="9"/>
  <c r="H21" i="9"/>
  <c r="I23" i="8"/>
  <c r="K23" i="8"/>
  <c r="P23" i="8"/>
  <c r="E21" i="9"/>
  <c r="G23" i="8"/>
  <c r="H23" i="8"/>
  <c r="L23" i="8"/>
  <c r="Q23" i="8"/>
  <c r="F21" i="9"/>
  <c r="M22" i="8"/>
  <c r="F22" i="8"/>
  <c r="N22" i="8"/>
  <c r="O22" i="8"/>
  <c r="R22" i="8"/>
  <c r="S22" i="8"/>
  <c r="G20" i="9"/>
  <c r="H20" i="9"/>
  <c r="I22" i="8"/>
  <c r="K22" i="8"/>
  <c r="P22" i="8"/>
  <c r="E20" i="9"/>
  <c r="G22" i="8"/>
  <c r="H22" i="8"/>
  <c r="L22" i="8"/>
  <c r="Q22" i="8"/>
  <c r="F20" i="9"/>
  <c r="M21" i="8"/>
  <c r="F21" i="8"/>
  <c r="N21" i="8"/>
  <c r="O21" i="8"/>
  <c r="R21" i="8"/>
  <c r="S21" i="8"/>
  <c r="G19" i="9"/>
  <c r="H19" i="9"/>
  <c r="I21" i="8"/>
  <c r="K21" i="8"/>
  <c r="P21" i="8"/>
  <c r="E19" i="9"/>
  <c r="G21" i="8"/>
  <c r="H21" i="8"/>
  <c r="L21" i="8"/>
  <c r="Q21" i="8"/>
  <c r="F19" i="9"/>
  <c r="M20" i="8"/>
  <c r="F20" i="8"/>
  <c r="N20" i="8"/>
  <c r="O20" i="8"/>
  <c r="R20" i="8"/>
  <c r="S20" i="8"/>
  <c r="G18" i="9"/>
  <c r="H18" i="9"/>
  <c r="I20" i="8"/>
  <c r="K20" i="8"/>
  <c r="P20" i="8"/>
  <c r="E18" i="9"/>
  <c r="G20" i="8"/>
  <c r="H20" i="8"/>
  <c r="L20" i="8"/>
  <c r="Q20" i="8"/>
  <c r="F18" i="9"/>
  <c r="M19" i="8"/>
  <c r="F19" i="8"/>
  <c r="N19" i="8"/>
  <c r="O19" i="8"/>
  <c r="R19" i="8"/>
  <c r="S19" i="8"/>
  <c r="G17" i="9"/>
  <c r="H17" i="9"/>
  <c r="I19" i="8"/>
  <c r="K19" i="8"/>
  <c r="P19" i="8"/>
  <c r="E17" i="9"/>
  <c r="G19" i="8"/>
  <c r="H19" i="8"/>
  <c r="L19" i="8"/>
  <c r="Q19" i="8"/>
  <c r="F17" i="9"/>
  <c r="M18" i="8"/>
  <c r="F18" i="8"/>
  <c r="N18" i="8"/>
  <c r="O18" i="8"/>
  <c r="R18" i="8"/>
  <c r="S18" i="8"/>
  <c r="G16" i="9"/>
  <c r="H16" i="9"/>
  <c r="I18" i="8"/>
  <c r="K18" i="8"/>
  <c r="P18" i="8"/>
  <c r="E16" i="9"/>
  <c r="G18" i="8"/>
  <c r="H18" i="8"/>
  <c r="L18" i="8"/>
  <c r="Q18" i="8"/>
  <c r="F16" i="9"/>
  <c r="M17" i="8"/>
  <c r="F17" i="8"/>
  <c r="N17" i="8"/>
  <c r="O17" i="8"/>
  <c r="R17" i="8"/>
  <c r="S17" i="8"/>
  <c r="G15" i="9"/>
  <c r="H15" i="9"/>
  <c r="I17" i="8"/>
  <c r="K17" i="8"/>
  <c r="P17" i="8"/>
  <c r="E15" i="9"/>
  <c r="G17" i="8"/>
  <c r="H17" i="8"/>
  <c r="L17" i="8"/>
  <c r="Q17" i="8"/>
  <c r="F15" i="9"/>
  <c r="M16" i="8"/>
  <c r="F16" i="8"/>
  <c r="N16" i="8"/>
  <c r="O16" i="8"/>
  <c r="R16" i="8"/>
  <c r="S16" i="8"/>
  <c r="G14" i="9"/>
  <c r="H14" i="9"/>
  <c r="I16" i="8"/>
  <c r="K16" i="8"/>
  <c r="P16" i="8"/>
  <c r="E14" i="9"/>
  <c r="G16" i="8"/>
  <c r="H16" i="8"/>
  <c r="L16" i="8"/>
  <c r="Q16" i="8"/>
  <c r="F14" i="9"/>
  <c r="M15" i="8"/>
  <c r="F15" i="8"/>
  <c r="N15" i="8"/>
  <c r="O15" i="8"/>
  <c r="R15" i="8"/>
  <c r="S15" i="8"/>
  <c r="G13" i="9"/>
  <c r="H13" i="9"/>
  <c r="I15" i="8"/>
  <c r="K15" i="8"/>
  <c r="P15" i="8"/>
  <c r="E13" i="9"/>
  <c r="G15" i="8"/>
  <c r="H15" i="8"/>
  <c r="L15" i="8"/>
  <c r="Q15" i="8"/>
  <c r="F13" i="9"/>
  <c r="M14" i="8"/>
  <c r="F14" i="8"/>
  <c r="N14" i="8"/>
  <c r="O14" i="8"/>
  <c r="R14" i="8"/>
  <c r="S14" i="8"/>
  <c r="G12" i="9"/>
  <c r="H12" i="9"/>
  <c r="I14" i="8"/>
  <c r="K14" i="8"/>
  <c r="P14" i="8"/>
  <c r="E12" i="9"/>
  <c r="G14" i="8"/>
  <c r="H14" i="8"/>
  <c r="L14" i="8"/>
  <c r="Q14" i="8"/>
  <c r="F12" i="9"/>
  <c r="M13" i="8"/>
  <c r="F13" i="8"/>
  <c r="N13" i="8"/>
  <c r="O13" i="8"/>
  <c r="R13" i="8"/>
  <c r="S13" i="8"/>
  <c r="G11" i="9"/>
  <c r="H11" i="9"/>
  <c r="I13" i="8"/>
  <c r="K13" i="8"/>
  <c r="P13" i="8"/>
  <c r="E11" i="9"/>
  <c r="G13" i="8"/>
  <c r="H13" i="8"/>
  <c r="L13" i="8"/>
  <c r="Q13" i="8"/>
  <c r="F11" i="9"/>
  <c r="M12" i="8"/>
  <c r="F12" i="8"/>
  <c r="N12" i="8"/>
  <c r="O12" i="8"/>
  <c r="R12" i="8"/>
  <c r="S12" i="8"/>
  <c r="G10" i="9"/>
  <c r="H10" i="9"/>
  <c r="I12" i="8"/>
  <c r="K12" i="8"/>
  <c r="P12" i="8"/>
  <c r="E10" i="9"/>
  <c r="G12" i="8"/>
  <c r="H12" i="8"/>
  <c r="L12" i="8"/>
  <c r="Q12" i="8"/>
  <c r="F10" i="9"/>
  <c r="M11" i="8"/>
  <c r="F11" i="8"/>
  <c r="N11" i="8"/>
  <c r="O11" i="8"/>
  <c r="R11" i="8"/>
  <c r="S11" i="8"/>
  <c r="G9" i="9"/>
  <c r="H9" i="9"/>
  <c r="I11" i="8"/>
  <c r="K11" i="8"/>
  <c r="P11" i="8"/>
  <c r="E9" i="9"/>
  <c r="G11" i="8"/>
  <c r="H11" i="8"/>
  <c r="L11" i="8"/>
  <c r="Q11" i="8"/>
  <c r="F9" i="9"/>
  <c r="M10" i="8"/>
  <c r="F10" i="8"/>
  <c r="N10" i="8"/>
  <c r="O10" i="8"/>
  <c r="R10" i="8"/>
  <c r="S10" i="8"/>
  <c r="G8" i="9"/>
  <c r="H8" i="9"/>
  <c r="I10" i="8"/>
  <c r="K10" i="8"/>
  <c r="P10" i="8"/>
  <c r="E8" i="9"/>
  <c r="G10" i="8"/>
  <c r="H10" i="8"/>
  <c r="L10" i="8"/>
  <c r="Q10" i="8"/>
  <c r="F8" i="9"/>
  <c r="M9" i="8"/>
  <c r="F9" i="8"/>
  <c r="N9" i="8"/>
  <c r="O9" i="8"/>
  <c r="R9" i="8"/>
  <c r="S9" i="8"/>
  <c r="G7" i="9"/>
  <c r="H7" i="9"/>
  <c r="I9" i="8"/>
  <c r="K9" i="8"/>
  <c r="P9" i="8"/>
  <c r="E7" i="9"/>
  <c r="G9" i="8"/>
  <c r="H9" i="8"/>
  <c r="L9" i="8"/>
  <c r="Q9" i="8"/>
  <c r="F7" i="9"/>
  <c r="M8" i="8"/>
  <c r="F8" i="8"/>
  <c r="N8" i="8"/>
  <c r="O8" i="8"/>
  <c r="R8" i="8"/>
  <c r="S8" i="8"/>
  <c r="G6" i="9"/>
  <c r="H6" i="9"/>
  <c r="I8" i="8"/>
  <c r="K8" i="8"/>
  <c r="P8" i="8"/>
  <c r="E6" i="9"/>
  <c r="G8" i="8"/>
  <c r="H8" i="8"/>
  <c r="L8" i="8"/>
  <c r="Q8" i="8"/>
  <c r="F6" i="9"/>
  <c r="M7" i="8"/>
  <c r="F7" i="8"/>
  <c r="N7" i="8"/>
  <c r="O7" i="8"/>
  <c r="R7" i="8"/>
  <c r="S7" i="8"/>
  <c r="G5" i="9"/>
  <c r="H5" i="9"/>
  <c r="I7" i="8"/>
  <c r="K7" i="8"/>
  <c r="P7" i="8"/>
  <c r="E5" i="9"/>
  <c r="G7" i="8"/>
  <c r="H7" i="8"/>
  <c r="L7" i="8"/>
  <c r="Q7" i="8"/>
  <c r="F5" i="9"/>
  <c r="M6" i="8"/>
  <c r="F6" i="8"/>
  <c r="N6" i="8"/>
  <c r="O6" i="8"/>
  <c r="R6" i="8"/>
  <c r="S6" i="8"/>
  <c r="S38" i="8"/>
  <c r="R38" i="8"/>
  <c r="G4" i="9"/>
  <c r="H4" i="9"/>
  <c r="I6" i="8"/>
  <c r="K6" i="8"/>
  <c r="P6" i="8"/>
  <c r="P38" i="8"/>
  <c r="P46" i="8"/>
  <c r="E4" i="9"/>
  <c r="E37" i="9"/>
  <c r="C4" i="16"/>
  <c r="C9" i="16"/>
  <c r="G6" i="8"/>
  <c r="H6" i="8"/>
  <c r="L6" i="8"/>
  <c r="Q6" i="8"/>
  <c r="Q38" i="8"/>
  <c r="Q46" i="8"/>
  <c r="F4" i="9"/>
  <c r="F37" i="9"/>
  <c r="B4" i="16"/>
  <c r="B9" i="16"/>
  <c r="G50" i="2"/>
  <c r="F53" i="2"/>
  <c r="E50" i="2"/>
  <c r="D53" i="2"/>
  <c r="H92" i="3"/>
  <c r="J107" i="4"/>
  <c r="L107" i="4"/>
  <c r="H98" i="3"/>
  <c r="J108" i="4"/>
  <c r="L108" i="4"/>
  <c r="J109" i="4"/>
  <c r="L109" i="4"/>
  <c r="H93" i="3"/>
  <c r="J110" i="4"/>
  <c r="L110" i="4"/>
  <c r="H94" i="3"/>
  <c r="J111" i="4"/>
  <c r="L111" i="4"/>
  <c r="H97" i="3"/>
  <c r="J112" i="4"/>
  <c r="L112" i="4"/>
  <c r="H95" i="3"/>
  <c r="J113" i="4"/>
  <c r="L113" i="4"/>
  <c r="J114" i="4"/>
  <c r="L114" i="4"/>
  <c r="H100" i="3"/>
  <c r="J115" i="4"/>
  <c r="L115" i="4"/>
  <c r="J116" i="4"/>
  <c r="L116" i="4"/>
  <c r="H99" i="3"/>
  <c r="J117" i="4"/>
  <c r="L117" i="4"/>
  <c r="J118" i="4"/>
  <c r="L118" i="4"/>
  <c r="H96" i="3"/>
  <c r="J119" i="4"/>
  <c r="L119" i="4"/>
  <c r="J120" i="4"/>
  <c r="L120" i="4"/>
  <c r="L121" i="4"/>
  <c r="Q6" i="6"/>
  <c r="T6" i="6"/>
  <c r="I102" i="7"/>
  <c r="Q12" i="6"/>
  <c r="T12" i="6"/>
  <c r="I105" i="7"/>
  <c r="Q5" i="6"/>
  <c r="T5" i="6"/>
  <c r="T50" i="6"/>
  <c r="I106" i="7"/>
  <c r="Q30" i="6"/>
  <c r="T30" i="6"/>
  <c r="I108" i="7"/>
  <c r="Q31" i="6"/>
  <c r="T31" i="6"/>
  <c r="I109" i="7"/>
  <c r="Q35" i="6"/>
  <c r="T35" i="6"/>
  <c r="Q36" i="6"/>
  <c r="T36" i="6"/>
  <c r="I114" i="7"/>
  <c r="Q37" i="6"/>
  <c r="T37" i="6"/>
  <c r="I115" i="7"/>
  <c r="Q28" i="6"/>
  <c r="T28" i="6"/>
  <c r="Q29" i="6"/>
  <c r="T29" i="6"/>
  <c r="I107" i="7"/>
  <c r="Q7" i="6"/>
  <c r="T7" i="6"/>
  <c r="Q9" i="6"/>
  <c r="T9" i="6"/>
  <c r="Q11" i="6"/>
  <c r="T11" i="6"/>
  <c r="Q20" i="6"/>
  <c r="T20" i="6"/>
  <c r="Q23" i="6"/>
  <c r="T23" i="6"/>
  <c r="Q27" i="6"/>
  <c r="T27" i="6"/>
  <c r="I103" i="7"/>
  <c r="Q8" i="6"/>
  <c r="T8" i="6"/>
  <c r="Q10" i="6"/>
  <c r="T10" i="6"/>
  <c r="Q21" i="6"/>
  <c r="T21" i="6"/>
  <c r="Q24" i="6"/>
  <c r="T24" i="6"/>
  <c r="I104" i="7"/>
  <c r="Q13" i="6"/>
  <c r="T13" i="6"/>
  <c r="Q14" i="6"/>
  <c r="T14" i="6"/>
  <c r="Q16" i="6"/>
  <c r="T16" i="6"/>
  <c r="Q18" i="6"/>
  <c r="T18" i="6"/>
  <c r="Q22" i="6"/>
  <c r="T22" i="6"/>
  <c r="Q25" i="6"/>
  <c r="T25" i="6"/>
  <c r="Q38" i="6"/>
  <c r="T38" i="6"/>
  <c r="Q39" i="6"/>
  <c r="T39" i="6"/>
  <c r="I112" i="7"/>
  <c r="Q15" i="6"/>
  <c r="T15" i="6"/>
  <c r="Q17" i="6"/>
  <c r="T17" i="6"/>
  <c r="Q19" i="6"/>
  <c r="T19" i="6"/>
  <c r="Q26" i="6"/>
  <c r="T26" i="6"/>
  <c r="I113" i="7"/>
  <c r="Q32" i="6"/>
  <c r="T32" i="6"/>
  <c r="Q40" i="6"/>
  <c r="T40" i="6"/>
  <c r="Q41" i="6"/>
  <c r="T41" i="6"/>
  <c r="Q42" i="6"/>
  <c r="T42" i="6"/>
  <c r="Q43" i="6"/>
  <c r="T43" i="6"/>
  <c r="Q44" i="6"/>
  <c r="T44" i="6"/>
  <c r="Q45" i="6"/>
  <c r="T45" i="6"/>
  <c r="Q46" i="6"/>
  <c r="T46" i="6"/>
  <c r="Q47" i="6"/>
  <c r="T47" i="6"/>
  <c r="Q48" i="6"/>
  <c r="T48" i="6"/>
  <c r="Q49" i="6"/>
  <c r="T49" i="6"/>
  <c r="I110" i="7"/>
  <c r="Q33" i="6"/>
  <c r="T33" i="6"/>
  <c r="Q34" i="6"/>
  <c r="T34" i="6"/>
  <c r="I111" i="7"/>
  <c r="H6" i="3"/>
  <c r="H7" i="3"/>
  <c r="L9" i="4"/>
  <c r="Q110" i="5"/>
  <c r="T110" i="5"/>
  <c r="Q724" i="5"/>
  <c r="T724" i="5"/>
  <c r="H9" i="3"/>
  <c r="H10" i="3"/>
  <c r="H11" i="3"/>
  <c r="L26" i="4"/>
  <c r="Q100" i="5"/>
  <c r="T100" i="5"/>
  <c r="Q164" i="5"/>
  <c r="T164" i="5"/>
  <c r="Q259" i="5"/>
  <c r="T259" i="5"/>
  <c r="Q824" i="5"/>
  <c r="T824" i="5"/>
  <c r="L27" i="4"/>
  <c r="Q1041" i="5"/>
  <c r="T1041" i="5"/>
  <c r="H13" i="3"/>
  <c r="H14" i="3"/>
  <c r="L31" i="4"/>
  <c r="Q162" i="5"/>
  <c r="T162" i="5"/>
  <c r="Q282" i="5"/>
  <c r="T282" i="5"/>
  <c r="Q889" i="5"/>
  <c r="T889" i="5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L74" i="4"/>
  <c r="Q98" i="5"/>
  <c r="T98" i="5"/>
  <c r="Q102" i="5"/>
  <c r="T102" i="5"/>
  <c r="Q104" i="5"/>
  <c r="T104" i="5"/>
  <c r="Q106" i="5"/>
  <c r="T106" i="5"/>
  <c r="Q109" i="5"/>
  <c r="T109" i="5"/>
  <c r="Q166" i="5"/>
  <c r="T166" i="5"/>
  <c r="Q178" i="5"/>
  <c r="T178" i="5"/>
  <c r="Q180" i="5"/>
  <c r="T180" i="5"/>
  <c r="Q257" i="5"/>
  <c r="T257" i="5"/>
  <c r="Q263" i="5"/>
  <c r="T263" i="5"/>
  <c r="Q265" i="5"/>
  <c r="T265" i="5"/>
  <c r="Q284" i="5"/>
  <c r="T284" i="5"/>
  <c r="Q326" i="5"/>
  <c r="T326" i="5"/>
  <c r="Q335" i="5"/>
  <c r="T335" i="5"/>
  <c r="Q826" i="5"/>
  <c r="T826" i="5"/>
  <c r="Q857" i="5"/>
  <c r="T857" i="5"/>
  <c r="Q891" i="5"/>
  <c r="T891" i="5"/>
  <c r="Q893" i="5"/>
  <c r="T893" i="5"/>
  <c r="Q949" i="5"/>
  <c r="T949" i="5"/>
  <c r="Q951" i="5"/>
  <c r="T951" i="5"/>
  <c r="Q961" i="5"/>
  <c r="T961" i="5"/>
  <c r="L73" i="4"/>
  <c r="Q1176" i="5"/>
  <c r="T1176" i="5"/>
  <c r="H33" i="3"/>
  <c r="H34" i="3"/>
  <c r="H35" i="3"/>
  <c r="H36" i="3"/>
  <c r="L80" i="4"/>
  <c r="Q1092" i="5"/>
  <c r="T1092" i="5"/>
  <c r="H38" i="3"/>
  <c r="L87" i="4"/>
  <c r="Q1059" i="5"/>
  <c r="T1059" i="5"/>
  <c r="Q1063" i="5"/>
  <c r="T1063" i="5"/>
  <c r="Q1074" i="5"/>
  <c r="T1074" i="5"/>
  <c r="H40" i="3"/>
  <c r="L95" i="4"/>
  <c r="Q1072" i="5"/>
  <c r="T1072" i="5"/>
  <c r="Q1094" i="5"/>
  <c r="T1094" i="5"/>
  <c r="Q1098" i="5"/>
  <c r="T1098" i="5"/>
  <c r="Q1100" i="5"/>
  <c r="T1100" i="5"/>
  <c r="Q1124" i="5"/>
  <c r="T1124" i="5"/>
  <c r="H42" i="3"/>
  <c r="L23" i="4"/>
  <c r="Q12" i="5"/>
  <c r="T12" i="5"/>
  <c r="Q20" i="5"/>
  <c r="T20" i="5"/>
  <c r="Q26" i="5"/>
  <c r="T26" i="5"/>
  <c r="Q32" i="5"/>
  <c r="T32" i="5"/>
  <c r="Q46" i="5"/>
  <c r="T46" i="5"/>
  <c r="Q48" i="5"/>
  <c r="T48" i="5"/>
  <c r="Q50" i="5"/>
  <c r="T50" i="5"/>
  <c r="Q52" i="5"/>
  <c r="T52" i="5"/>
  <c r="Q54" i="5"/>
  <c r="T54" i="5"/>
  <c r="Q70" i="5"/>
  <c r="T70" i="5"/>
  <c r="Q72" i="5"/>
  <c r="T72" i="5"/>
  <c r="Q74" i="5"/>
  <c r="T74" i="5"/>
  <c r="Q76" i="5"/>
  <c r="T76" i="5"/>
  <c r="Q78" i="5"/>
  <c r="T78" i="5"/>
  <c r="Q80" i="5"/>
  <c r="T80" i="5"/>
  <c r="Q184" i="5"/>
  <c r="T184" i="5"/>
  <c r="Q190" i="5"/>
  <c r="T190" i="5"/>
  <c r="Q196" i="5"/>
  <c r="T196" i="5"/>
  <c r="Q202" i="5"/>
  <c r="T202" i="5"/>
  <c r="Q206" i="5"/>
  <c r="T206" i="5"/>
  <c r="Q233" i="5"/>
  <c r="T233" i="5"/>
  <c r="Q235" i="5"/>
  <c r="T235" i="5"/>
  <c r="Q237" i="5"/>
  <c r="T237" i="5"/>
  <c r="Q239" i="5"/>
  <c r="T239" i="5"/>
  <c r="Q290" i="5"/>
  <c r="T290" i="5"/>
  <c r="Q296" i="5"/>
  <c r="T296" i="5"/>
  <c r="Q302" i="5"/>
  <c r="T302" i="5"/>
  <c r="Q308" i="5"/>
  <c r="T308" i="5"/>
  <c r="Q313" i="5"/>
  <c r="T313" i="5"/>
  <c r="Q318" i="5"/>
  <c r="T318" i="5"/>
  <c r="Q658" i="5"/>
  <c r="T658" i="5"/>
  <c r="Q672" i="5"/>
  <c r="T672" i="5"/>
  <c r="Q694" i="5"/>
  <c r="T694" i="5"/>
  <c r="Q700" i="5"/>
  <c r="T700" i="5"/>
  <c r="Q709" i="5"/>
  <c r="T709" i="5"/>
  <c r="Q719" i="5"/>
  <c r="T719" i="5"/>
  <c r="Q836" i="5"/>
  <c r="T836" i="5"/>
  <c r="Q847" i="5"/>
  <c r="T847" i="5"/>
  <c r="Q855" i="5"/>
  <c r="T855" i="5"/>
  <c r="Q867" i="5"/>
  <c r="T867" i="5"/>
  <c r="Q873" i="5"/>
  <c r="T873" i="5"/>
  <c r="Q879" i="5"/>
  <c r="T879" i="5"/>
  <c r="Q885" i="5"/>
  <c r="T885" i="5"/>
  <c r="Q899" i="5"/>
  <c r="T899" i="5"/>
  <c r="Q905" i="5"/>
  <c r="T905" i="5"/>
  <c r="Q913" i="5"/>
  <c r="T913" i="5"/>
  <c r="Q926" i="5"/>
  <c r="T926" i="5"/>
  <c r="Q932" i="5"/>
  <c r="T932" i="5"/>
  <c r="Q938" i="5"/>
  <c r="T938" i="5"/>
  <c r="Q947" i="5"/>
  <c r="T947" i="5"/>
  <c r="H44" i="3"/>
  <c r="H45" i="3"/>
  <c r="L59" i="4"/>
  <c r="Q14" i="5"/>
  <c r="T14" i="5"/>
  <c r="Q18" i="5"/>
  <c r="T18" i="5"/>
  <c r="Q24" i="5"/>
  <c r="T24" i="5"/>
  <c r="Q30" i="5"/>
  <c r="T30" i="5"/>
  <c r="Q56" i="5"/>
  <c r="T56" i="5"/>
  <c r="Q58" i="5"/>
  <c r="T58" i="5"/>
  <c r="Q60" i="5"/>
  <c r="T60" i="5"/>
  <c r="Q62" i="5"/>
  <c r="T62" i="5"/>
  <c r="Q64" i="5"/>
  <c r="T64" i="5"/>
  <c r="Q66" i="5"/>
  <c r="T66" i="5"/>
  <c r="Q68" i="5"/>
  <c r="T68" i="5"/>
  <c r="Q168" i="5"/>
  <c r="T168" i="5"/>
  <c r="Q170" i="5"/>
  <c r="T170" i="5"/>
  <c r="Q173" i="5"/>
  <c r="T173" i="5"/>
  <c r="Q175" i="5"/>
  <c r="T175" i="5"/>
  <c r="Q188" i="5"/>
  <c r="T188" i="5"/>
  <c r="Q194" i="5"/>
  <c r="T194" i="5"/>
  <c r="Q200" i="5"/>
  <c r="T200" i="5"/>
  <c r="Q204" i="5"/>
  <c r="T204" i="5"/>
  <c r="Q217" i="5"/>
  <c r="T217" i="5"/>
  <c r="Q219" i="5"/>
  <c r="T219" i="5"/>
  <c r="Q221" i="5"/>
  <c r="T221" i="5"/>
  <c r="Q223" i="5"/>
  <c r="T223" i="5"/>
  <c r="Q225" i="5"/>
  <c r="T225" i="5"/>
  <c r="Q227" i="5"/>
  <c r="T227" i="5"/>
  <c r="Q229" i="5"/>
  <c r="T229" i="5"/>
  <c r="Q231" i="5"/>
  <c r="T231" i="5"/>
  <c r="Q249" i="5"/>
  <c r="T249" i="5"/>
  <c r="Q251" i="5"/>
  <c r="T251" i="5"/>
  <c r="Q253" i="5"/>
  <c r="T253" i="5"/>
  <c r="Q255" i="5"/>
  <c r="T255" i="5"/>
  <c r="Q261" i="5"/>
  <c r="T261" i="5"/>
  <c r="Q288" i="5"/>
  <c r="T288" i="5"/>
  <c r="Q294" i="5"/>
  <c r="T294" i="5"/>
  <c r="Q300" i="5"/>
  <c r="T300" i="5"/>
  <c r="Q306" i="5"/>
  <c r="T306" i="5"/>
  <c r="Q311" i="5"/>
  <c r="T311" i="5"/>
  <c r="Q316" i="5"/>
  <c r="T316" i="5"/>
  <c r="Q320" i="5"/>
  <c r="T320" i="5"/>
  <c r="Q328" i="5"/>
  <c r="T328" i="5"/>
  <c r="Q330" i="5"/>
  <c r="T330" i="5"/>
  <c r="Q357" i="5"/>
  <c r="T357" i="5"/>
  <c r="Q365" i="5"/>
  <c r="T365" i="5"/>
  <c r="Q385" i="5"/>
  <c r="T385" i="5"/>
  <c r="Q388" i="5"/>
  <c r="T388" i="5"/>
  <c r="Q404" i="5"/>
  <c r="T404" i="5"/>
  <c r="Q412" i="5"/>
  <c r="T412" i="5"/>
  <c r="Q415" i="5"/>
  <c r="T415" i="5"/>
  <c r="Q426" i="5"/>
  <c r="T426" i="5"/>
  <c r="Q438" i="5"/>
  <c r="T438" i="5"/>
  <c r="Q446" i="5"/>
  <c r="T446" i="5"/>
  <c r="Q448" i="5"/>
  <c r="T448" i="5"/>
  <c r="Q474" i="5"/>
  <c r="T474" i="5"/>
  <c r="Q662" i="5"/>
  <c r="T662" i="5"/>
  <c r="Q664" i="5"/>
  <c r="T664" i="5"/>
  <c r="Q668" i="5"/>
  <c r="T668" i="5"/>
  <c r="Q696" i="5"/>
  <c r="T696" i="5"/>
  <c r="Q702" i="5"/>
  <c r="T702" i="5"/>
  <c r="Q705" i="5"/>
  <c r="T705" i="5"/>
  <c r="Q713" i="5"/>
  <c r="T713" i="5"/>
  <c r="Q715" i="5"/>
  <c r="T715" i="5"/>
  <c r="Q721" i="5"/>
  <c r="T721" i="5"/>
  <c r="Q828" i="5"/>
  <c r="T828" i="5"/>
  <c r="Q830" i="5"/>
  <c r="T830" i="5"/>
  <c r="Q832" i="5"/>
  <c r="T832" i="5"/>
  <c r="Q838" i="5"/>
  <c r="T838" i="5"/>
  <c r="Q849" i="5"/>
  <c r="T849" i="5"/>
  <c r="Q853" i="5"/>
  <c r="T853" i="5"/>
  <c r="Q863" i="5"/>
  <c r="T863" i="5"/>
  <c r="Q865" i="5"/>
  <c r="T865" i="5"/>
  <c r="Q871" i="5"/>
  <c r="T871" i="5"/>
  <c r="Q877" i="5"/>
  <c r="T877" i="5"/>
  <c r="Q883" i="5"/>
  <c r="T883" i="5"/>
  <c r="Q917" i="5"/>
  <c r="T917" i="5"/>
  <c r="Q924" i="5"/>
  <c r="T924" i="5"/>
  <c r="Q930" i="5"/>
  <c r="T930" i="5"/>
  <c r="Q936" i="5"/>
  <c r="T936" i="5"/>
  <c r="Q945" i="5"/>
  <c r="T945" i="5"/>
  <c r="Q953" i="5"/>
  <c r="T953" i="5"/>
  <c r="Q955" i="5"/>
  <c r="T955" i="5"/>
  <c r="Q957" i="5"/>
  <c r="T957" i="5"/>
  <c r="Q959" i="5"/>
  <c r="T959" i="5"/>
  <c r="Q1158" i="5"/>
  <c r="T1158" i="5"/>
  <c r="Q1165" i="5"/>
  <c r="T1165" i="5"/>
  <c r="Q1172" i="5"/>
  <c r="T1172" i="5"/>
  <c r="L60" i="4"/>
  <c r="Q1044" i="5"/>
  <c r="T1044" i="5"/>
  <c r="Q1046" i="5"/>
  <c r="T1046" i="5"/>
  <c r="Q1137" i="5"/>
  <c r="T1137" i="5"/>
  <c r="Q1139" i="5"/>
  <c r="T1139" i="5"/>
  <c r="Q1186" i="5"/>
  <c r="T1186" i="5"/>
  <c r="Q1188" i="5"/>
  <c r="T1188" i="5"/>
  <c r="H47" i="3"/>
  <c r="H48" i="3"/>
  <c r="H49" i="3"/>
  <c r="L77" i="4"/>
  <c r="Q1088" i="5"/>
  <c r="T1088" i="5"/>
  <c r="Q1089" i="5"/>
  <c r="T1089" i="5"/>
  <c r="H51" i="3"/>
  <c r="L89" i="4"/>
  <c r="Q1077" i="5"/>
  <c r="T1077" i="5"/>
  <c r="H53" i="3"/>
  <c r="L92" i="4"/>
  <c r="Q1066" i="5"/>
  <c r="T1066" i="5"/>
  <c r="Q1068" i="5"/>
  <c r="T1068" i="5"/>
  <c r="Q1070" i="5"/>
  <c r="T1070" i="5"/>
  <c r="Q1079" i="5"/>
  <c r="T1079" i="5"/>
  <c r="Q1081" i="5"/>
  <c r="T1081" i="5"/>
  <c r="Q1084" i="5"/>
  <c r="T1084" i="5"/>
  <c r="Q1086" i="5"/>
  <c r="T1086" i="5"/>
  <c r="H55" i="3"/>
  <c r="H56" i="3"/>
  <c r="H57" i="3"/>
  <c r="L36" i="4"/>
  <c r="Q37" i="5"/>
  <c r="T37" i="5"/>
  <c r="Q43" i="5"/>
  <c r="T43" i="5"/>
  <c r="Q208" i="5"/>
  <c r="T208" i="5"/>
  <c r="Q214" i="5"/>
  <c r="T214" i="5"/>
  <c r="Q323" i="5"/>
  <c r="T323" i="5"/>
  <c r="Q666" i="5"/>
  <c r="T666" i="5"/>
  <c r="Q729" i="5"/>
  <c r="T729" i="5"/>
  <c r="Q731" i="5"/>
  <c r="T731" i="5"/>
  <c r="Q840" i="5"/>
  <c r="T840" i="5"/>
  <c r="Q919" i="5"/>
  <c r="T919" i="5"/>
  <c r="Q940" i="5"/>
  <c r="T940" i="5"/>
  <c r="L37" i="4"/>
  <c r="Q674" i="5"/>
  <c r="T674" i="5"/>
  <c r="H59" i="3"/>
  <c r="H60" i="3"/>
  <c r="L15" i="4"/>
  <c r="Q726" i="5"/>
  <c r="T726" i="5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L42" i="4"/>
  <c r="Q10" i="5"/>
  <c r="T10" i="5"/>
  <c r="Q16" i="5"/>
  <c r="T16" i="5"/>
  <c r="Q22" i="5"/>
  <c r="T22" i="5"/>
  <c r="Q28" i="5"/>
  <c r="T28" i="5"/>
  <c r="Q82" i="5"/>
  <c r="T82" i="5"/>
  <c r="Q84" i="5"/>
  <c r="T84" i="5"/>
  <c r="Q86" i="5"/>
  <c r="T86" i="5"/>
  <c r="Q88" i="5"/>
  <c r="T88" i="5"/>
  <c r="Q90" i="5"/>
  <c r="T90" i="5"/>
  <c r="Q92" i="5"/>
  <c r="T92" i="5"/>
  <c r="Q94" i="5"/>
  <c r="T94" i="5"/>
  <c r="Q96" i="5"/>
  <c r="T96" i="5"/>
  <c r="Q182" i="5"/>
  <c r="T182" i="5"/>
  <c r="Q186" i="5"/>
  <c r="T186" i="5"/>
  <c r="Q192" i="5"/>
  <c r="T192" i="5"/>
  <c r="Q198" i="5"/>
  <c r="T198" i="5"/>
  <c r="Q241" i="5"/>
  <c r="T241" i="5"/>
  <c r="Q243" i="5"/>
  <c r="T243" i="5"/>
  <c r="Q245" i="5"/>
  <c r="T245" i="5"/>
  <c r="Q247" i="5"/>
  <c r="T247" i="5"/>
  <c r="Q286" i="5"/>
  <c r="T286" i="5"/>
  <c r="Q292" i="5"/>
  <c r="T292" i="5"/>
  <c r="Q298" i="5"/>
  <c r="T298" i="5"/>
  <c r="Q304" i="5"/>
  <c r="T304" i="5"/>
  <c r="Q660" i="5"/>
  <c r="T660" i="5"/>
  <c r="Q670" i="5"/>
  <c r="T670" i="5"/>
  <c r="Q698" i="5"/>
  <c r="T698" i="5"/>
  <c r="Q707" i="5"/>
  <c r="T707" i="5"/>
  <c r="Q711" i="5"/>
  <c r="T711" i="5"/>
  <c r="Q717" i="5"/>
  <c r="T717" i="5"/>
  <c r="Q834" i="5"/>
  <c r="T834" i="5"/>
  <c r="Q843" i="5"/>
  <c r="T843" i="5"/>
  <c r="Q845" i="5"/>
  <c r="T845" i="5"/>
  <c r="Q851" i="5"/>
  <c r="T851" i="5"/>
  <c r="Q859" i="5"/>
  <c r="T859" i="5"/>
  <c r="Q861" i="5"/>
  <c r="T861" i="5"/>
  <c r="Q869" i="5"/>
  <c r="T869" i="5"/>
  <c r="Q875" i="5"/>
  <c r="T875" i="5"/>
  <c r="Q881" i="5"/>
  <c r="T881" i="5"/>
  <c r="Q895" i="5"/>
  <c r="T895" i="5"/>
  <c r="Q901" i="5"/>
  <c r="T901" i="5"/>
  <c r="Q907" i="5"/>
  <c r="T907" i="5"/>
  <c r="Q909" i="5"/>
  <c r="T909" i="5"/>
  <c r="Q915" i="5"/>
  <c r="T915" i="5"/>
  <c r="Q922" i="5"/>
  <c r="T922" i="5"/>
  <c r="Q928" i="5"/>
  <c r="T928" i="5"/>
  <c r="Q934" i="5"/>
  <c r="T934" i="5"/>
  <c r="Q943" i="5"/>
  <c r="T943" i="5"/>
  <c r="H82" i="3"/>
  <c r="H83" i="3"/>
  <c r="L85" i="4"/>
  <c r="Q1096" i="5"/>
  <c r="T1096" i="5"/>
  <c r="Q1104" i="5"/>
  <c r="T1104" i="5"/>
  <c r="Q1106" i="5"/>
  <c r="T1106" i="5"/>
  <c r="Q1108" i="5"/>
  <c r="T1108" i="5"/>
  <c r="Q1110" i="5"/>
  <c r="T1110" i="5"/>
  <c r="Q1112" i="5"/>
  <c r="T1112" i="5"/>
  <c r="Q1114" i="5"/>
  <c r="T1114" i="5"/>
  <c r="Q1116" i="5"/>
  <c r="T1116" i="5"/>
  <c r="Q1118" i="5"/>
  <c r="T1118" i="5"/>
  <c r="Q1120" i="5"/>
  <c r="T1120" i="5"/>
  <c r="Q1122" i="5"/>
  <c r="T1122" i="5"/>
  <c r="H85" i="3"/>
  <c r="H86" i="3"/>
  <c r="H87" i="3"/>
  <c r="H88" i="3"/>
  <c r="H89" i="3"/>
  <c r="L96" i="4"/>
  <c r="Q808" i="5"/>
  <c r="T808" i="5"/>
  <c r="L97" i="4"/>
  <c r="Q920" i="5"/>
  <c r="T920" i="5"/>
  <c r="Q941" i="5"/>
  <c r="T941" i="5"/>
  <c r="L98" i="4"/>
  <c r="Q759" i="5"/>
  <c r="T759" i="5"/>
  <c r="Q764" i="5"/>
  <c r="T764" i="5"/>
  <c r="Q796" i="5"/>
  <c r="T796" i="5"/>
  <c r="Q841" i="5"/>
  <c r="T841" i="5"/>
  <c r="L99" i="4"/>
  <c r="Q571" i="5"/>
  <c r="T571" i="5"/>
  <c r="L100" i="4"/>
  <c r="Q572" i="5"/>
  <c r="T572" i="5"/>
  <c r="V572" i="5"/>
  <c r="V571" i="5"/>
  <c r="N100" i="4"/>
  <c r="N9" i="4"/>
  <c r="N15" i="4"/>
  <c r="N23" i="4"/>
  <c r="N26" i="4"/>
  <c r="N27" i="4"/>
  <c r="N31" i="4"/>
  <c r="N36" i="4"/>
  <c r="N37" i="4"/>
  <c r="N42" i="4"/>
  <c r="N59" i="4"/>
  <c r="N60" i="4"/>
  <c r="N73" i="4"/>
  <c r="N74" i="4"/>
  <c r="N77" i="4"/>
  <c r="N80" i="4"/>
  <c r="N85" i="4"/>
  <c r="N87" i="4"/>
  <c r="N89" i="4"/>
  <c r="N92" i="4"/>
  <c r="N95" i="4"/>
  <c r="N96" i="4"/>
  <c r="N97" i="4"/>
  <c r="N98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V941" i="5"/>
  <c r="V920" i="5"/>
  <c r="V841" i="5"/>
  <c r="V808" i="5"/>
  <c r="V796" i="5"/>
  <c r="V764" i="5"/>
  <c r="V759" i="5"/>
  <c r="L101" i="4"/>
  <c r="N101" i="4"/>
  <c r="N107" i="4"/>
  <c r="N121" i="4"/>
  <c r="N126" i="4"/>
  <c r="V724" i="5"/>
  <c r="V110" i="5"/>
  <c r="V726" i="5"/>
  <c r="V947" i="5"/>
  <c r="V938" i="5"/>
  <c r="V932" i="5"/>
  <c r="V926" i="5"/>
  <c r="V913" i="5"/>
  <c r="V905" i="5"/>
  <c r="V899" i="5"/>
  <c r="V885" i="5"/>
  <c r="V879" i="5"/>
  <c r="V873" i="5"/>
  <c r="V867" i="5"/>
  <c r="V855" i="5"/>
  <c r="V847" i="5"/>
  <c r="V836" i="5"/>
  <c r="V719" i="5"/>
  <c r="V709" i="5"/>
  <c r="V700" i="5"/>
  <c r="V694" i="5"/>
  <c r="V672" i="5"/>
  <c r="V658" i="5"/>
  <c r="V318" i="5"/>
  <c r="V313" i="5"/>
  <c r="V308" i="5"/>
  <c r="V302" i="5"/>
  <c r="V296" i="5"/>
  <c r="V290" i="5"/>
  <c r="V239" i="5"/>
  <c r="V237" i="5"/>
  <c r="V235" i="5"/>
  <c r="V233" i="5"/>
  <c r="V206" i="5"/>
  <c r="V202" i="5"/>
  <c r="V196" i="5"/>
  <c r="V190" i="5"/>
  <c r="V184" i="5"/>
  <c r="V80" i="5"/>
  <c r="V78" i="5"/>
  <c r="V76" i="5"/>
  <c r="V74" i="5"/>
  <c r="V72" i="5"/>
  <c r="V70" i="5"/>
  <c r="V54" i="5"/>
  <c r="V52" i="5"/>
  <c r="V50" i="5"/>
  <c r="V48" i="5"/>
  <c r="V46" i="5"/>
  <c r="V32" i="5"/>
  <c r="V26" i="5"/>
  <c r="V20" i="5"/>
  <c r="V12" i="5"/>
  <c r="V824" i="5"/>
  <c r="V259" i="5"/>
  <c r="V164" i="5"/>
  <c r="V100" i="5"/>
  <c r="V1041" i="5"/>
  <c r="V889" i="5"/>
  <c r="V282" i="5"/>
  <c r="V162" i="5"/>
  <c r="V940" i="5"/>
  <c r="V919" i="5"/>
  <c r="V840" i="5"/>
  <c r="V731" i="5"/>
  <c r="V729" i="5"/>
  <c r="V666" i="5"/>
  <c r="V323" i="5"/>
  <c r="V214" i="5"/>
  <c r="V208" i="5"/>
  <c r="V43" i="5"/>
  <c r="V37" i="5"/>
  <c r="V674" i="5"/>
  <c r="V943" i="5"/>
  <c r="V934" i="5"/>
  <c r="V928" i="5"/>
  <c r="V922" i="5"/>
  <c r="V915" i="5"/>
  <c r="V909" i="5"/>
  <c r="V907" i="5"/>
  <c r="V901" i="5"/>
  <c r="V895" i="5"/>
  <c r="V881" i="5"/>
  <c r="V875" i="5"/>
  <c r="V869" i="5"/>
  <c r="V861" i="5"/>
  <c r="V859" i="5"/>
  <c r="V851" i="5"/>
  <c r="V845" i="5"/>
  <c r="V843" i="5"/>
  <c r="V834" i="5"/>
  <c r="V717" i="5"/>
  <c r="V711" i="5"/>
  <c r="V707" i="5"/>
  <c r="V698" i="5"/>
  <c r="V670" i="5"/>
  <c r="V660" i="5"/>
  <c r="V304" i="5"/>
  <c r="V298" i="5"/>
  <c r="V292" i="5"/>
  <c r="V286" i="5"/>
  <c r="V247" i="5"/>
  <c r="V245" i="5"/>
  <c r="V243" i="5"/>
  <c r="V241" i="5"/>
  <c r="V198" i="5"/>
  <c r="V192" i="5"/>
  <c r="V186" i="5"/>
  <c r="V182" i="5"/>
  <c r="V96" i="5"/>
  <c r="V94" i="5"/>
  <c r="V92" i="5"/>
  <c r="V90" i="5"/>
  <c r="V88" i="5"/>
  <c r="V86" i="5"/>
  <c r="V84" i="5"/>
  <c r="V82" i="5"/>
  <c r="V28" i="5"/>
  <c r="V22" i="5"/>
  <c r="V16" i="5"/>
  <c r="V10" i="5"/>
  <c r="V1172" i="5"/>
  <c r="V1165" i="5"/>
  <c r="V1158" i="5"/>
  <c r="V959" i="5"/>
  <c r="V957" i="5"/>
  <c r="V955" i="5"/>
  <c r="V953" i="5"/>
  <c r="V945" i="5"/>
  <c r="V936" i="5"/>
  <c r="V930" i="5"/>
  <c r="V924" i="5"/>
  <c r="V917" i="5"/>
  <c r="V883" i="5"/>
  <c r="V877" i="5"/>
  <c r="V871" i="5"/>
  <c r="V865" i="5"/>
  <c r="V863" i="5"/>
  <c r="V853" i="5"/>
  <c r="V849" i="5"/>
  <c r="V838" i="5"/>
  <c r="V832" i="5"/>
  <c r="V830" i="5"/>
  <c r="V828" i="5"/>
  <c r="V721" i="5"/>
  <c r="V715" i="5"/>
  <c r="V713" i="5"/>
  <c r="V705" i="5"/>
  <c r="V702" i="5"/>
  <c r="V696" i="5"/>
  <c r="V668" i="5"/>
  <c r="V664" i="5"/>
  <c r="V662" i="5"/>
  <c r="V474" i="5"/>
  <c r="V448" i="5"/>
  <c r="V446" i="5"/>
  <c r="V438" i="5"/>
  <c r="V426" i="5"/>
  <c r="V415" i="5"/>
  <c r="V412" i="5"/>
  <c r="V404" i="5"/>
  <c r="V388" i="5"/>
  <c r="V385" i="5"/>
  <c r="V365" i="5"/>
  <c r="V357" i="5"/>
  <c r="V330" i="5"/>
  <c r="V328" i="5"/>
  <c r="V320" i="5"/>
  <c r="V316" i="5"/>
  <c r="V311" i="5"/>
  <c r="V306" i="5"/>
  <c r="V300" i="5"/>
  <c r="V294" i="5"/>
  <c r="V288" i="5"/>
  <c r="V261" i="5"/>
  <c r="V255" i="5"/>
  <c r="V253" i="5"/>
  <c r="V251" i="5"/>
  <c r="V249" i="5"/>
  <c r="V231" i="5"/>
  <c r="V229" i="5"/>
  <c r="V227" i="5"/>
  <c r="V225" i="5"/>
  <c r="V223" i="5"/>
  <c r="V221" i="5"/>
  <c r="V219" i="5"/>
  <c r="V217" i="5"/>
  <c r="V204" i="5"/>
  <c r="V200" i="5"/>
  <c r="V194" i="5"/>
  <c r="V188" i="5"/>
  <c r="V175" i="5"/>
  <c r="V173" i="5"/>
  <c r="V170" i="5"/>
  <c r="V168" i="5"/>
  <c r="V68" i="5"/>
  <c r="V66" i="5"/>
  <c r="V64" i="5"/>
  <c r="V62" i="5"/>
  <c r="V60" i="5"/>
  <c r="V58" i="5"/>
  <c r="V56" i="5"/>
  <c r="V30" i="5"/>
  <c r="V24" i="5"/>
  <c r="V18" i="5"/>
  <c r="V14" i="5"/>
  <c r="V1188" i="5"/>
  <c r="V1186" i="5"/>
  <c r="V1139" i="5"/>
  <c r="V1137" i="5"/>
  <c r="V1046" i="5"/>
  <c r="V1044" i="5"/>
  <c r="V1176" i="5"/>
  <c r="V961" i="5"/>
  <c r="V951" i="5"/>
  <c r="V949" i="5"/>
  <c r="V893" i="5"/>
  <c r="V891" i="5"/>
  <c r="V857" i="5"/>
  <c r="V826" i="5"/>
  <c r="V335" i="5"/>
  <c r="V326" i="5"/>
  <c r="V284" i="5"/>
  <c r="V265" i="5"/>
  <c r="V263" i="5"/>
  <c r="V257" i="5"/>
  <c r="V180" i="5"/>
  <c r="V178" i="5"/>
  <c r="V166" i="5"/>
  <c r="V109" i="5"/>
  <c r="V106" i="5"/>
  <c r="V104" i="5"/>
  <c r="V102" i="5"/>
  <c r="V98" i="5"/>
  <c r="V1089" i="5"/>
  <c r="V1088" i="5"/>
  <c r="V1092" i="5"/>
  <c r="V1122" i="5"/>
  <c r="V1120" i="5"/>
  <c r="V1118" i="5"/>
  <c r="V1116" i="5"/>
  <c r="V1114" i="5"/>
  <c r="V1112" i="5"/>
  <c r="V1110" i="5"/>
  <c r="V1108" i="5"/>
  <c r="V1106" i="5"/>
  <c r="V1104" i="5"/>
  <c r="V1096" i="5"/>
  <c r="V1074" i="5"/>
  <c r="V1063" i="5"/>
  <c r="V1059" i="5"/>
  <c r="V1077" i="5"/>
  <c r="V1086" i="5"/>
  <c r="V1084" i="5"/>
  <c r="V1081" i="5"/>
  <c r="V1079" i="5"/>
  <c r="V1070" i="5"/>
  <c r="V1068" i="5"/>
  <c r="V1066" i="5"/>
  <c r="V1124" i="5"/>
  <c r="V1100" i="5"/>
  <c r="V1098" i="5"/>
  <c r="V1094" i="5"/>
  <c r="V1072" i="5"/>
  <c r="V6" i="6"/>
  <c r="V27" i="6"/>
  <c r="V23" i="6"/>
  <c r="V20" i="6"/>
  <c r="V11" i="6"/>
  <c r="V9" i="6"/>
  <c r="V7" i="6"/>
  <c r="V24" i="6"/>
  <c r="V21" i="6"/>
  <c r="V10" i="6"/>
  <c r="V8" i="6"/>
  <c r="V12" i="6"/>
  <c r="V29" i="6"/>
  <c r="V28" i="6"/>
  <c r="V30" i="6"/>
  <c r="V31" i="6"/>
  <c r="V49" i="6"/>
  <c r="V48" i="6"/>
  <c r="V47" i="6"/>
  <c r="V46" i="6"/>
  <c r="V45" i="6"/>
  <c r="V44" i="6"/>
  <c r="V43" i="6"/>
  <c r="V42" i="6"/>
  <c r="V41" i="6"/>
  <c r="V40" i="6"/>
  <c r="V32" i="6"/>
  <c r="V34" i="6"/>
  <c r="V33" i="6"/>
  <c r="V39" i="6"/>
  <c r="V38" i="6"/>
  <c r="V25" i="6"/>
  <c r="V22" i="6"/>
  <c r="V18" i="6"/>
  <c r="V16" i="6"/>
  <c r="V14" i="6"/>
  <c r="V13" i="6"/>
  <c r="V26" i="6"/>
  <c r="V19" i="6"/>
  <c r="V17" i="6"/>
  <c r="V15" i="6"/>
  <c r="V36" i="6"/>
  <c r="V35" i="6"/>
  <c r="V37" i="6"/>
  <c r="V5" i="6"/>
  <c r="V50" i="6"/>
  <c r="M42" i="8"/>
  <c r="O42" i="8"/>
  <c r="R42" i="8"/>
  <c r="G33" i="9"/>
  <c r="G37" i="9"/>
  <c r="D4" i="16"/>
  <c r="D9" i="16"/>
  <c r="H33" i="9"/>
  <c r="H37" i="9"/>
  <c r="R43" i="8"/>
  <c r="R46" i="8"/>
  <c r="S42" i="8"/>
  <c r="S43" i="8"/>
  <c r="S46" i="8"/>
</calcChain>
</file>

<file path=xl/sharedStrings.xml><?xml version="1.0" encoding="utf-8"?>
<sst xmlns="http://schemas.openxmlformats.org/spreadsheetml/2006/main" count="16197" uniqueCount="1485">
  <si>
    <t>Blad 'Omreken'</t>
  </si>
  <si>
    <t>Dit blad mag niet worden gewijzigd!</t>
  </si>
  <si>
    <t>Type:</t>
  </si>
  <si>
    <t>Invultabel</t>
  </si>
  <si>
    <t xml:space="preserve">werkdag                  </t>
  </si>
  <si>
    <t xml:space="preserve">per jaar: </t>
  </si>
  <si>
    <t xml:space="preserve">per week: </t>
  </si>
  <si>
    <t>FREQ</t>
  </si>
  <si>
    <t>FACTOR</t>
  </si>
  <si>
    <t>5W</t>
  </si>
  <si>
    <t>255J</t>
  </si>
  <si>
    <t>230J</t>
  </si>
  <si>
    <t>4W</t>
  </si>
  <si>
    <t>200J</t>
  </si>
  <si>
    <t>3W</t>
  </si>
  <si>
    <t>130J</t>
  </si>
  <si>
    <t>104J</t>
  </si>
  <si>
    <t>2W</t>
  </si>
  <si>
    <t>102J</t>
  </si>
  <si>
    <t>52J</t>
  </si>
  <si>
    <t>1W</t>
  </si>
  <si>
    <t>51J</t>
  </si>
  <si>
    <t>40J</t>
  </si>
  <si>
    <t>26J</t>
  </si>
  <si>
    <t>12J</t>
  </si>
  <si>
    <t>10J</t>
  </si>
  <si>
    <t>8J</t>
  </si>
  <si>
    <t>6J</t>
  </si>
  <si>
    <t>4J</t>
  </si>
  <si>
    <t>3J</t>
  </si>
  <si>
    <t>2J</t>
  </si>
  <si>
    <t>1J</t>
  </si>
  <si>
    <t xml:space="preserve">werkdag vakantie         </t>
  </si>
  <si>
    <t xml:space="preserve">weekenddag               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</si>
  <si>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</si>
  <si>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</si>
  <si>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</si>
  <si>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</si>
  <si>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</si>
  <si>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</si>
  <si>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</si>
  <si>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</si>
  <si>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</si>
  <si>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</si>
  <si>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</si>
  <si>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</si>
  <si>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</si>
  <si>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</si>
  <si>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</si>
  <si>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</si>
  <si>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</si>
  <si>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</si>
  <si>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</si>
  <si>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</si>
  <si>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</si>
  <si>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</si>
  <si>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</si>
  <si>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</si>
  <si>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</si>
  <si>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</si>
  <si>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</si>
  <si>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</si>
  <si>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</si>
  <si>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</si>
  <si>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</si>
  <si>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</si>
  <si>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</si>
  <si>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</si>
  <si>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</si>
  <si>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</si>
  <si>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</si>
  <si>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</si>
  <si>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</si>
  <si>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</si>
  <si>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</si>
  <si>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</si>
  <si>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</si>
  <si>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</si>
  <si>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</si>
  <si>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</si>
  <si>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</si>
  <si>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</si>
  <si>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</si>
  <si>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</si>
  <si>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</si>
  <si>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</si>
  <si>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TARIEF REGULIER WERK</t>
  </si>
  <si>
    <t>Werkdag</t>
  </si>
  <si>
    <t>Weekend</t>
  </si>
  <si>
    <t>Feestdag</t>
  </si>
  <si>
    <t>Aandeel</t>
  </si>
  <si>
    <t>Tarief</t>
  </si>
  <si>
    <t>Gewogen tarief uitvoering</t>
  </si>
  <si>
    <t>Tarief regulier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</si>
  <si>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</si>
  <si>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</si>
  <si>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</si>
  <si>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</si>
  <si>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</si>
  <si>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</si>
  <si>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</si>
  <si>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</si>
  <si>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</si>
  <si>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AHB</t>
  </si>
  <si>
    <t>Archief/berging harde vloer basis</t>
  </si>
  <si>
    <t>m²/uur</t>
  </si>
  <si>
    <t>AHV</t>
  </si>
  <si>
    <t>Archief/berging harde vloer volledig</t>
  </si>
  <si>
    <t>AZB</t>
  </si>
  <si>
    <t>Archief/berging zachte vloer basis</t>
  </si>
  <si>
    <t>AZV</t>
  </si>
  <si>
    <t>Archief/berging zachte vloer volledig</t>
  </si>
  <si>
    <t>EHB</t>
  </si>
  <si>
    <t>Entree harde vloer basis</t>
  </si>
  <si>
    <t>EHV</t>
  </si>
  <si>
    <t>Entree harde vloer volledig</t>
  </si>
  <si>
    <t>EZB</t>
  </si>
  <si>
    <t>Entree zachte vloer volledig (basis)</t>
  </si>
  <si>
    <t>EZV</t>
  </si>
  <si>
    <t>Entree zachte vloer volledig</t>
  </si>
  <si>
    <t>FHB</t>
  </si>
  <si>
    <t>Lift harde vloer (basis)</t>
  </si>
  <si>
    <t>FHV</t>
  </si>
  <si>
    <t>Lift harde vloer (volledig)</t>
  </si>
  <si>
    <t>OZB</t>
  </si>
  <si>
    <t>Vergaderruimte/spreekkamer zachte vloeren (basis)</t>
  </si>
  <si>
    <t>OZV</t>
  </si>
  <si>
    <t>Vergaderruimte/spreekkamer zachte vloeren (volledig)</t>
  </si>
  <si>
    <t>PHB</t>
  </si>
  <si>
    <t>Pantry/keuken harde vloer basis</t>
  </si>
  <si>
    <t>PHV</t>
  </si>
  <si>
    <t>Pantry/keuken harde vloer volledig</t>
  </si>
  <si>
    <t>THB</t>
  </si>
  <si>
    <t>Trappenhuis harde vloer basis</t>
  </si>
  <si>
    <t>THV</t>
  </si>
  <si>
    <t>Trappenhuis harde vloer volledig</t>
  </si>
  <si>
    <t>TZB</t>
  </si>
  <si>
    <t>Trappenhuis zachte vloer basis</t>
  </si>
  <si>
    <t>TZV</t>
  </si>
  <si>
    <t>Trappenhuis zachte vloer volledig</t>
  </si>
  <si>
    <t>VHB</t>
  </si>
  <si>
    <t>Verkeersruimten/reporgrafie harde vloer basis</t>
  </si>
  <si>
    <t>VHV</t>
  </si>
  <si>
    <t>Verkeersruimten/reporgrafie harde vloer volledig</t>
  </si>
  <si>
    <t>VZB</t>
  </si>
  <si>
    <t>Verkeersruimten/reporgrafie zachte vloer basis</t>
  </si>
  <si>
    <t>VZV</t>
  </si>
  <si>
    <t>Verkeersruimten/reporgrafie zachte vloer volledig</t>
  </si>
  <si>
    <t>ZEHB</t>
  </si>
  <si>
    <t>Entree zwembad harde vloer volledig (basis)</t>
  </si>
  <si>
    <t>ZEHV</t>
  </si>
  <si>
    <t>Entree zwembad harde vloer volledig</t>
  </si>
  <si>
    <t>ZPHB</t>
  </si>
  <si>
    <t>Perron natte sportruimte harde vloer volledig (basis)</t>
  </si>
  <si>
    <t>ZPHV</t>
  </si>
  <si>
    <t>Perron natte sportruimte harde vloer volledig</t>
  </si>
  <si>
    <t>ZVHB</t>
  </si>
  <si>
    <t>Verkeersruimte natte sportruimte harde vloer basis</t>
  </si>
  <si>
    <t>ZVHV</t>
  </si>
  <si>
    <t>Verkeersruimte natte sportruimte harde vloer volledig</t>
  </si>
  <si>
    <t>DHB</t>
  </si>
  <si>
    <t>Douche/wasruimte harde vloer basis</t>
  </si>
  <si>
    <t>DHV</t>
  </si>
  <si>
    <t>Douche/wasruimte harde vloer volledig</t>
  </si>
  <si>
    <t>SHB</t>
  </si>
  <si>
    <t>Sanitaire ruimte/toilet harde vloer basis</t>
  </si>
  <si>
    <t>SHV</t>
  </si>
  <si>
    <t>Sanitaire ruimte/toilet harde vloer volledig</t>
  </si>
  <si>
    <t>ZDHB</t>
  </si>
  <si>
    <t>Douche/wasruimte natte sportruimte harde vloer basis</t>
  </si>
  <si>
    <t>ZDHV</t>
  </si>
  <si>
    <t>Douche/wasruimte natte sportruimte harde vloer volledig</t>
  </si>
  <si>
    <t>ZSAHB</t>
  </si>
  <si>
    <t>Sauna natte sportruimte  harde vloer basis</t>
  </si>
  <si>
    <t>ZSAHV</t>
  </si>
  <si>
    <t>Sauna  natte sportruimte harde vloer basis (volledig)</t>
  </si>
  <si>
    <t>ZSHB</t>
  </si>
  <si>
    <t>Sanitaire ruimte/toilet natte sportruimte harde vloer basis</t>
  </si>
  <si>
    <t>ZSHV</t>
  </si>
  <si>
    <t>Sanitaire ruimte/toilet natte sportruimte harde vloer volled (volledig)</t>
  </si>
  <si>
    <t>ZHB</t>
  </si>
  <si>
    <t>Natte sportruimte harde vloe basis</t>
  </si>
  <si>
    <t>ZHV</t>
  </si>
  <si>
    <t>Natte sportruimte harde vloer volledig</t>
  </si>
  <si>
    <t>GHB</t>
  </si>
  <si>
    <t>Droge sportruimte harde vloerbasis</t>
  </si>
  <si>
    <t>GHV</t>
  </si>
  <si>
    <t>Droge sportruimte harde vloer volledig</t>
  </si>
  <si>
    <t>BHB</t>
  </si>
  <si>
    <t>Bureau/personeeslkamer harde vloeren (basis)</t>
  </si>
  <si>
    <t>BHV</t>
  </si>
  <si>
    <t>Bureau-/personeelskamer harde vloer volledig</t>
  </si>
  <si>
    <t>BZB</t>
  </si>
  <si>
    <t>Bureau-/personeelskamer zachte vloer basis</t>
  </si>
  <si>
    <t>BZV</t>
  </si>
  <si>
    <t>Bureau-/personeelskamer zachte vloer volledig</t>
  </si>
  <si>
    <t>LHB</t>
  </si>
  <si>
    <t>Leslokaal theorie harde vloer basis</t>
  </si>
  <si>
    <t>LHV</t>
  </si>
  <si>
    <t>Leslokaal theorie harde vloer volledig</t>
  </si>
  <si>
    <t>LKHB</t>
  </si>
  <si>
    <t>Leslokaal kleuter/peuter harde vloer basis</t>
  </si>
  <si>
    <t>LKHV</t>
  </si>
  <si>
    <t>Leslokaal kleuter/peuter harde vloer volledig</t>
  </si>
  <si>
    <t>RHB</t>
  </si>
  <si>
    <t>Restaurant/personeelsruimte/kantine harde vloer basis</t>
  </si>
  <si>
    <t>RHV</t>
  </si>
  <si>
    <t>Restaurant/personeelsruimte/kantine harde vloer volledig</t>
  </si>
  <si>
    <t>RZB</t>
  </si>
  <si>
    <t>Restaurant/personeelsruimte/kantine zachte vloer basis</t>
  </si>
  <si>
    <t>RZH</t>
  </si>
  <si>
    <t>Restaurant/personeelsruimte/kantine zachte vloer volledig</t>
  </si>
  <si>
    <t>ZBHB</t>
  </si>
  <si>
    <t>Bureau-/spreek-/vergaderruimte zwembad harde vloer volledig (basis)</t>
  </si>
  <si>
    <t>Bureau-/spreek-/vergaderruimte zwembad harde vloer volledig</t>
  </si>
  <si>
    <t>KLHB</t>
  </si>
  <si>
    <t>Kleedruimte droge sportruimte harde vloer basis</t>
  </si>
  <si>
    <t>KLHV</t>
  </si>
  <si>
    <t>Kleedruimte droge sportruimte harde vloer volledig</t>
  </si>
  <si>
    <t>ZKLHB</t>
  </si>
  <si>
    <t>Kleedruimte natte sportruimte harde vloer basis</t>
  </si>
  <si>
    <t>ZKLHV</t>
  </si>
  <si>
    <t>Kleedruimte natte sportruimte harde vloer volledig</t>
  </si>
  <si>
    <t>PMHB</t>
  </si>
  <si>
    <t>Praktijklokaal minimaal harde vloerbasis</t>
  </si>
  <si>
    <t>PMHV</t>
  </si>
  <si>
    <t>Praktijklokaal minimaal harde vloer volledig</t>
  </si>
  <si>
    <t>PUHB</t>
  </si>
  <si>
    <t>Praktijklokaal uitgebreid harde vloer basis</t>
  </si>
  <si>
    <t>PUHV</t>
  </si>
  <si>
    <t>Praktijklokaal uitgebreid harde vloer volledig</t>
  </si>
  <si>
    <t xml:space="preserve">WEEKENDDAG               </t>
  </si>
  <si>
    <t>WEHB</t>
  </si>
  <si>
    <t>Entree harde vloer (basis)</t>
  </si>
  <si>
    <t>WTHB</t>
  </si>
  <si>
    <t>Trappenhuis harde vloer (basis)</t>
  </si>
  <si>
    <t>WVZB</t>
  </si>
  <si>
    <t>Verkeersruimte/repro/garderobel zachte vloer (basis)</t>
  </si>
  <si>
    <t>WZEHB</t>
  </si>
  <si>
    <t>WZVHB</t>
  </si>
  <si>
    <t>WDHB</t>
  </si>
  <si>
    <t>Douche/wasruimte harde vloer (basis)</t>
  </si>
  <si>
    <t>WSHB</t>
  </si>
  <si>
    <t>Sanitaire ruimte/toilet harde vloer (basis)</t>
  </si>
  <si>
    <t>WZSHB</t>
  </si>
  <si>
    <t>WZKHB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</si>
  <si>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</si>
  <si>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</si>
  <si>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</si>
  <si>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</si>
  <si>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</si>
  <si>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</si>
  <si>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</si>
  <si>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</si>
  <si>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</si>
  <si>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</si>
  <si>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Archief/berging harde vloer</t>
  </si>
  <si>
    <t>AZ</t>
  </si>
  <si>
    <t>Archief/berging zachte vloer</t>
  </si>
  <si>
    <t>BH</t>
  </si>
  <si>
    <t>Bureaukamer/personeelsruimte harde vloeren</t>
  </si>
  <si>
    <t>Bureaukamer/personeelskamer harde vloeren</t>
  </si>
  <si>
    <t>BHN</t>
  </si>
  <si>
    <t>BZ</t>
  </si>
  <si>
    <t>Bureaukamer/personeelskamer zachte vloeren</t>
  </si>
  <si>
    <t>Bureaukamer/personeelskmaer zachtevloeren</t>
  </si>
  <si>
    <t>DH</t>
  </si>
  <si>
    <t>Douche/wasruimte harde vloer</t>
  </si>
  <si>
    <t>DHN</t>
  </si>
  <si>
    <t>Douche/wasruimte harde vloer NALOOP</t>
  </si>
  <si>
    <t>EH</t>
  </si>
  <si>
    <t>Entree harde vloer</t>
  </si>
  <si>
    <t>EHN</t>
  </si>
  <si>
    <t>Entree harde vloer NALOOP</t>
  </si>
  <si>
    <t>EZ</t>
  </si>
  <si>
    <t>Entree zachte vloer</t>
  </si>
  <si>
    <t>EZN</t>
  </si>
  <si>
    <t>Entree zachte vloer NALOOP</t>
  </si>
  <si>
    <t>FH</t>
  </si>
  <si>
    <t>Lift harde vloer</t>
  </si>
  <si>
    <t>GH</t>
  </si>
  <si>
    <t>Droge sportruimte harde vloer</t>
  </si>
  <si>
    <t>GHN</t>
  </si>
  <si>
    <t>Droge sportruimte harde vloer NALOOP</t>
  </si>
  <si>
    <t>KLH</t>
  </si>
  <si>
    <t>Kleedruimte droge sportruimte harde vloer</t>
  </si>
  <si>
    <t>KLHN</t>
  </si>
  <si>
    <t>Kleedruimte droge sportruimte harde vloer NALOOP</t>
  </si>
  <si>
    <t>LH</t>
  </si>
  <si>
    <t>Leslokaal theorie harde vloer</t>
  </si>
  <si>
    <t>LKH</t>
  </si>
  <si>
    <t>Leslokaal kleuters/peuters harde vloer</t>
  </si>
  <si>
    <t>OZ</t>
  </si>
  <si>
    <t>Vergaderruimte/spreekkamer zachte vloeren</t>
  </si>
  <si>
    <t>PH</t>
  </si>
  <si>
    <t>Pantry/keuken harde vloer</t>
  </si>
  <si>
    <t>PMH</t>
  </si>
  <si>
    <t>Praktijklokaal minimaal harde vloer</t>
  </si>
  <si>
    <t>PUH</t>
  </si>
  <si>
    <t>Praktijklokaal uitgebreid harde vloer</t>
  </si>
  <si>
    <t>RH</t>
  </si>
  <si>
    <t>Restaurant/personeelsruimte/kantine harde vloer</t>
  </si>
  <si>
    <t>RZ</t>
  </si>
  <si>
    <t>Restaurant/personeelsruimte/kantine zachte vloer</t>
  </si>
  <si>
    <t>SH</t>
  </si>
  <si>
    <t>Sanitaire ruimte/toilet harde vloer</t>
  </si>
  <si>
    <t>SHN</t>
  </si>
  <si>
    <t>Sanitaire ruimte/toilet harde vloer NALOOP</t>
  </si>
  <si>
    <t>TH</t>
  </si>
  <si>
    <t>Trappenhuis harde vloer</t>
  </si>
  <si>
    <t>THN</t>
  </si>
  <si>
    <t>Trappenhuis harde vloer NALOOP</t>
  </si>
  <si>
    <t>TZ</t>
  </si>
  <si>
    <t>Trappenhuis zachte vloer</t>
  </si>
  <si>
    <t>VH</t>
  </si>
  <si>
    <t>Verkeersruimten/reprografie harde vloer</t>
  </si>
  <si>
    <t>VHN</t>
  </si>
  <si>
    <t>Verkeersruimten/reprografie harde vloer NALOOP</t>
  </si>
  <si>
    <t>VZ</t>
  </si>
  <si>
    <t>Verkeersruimten/reprografie zachte vloer</t>
  </si>
  <si>
    <t>ZBH</t>
  </si>
  <si>
    <t>Bureau-/spreek-/vergaderruimte zwembad harde vloer</t>
  </si>
  <si>
    <t>ZDH</t>
  </si>
  <si>
    <t>Douche/wasruimte zwembad harde vloer</t>
  </si>
  <si>
    <t>ZEH</t>
  </si>
  <si>
    <t>Entree zwembad harde vloer</t>
  </si>
  <si>
    <t>ZEHN</t>
  </si>
  <si>
    <t>Entree zwembad tussenbeurt harde vloer</t>
  </si>
  <si>
    <t>ZH</t>
  </si>
  <si>
    <t>Natte sportruimte harde vloer</t>
  </si>
  <si>
    <t>ZKLH</t>
  </si>
  <si>
    <t>Kleedruimte natte sportruimte harde vloer</t>
  </si>
  <si>
    <t>ZKLHN</t>
  </si>
  <si>
    <t>Kleedruimte natte sportruimte tussenbeurt harde vloer</t>
  </si>
  <si>
    <t>ZPH</t>
  </si>
  <si>
    <t>Perron natte sportruimte harde vloer</t>
  </si>
  <si>
    <t>ZPHN</t>
  </si>
  <si>
    <t>Perron natte sportruimte tussenbeurt harde vloer</t>
  </si>
  <si>
    <t>ZSAH</t>
  </si>
  <si>
    <t>Sauna natte sportruimte harde vloer</t>
  </si>
  <si>
    <t>ZSAHN</t>
  </si>
  <si>
    <t>Sauna natte sportruimte tussenbeurt  harde vloer</t>
  </si>
  <si>
    <t>ZSH</t>
  </si>
  <si>
    <t>Sanitair natte sportruimte harde vloer</t>
  </si>
  <si>
    <t>ZSHN</t>
  </si>
  <si>
    <t>Sanitair natte sportruimte harde vloer NALOOP</t>
  </si>
  <si>
    <t>ZVH</t>
  </si>
  <si>
    <t>Verkeersruimte natte sportruimte harde vloer</t>
  </si>
  <si>
    <t>ZVHN</t>
  </si>
  <si>
    <t>Verkeersruimte natte sportruimte tussenbeurt harde vloer</t>
  </si>
  <si>
    <t>ZZ002</t>
  </si>
  <si>
    <t>Schrobben gymzaal</t>
  </si>
  <si>
    <t>vloer</t>
  </si>
  <si>
    <t>ZZ001</t>
  </si>
  <si>
    <t>extra</t>
  </si>
  <si>
    <t>Dagkracht Hoofdkantoor</t>
  </si>
  <si>
    <t>uur</t>
  </si>
  <si>
    <t>ZZ004</t>
  </si>
  <si>
    <t>Koffiemachines reinigen en vuillen</t>
  </si>
  <si>
    <t>min./m</t>
  </si>
  <si>
    <t xml:space="preserve">Totaal werkdag                  </t>
  </si>
  <si>
    <t xml:space="preserve">Gemiddeld uurtarief werkdag                  </t>
  </si>
  <si>
    <t>WEH</t>
  </si>
  <si>
    <t>WSH</t>
  </si>
  <si>
    <t>WSHN</t>
  </si>
  <si>
    <t>Sanitaire ruimte/toilet tussenbeurt harde vloer</t>
  </si>
  <si>
    <t>WTH</t>
  </si>
  <si>
    <t>WVZ</t>
  </si>
  <si>
    <t>Gang/hal zachte vloeren</t>
  </si>
  <si>
    <t>WZDH</t>
  </si>
  <si>
    <t>WZEH</t>
  </si>
  <si>
    <t>WZEHN</t>
  </si>
  <si>
    <t>WZKH</t>
  </si>
  <si>
    <t>WZKHN</t>
  </si>
  <si>
    <t>WZSH</t>
  </si>
  <si>
    <t>WZSHN</t>
  </si>
  <si>
    <t>Sanitair natte sportruimte tussenbeurt harde vloer</t>
  </si>
  <si>
    <t>WZVH</t>
  </si>
  <si>
    <t>WZVHN</t>
  </si>
  <si>
    <t xml:space="preserve">Totaal weekenddag               </t>
  </si>
  <si>
    <t xml:space="preserve">Gemiddeld uurtarief weekenddag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</si>
  <si>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</si>
  <si>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</si>
  <si>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</si>
  <si>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</si>
  <si>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</si>
  <si>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</si>
  <si>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</si>
  <si>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</si>
  <si>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KOSTENPLAATS</t>
  </si>
  <si>
    <t>DAG-KRACHT</t>
  </si>
  <si>
    <t>UREN HOOG-FREQUENT/ DAG</t>
  </si>
  <si>
    <t>0001 - MFC De Dissel, Disselplein 6, Hooglanderveen</t>
  </si>
  <si>
    <t>0001</t>
  </si>
  <si>
    <t>00</t>
  </si>
  <si>
    <t>0.01</t>
  </si>
  <si>
    <t>Entrée</t>
  </si>
  <si>
    <t>gietvloer</t>
  </si>
  <si>
    <t>0.02</t>
  </si>
  <si>
    <t>Gang kleedkamers</t>
  </si>
  <si>
    <t>0.03</t>
  </si>
  <si>
    <t>Invalidetoilet (in sporthal)</t>
  </si>
  <si>
    <t>0.04</t>
  </si>
  <si>
    <t>Gang sportzaal</t>
  </si>
  <si>
    <t>0.05</t>
  </si>
  <si>
    <t>Kleedkamer heren 1</t>
  </si>
  <si>
    <t>0.06</t>
  </si>
  <si>
    <t>Douche</t>
  </si>
  <si>
    <t>sure step</t>
  </si>
  <si>
    <t>0.07</t>
  </si>
  <si>
    <t>Toilet heren</t>
  </si>
  <si>
    <t>0.08</t>
  </si>
  <si>
    <t>Kleedkamer dames 1</t>
  </si>
  <si>
    <t>0.09</t>
  </si>
  <si>
    <t>Toilet dames</t>
  </si>
  <si>
    <t>0.10</t>
  </si>
  <si>
    <t>0.11</t>
  </si>
  <si>
    <t>Kleedkamer heren 2</t>
  </si>
  <si>
    <t>0.12</t>
  </si>
  <si>
    <t>0.13</t>
  </si>
  <si>
    <t>0.14</t>
  </si>
  <si>
    <t>Kleedkamer dames 2</t>
  </si>
  <si>
    <t>0.15</t>
  </si>
  <si>
    <t>Toilet</t>
  </si>
  <si>
    <t>0.16</t>
  </si>
  <si>
    <t>0.18</t>
  </si>
  <si>
    <t>0.19</t>
  </si>
  <si>
    <t>0.20</t>
  </si>
  <si>
    <t>EHBO-ruimte</t>
  </si>
  <si>
    <t>0.21</t>
  </si>
  <si>
    <t>Sportzaal</t>
  </si>
  <si>
    <t>hout</t>
  </si>
  <si>
    <t>0.22</t>
  </si>
  <si>
    <t>Toestelberging</t>
  </si>
  <si>
    <t>0.23</t>
  </si>
  <si>
    <t>Opbouw tribune</t>
  </si>
  <si>
    <t>Totaal werkdag</t>
  </si>
  <si>
    <t>0002 - Sporthal Juliana van Stolberg, Graaf Hendriklaan 166, Amersfoort</t>
  </si>
  <si>
    <t>0002</t>
  </si>
  <si>
    <t>descol</t>
  </si>
  <si>
    <t>Berging (sportzaal)</t>
  </si>
  <si>
    <t>marmoleum</t>
  </si>
  <si>
    <t>steen</t>
  </si>
  <si>
    <t>Toilet incl wasbak</t>
  </si>
  <si>
    <t>Toiletten</t>
  </si>
  <si>
    <t>Wasuimte</t>
  </si>
  <si>
    <t>0.17</t>
  </si>
  <si>
    <t>Kleedruimte</t>
  </si>
  <si>
    <t>0.24</t>
  </si>
  <si>
    <t>0.25</t>
  </si>
  <si>
    <t>0.26</t>
  </si>
  <si>
    <t>0.27</t>
  </si>
  <si>
    <t>Lerarenk. incl toilet</t>
  </si>
  <si>
    <t>0.28</t>
  </si>
  <si>
    <t>0.29</t>
  </si>
  <si>
    <t>Tribune</t>
  </si>
  <si>
    <t>beton</t>
  </si>
  <si>
    <t>0.30</t>
  </si>
  <si>
    <t>0.31</t>
  </si>
  <si>
    <t>Gang</t>
  </si>
  <si>
    <t>0.32</t>
  </si>
  <si>
    <t>0.33</t>
  </si>
  <si>
    <t>0.34</t>
  </si>
  <si>
    <t>EHBO</t>
  </si>
  <si>
    <t>0.35</t>
  </si>
  <si>
    <t>Hal</t>
  </si>
  <si>
    <t>0.36</t>
  </si>
  <si>
    <t>Magazijn</t>
  </si>
  <si>
    <t>0.37</t>
  </si>
  <si>
    <t>Kantoren</t>
  </si>
  <si>
    <t>0003 - Gymzaal Reinaartpad, Reinaartpad 25, Amersfoort</t>
  </si>
  <si>
    <t>0003</t>
  </si>
  <si>
    <t>tarkett</t>
  </si>
  <si>
    <t>Lerarenkamer</t>
  </si>
  <si>
    <t>0.12a</t>
  </si>
  <si>
    <t>0.12b</t>
  </si>
  <si>
    <t>inloopmat</t>
  </si>
  <si>
    <t>0004 - Gymzaal Twentseweg, Twentseweg 5, Amersfoort</t>
  </si>
  <si>
    <t>0004</t>
  </si>
  <si>
    <t>0005 - Gymzaal Ariaweg, Ariaweg 111, Amersfoort</t>
  </si>
  <si>
    <t>0005</t>
  </si>
  <si>
    <t>Douches</t>
  </si>
  <si>
    <t>Wasruimte docent 1 douche, 1 toilet</t>
  </si>
  <si>
    <t>0006 - Gymzaal Bisschopsweg, Bisschopsweg 179, Amersfoort</t>
  </si>
  <si>
    <t>0006</t>
  </si>
  <si>
    <t>0007 - Sporthal Rustenburg, Fuglerplein 3, Amersfoort</t>
  </si>
  <si>
    <t>0007</t>
  </si>
  <si>
    <t>0.01a</t>
  </si>
  <si>
    <t>0.01b</t>
  </si>
  <si>
    <t>Gang/hal entrée</t>
  </si>
  <si>
    <t>Toilet dames (entrée)</t>
  </si>
  <si>
    <t>Voorruimte toilet dames (entrée)</t>
  </si>
  <si>
    <t>Scheidsrechterkamer</t>
  </si>
  <si>
    <t>Voorruimte toilet heren (entrée)</t>
  </si>
  <si>
    <t>Invalidetoilet (in heren kleedk.)</t>
  </si>
  <si>
    <t>Beheerdersruimte</t>
  </si>
  <si>
    <t>tapijt</t>
  </si>
  <si>
    <t>Kleedkamer heren 4</t>
  </si>
  <si>
    <t>Kleedkamer dames 3</t>
  </si>
  <si>
    <t>Invalidetoilet (in dames kleedk.)</t>
  </si>
  <si>
    <t>Vergaderzaal</t>
  </si>
  <si>
    <t>0008 - Sporthal Midland, Zangvogelweg 138, Amersfoort</t>
  </si>
  <si>
    <t>0008</t>
  </si>
  <si>
    <t>0.19A</t>
  </si>
  <si>
    <t>Lerarenk. incl toilet en douche</t>
  </si>
  <si>
    <t>0.19B</t>
  </si>
  <si>
    <t>0.20A</t>
  </si>
  <si>
    <t>0.20B</t>
  </si>
  <si>
    <t>Invalidetoilet</t>
  </si>
  <si>
    <t>0009 - Gymzaal Marnixlaan, Van Marnixlaan 47, Amersfoort</t>
  </si>
  <si>
    <t>0009</t>
  </si>
  <si>
    <t>0010 - Sporthal Bieshaar, Breelandhof 8, Amersfoort</t>
  </si>
  <si>
    <t>0010</t>
  </si>
  <si>
    <t>Kleedkamer heren</t>
  </si>
  <si>
    <t>Kleedkamer dames</t>
  </si>
  <si>
    <t>Scheidsrechterkleedkamer 1</t>
  </si>
  <si>
    <t>Scheidsrechterkleedkamer 2</t>
  </si>
  <si>
    <t>kunststof</t>
  </si>
  <si>
    <t>Trappenhuis</t>
  </si>
  <si>
    <t>Noodtrappenhuis</t>
  </si>
  <si>
    <t>0011 - Gymzaal Raadhoven, Raadhoven 1, Amersfoort</t>
  </si>
  <si>
    <t>0011</t>
  </si>
  <si>
    <t>Kleedruimte jongens</t>
  </si>
  <si>
    <t>Kleedruimte meisjes</t>
  </si>
  <si>
    <t>Wasr. docent douche + toilet</t>
  </si>
  <si>
    <t>Entree</t>
  </si>
  <si>
    <t>0012 - Veencampus school, Laakboulevard 400, Amersfoort</t>
  </si>
  <si>
    <t>0012</t>
  </si>
  <si>
    <t>0.00</t>
  </si>
  <si>
    <t>Lokaal</t>
  </si>
  <si>
    <t>Lift</t>
  </si>
  <si>
    <t>Trap</t>
  </si>
  <si>
    <t>Kantoor</t>
  </si>
  <si>
    <t>Kantine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</si>
  <si>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</si>
  <si>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</si>
  <si>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</si>
  <si>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</si>
  <si>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</si>
  <si>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</si>
  <si>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</si>
  <si>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</si>
  <si>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</si>
  <si>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</si>
  <si>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Pantry</t>
  </si>
  <si>
    <t>0.60</t>
  </si>
  <si>
    <t>0.61</t>
  </si>
  <si>
    <t>0.62</t>
  </si>
  <si>
    <t>0.63</t>
  </si>
  <si>
    <t>0.64</t>
  </si>
  <si>
    <t>0.65</t>
  </si>
  <si>
    <t>0.66</t>
  </si>
  <si>
    <t>0.67</t>
  </si>
  <si>
    <t>0.68</t>
  </si>
  <si>
    <t>0.69</t>
  </si>
  <si>
    <t>0.70</t>
  </si>
  <si>
    <t>0.71</t>
  </si>
  <si>
    <t>0.72</t>
  </si>
  <si>
    <t>01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</si>
  <si>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</si>
  <si>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</si>
  <si>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</si>
  <si>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</si>
  <si>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</si>
  <si>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</si>
  <si>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</si>
  <si>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</si>
  <si>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</si>
  <si>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</si>
  <si>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</si>
  <si>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</si>
  <si>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</si>
  <si>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</si>
  <si>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Toiilet</t>
  </si>
  <si>
    <t>1.15</t>
  </si>
  <si>
    <t>1.16</t>
  </si>
  <si>
    <t>1.17</t>
  </si>
  <si>
    <t>1.18</t>
  </si>
  <si>
    <t>1.19</t>
  </si>
  <si>
    <t>1.24</t>
  </si>
  <si>
    <t>1.25</t>
  </si>
  <si>
    <t>1.26</t>
  </si>
  <si>
    <t>1.50</t>
  </si>
  <si>
    <t>1.51</t>
  </si>
  <si>
    <t>1.52</t>
  </si>
  <si>
    <t>1.53</t>
  </si>
  <si>
    <t>1.55</t>
  </si>
  <si>
    <t>1.56</t>
  </si>
  <si>
    <t>02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</si>
  <si>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</si>
  <si>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</si>
  <si>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</si>
  <si>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</si>
  <si>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</si>
  <si>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</si>
  <si>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</si>
  <si>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</si>
  <si>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</si>
  <si>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</si>
  <si>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</si>
  <si>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</si>
  <si>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</si>
  <si>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</si>
  <si>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</si>
  <si>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</si>
  <si>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</si>
  <si>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</si>
  <si>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</si>
  <si>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</si>
  <si>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Kopieerruimte</t>
  </si>
  <si>
    <t>2.21</t>
  </si>
  <si>
    <t>2.22</t>
  </si>
  <si>
    <t>2.23</t>
  </si>
  <si>
    <t>2.24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</si>
  <si>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</si>
  <si>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</si>
  <si>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</si>
  <si>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</si>
  <si>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</si>
  <si>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</si>
  <si>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</si>
  <si>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</si>
  <si>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</si>
  <si>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</si>
  <si>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2.50</t>
  </si>
  <si>
    <t>2.51</t>
  </si>
  <si>
    <t>2.52</t>
  </si>
  <si>
    <t>2.53</t>
  </si>
  <si>
    <t>2.54</t>
  </si>
  <si>
    <t>2.55</t>
  </si>
  <si>
    <t>2.56</t>
  </si>
  <si>
    <t>2.57</t>
  </si>
  <si>
    <t>2.58</t>
  </si>
  <si>
    <t>2.59</t>
  </si>
  <si>
    <t>03</t>
  </si>
  <si>
    <t>3.01</t>
  </si>
  <si>
    <t>3.02</t>
  </si>
  <si>
    <t>trappenhuis</t>
  </si>
  <si>
    <t>3.05</t>
  </si>
  <si>
    <t>Leslokaal</t>
  </si>
  <si>
    <t>0013 - Hoofdkantoor SRO, Soesterweg 556, Amersfoort</t>
  </si>
  <si>
    <t>0013</t>
  </si>
  <si>
    <t>0.02a</t>
  </si>
  <si>
    <t>entree</t>
  </si>
  <si>
    <t>0.02b</t>
  </si>
  <si>
    <t>entree 2</t>
  </si>
  <si>
    <t>frontoffice</t>
  </si>
  <si>
    <t>receptie</t>
  </si>
  <si>
    <t>lunchruimte</t>
  </si>
  <si>
    <t>keuken</t>
  </si>
  <si>
    <t>gang</t>
  </si>
  <si>
    <t>0.14/0.18</t>
  </si>
  <si>
    <t>treinstellen</t>
  </si>
  <si>
    <t>Copie/printr.</t>
  </si>
  <si>
    <t>kantoorkamer</t>
  </si>
  <si>
    <t>vergaderkamer</t>
  </si>
  <si>
    <t>0.46</t>
  </si>
  <si>
    <t>0.49</t>
  </si>
  <si>
    <t>0.50a</t>
  </si>
  <si>
    <t>0.50b</t>
  </si>
  <si>
    <t>Heren toilet</t>
  </si>
  <si>
    <t>Dames toilet</t>
  </si>
  <si>
    <t>TD</t>
  </si>
  <si>
    <t>TD 0.06</t>
  </si>
  <si>
    <t>TD 0.07</t>
  </si>
  <si>
    <t>TD 0.08</t>
  </si>
  <si>
    <t>Toilet 2x, urinoir met douche</t>
  </si>
  <si>
    <t>TD 0.10</t>
  </si>
  <si>
    <t>rookruimte</t>
  </si>
  <si>
    <t>TD 0.11</t>
  </si>
  <si>
    <t>TD 0.12</t>
  </si>
  <si>
    <t>archief</t>
  </si>
  <si>
    <t>TD 0.13</t>
  </si>
  <si>
    <t>TD 0.14</t>
  </si>
  <si>
    <t>TD 0.18</t>
  </si>
  <si>
    <t>TD 0.22</t>
  </si>
  <si>
    <t>TD WP</t>
  </si>
  <si>
    <t>toilet</t>
  </si>
  <si>
    <t>1.20</t>
  </si>
  <si>
    <t>1.22</t>
  </si>
  <si>
    <t>1.28</t>
  </si>
  <si>
    <t>Vergaderruimte</t>
  </si>
  <si>
    <t>1.30</t>
  </si>
  <si>
    <t>1.40a</t>
  </si>
  <si>
    <t>trapruimte</t>
  </si>
  <si>
    <t>1.40b</t>
  </si>
  <si>
    <t>1.42</t>
  </si>
  <si>
    <t>1.44</t>
  </si>
  <si>
    <t>1.46</t>
  </si>
  <si>
    <t>1.48</t>
  </si>
  <si>
    <t>1.54</t>
  </si>
  <si>
    <t>printerruimte</t>
  </si>
  <si>
    <t>2.26</t>
  </si>
  <si>
    <t>2.38</t>
  </si>
  <si>
    <t>2.46a</t>
  </si>
  <si>
    <t>Trappenh. bordes</t>
  </si>
  <si>
    <t>2.46b</t>
  </si>
  <si>
    <t>EXT</t>
  </si>
  <si>
    <t>Extra werkzaamheden</t>
  </si>
  <si>
    <t>0014 - Zwembad Octopus, Bavoortseweg 9, Leusden</t>
  </si>
  <si>
    <t>0014</t>
  </si>
  <si>
    <t>wedstrijdbad</t>
  </si>
  <si>
    <t>recreatiebad</t>
  </si>
  <si>
    <t>trap</t>
  </si>
  <si>
    <t>metaal</t>
  </si>
  <si>
    <t>nat terras</t>
  </si>
  <si>
    <t>trappenhuis glijbaan</t>
  </si>
  <si>
    <t>EHBO ruimte</t>
  </si>
  <si>
    <t>Douches en toiletten</t>
  </si>
  <si>
    <t>Aankomstgang kleedruimten</t>
  </si>
  <si>
    <t>Kleedcabines met gangen</t>
  </si>
  <si>
    <t>Gang achter en babyroom</t>
  </si>
  <si>
    <t>Toiletten doelgroepenbad</t>
  </si>
  <si>
    <t>Balkon</t>
  </si>
  <si>
    <t>Overloop</t>
  </si>
  <si>
    <t>Zwemzaal</t>
  </si>
  <si>
    <t>M.V. Kleedruimte</t>
  </si>
  <si>
    <t>M.V. Toiletruimte</t>
  </si>
  <si>
    <t>Doucheruimte</t>
  </si>
  <si>
    <t>Kleedruimte dames doelgroepenbad</t>
  </si>
  <si>
    <t>Kleedruimte heren doelgroepenbad</t>
  </si>
  <si>
    <t>Inloop, vuile voeten doelgroepenbad</t>
  </si>
  <si>
    <t>Kleedcabines doelgroepenbad</t>
  </si>
  <si>
    <t>Uitloop schone voeten doelgroepenbad</t>
  </si>
  <si>
    <t>Aankomsthal</t>
  </si>
  <si>
    <t>Trap naar Balkon</t>
  </si>
  <si>
    <t>staal</t>
  </si>
  <si>
    <t>Balie/kassa</t>
  </si>
  <si>
    <t>Toiletten dames</t>
  </si>
  <si>
    <t>Toiletten heren</t>
  </si>
  <si>
    <t>Toilet MV</t>
  </si>
  <si>
    <t>0.38a</t>
  </si>
  <si>
    <t>Restorette</t>
  </si>
  <si>
    <t>0.38b</t>
  </si>
  <si>
    <t>grindvloer</t>
  </si>
  <si>
    <t>0.41</t>
  </si>
  <si>
    <t>0.43</t>
  </si>
  <si>
    <t>Personeelskantine</t>
  </si>
  <si>
    <t>0.44</t>
  </si>
  <si>
    <t>Was- en kleedruimte personeel</t>
  </si>
  <si>
    <t>Perron peuterbad</t>
  </si>
  <si>
    <t>0015 - Natuurboerderij De Brinkhorst, Wageningseberg 43, Amersfoort</t>
  </si>
  <si>
    <t>0015</t>
  </si>
  <si>
    <t>kantine</t>
  </si>
  <si>
    <t>kleedruimten</t>
  </si>
  <si>
    <t>entrée</t>
  </si>
  <si>
    <t>douche</t>
  </si>
  <si>
    <t>wasruimte</t>
  </si>
  <si>
    <t>entresol</t>
  </si>
  <si>
    <t>lokaal</t>
  </si>
  <si>
    <t>berging</t>
  </si>
  <si>
    <t>winkel</t>
  </si>
  <si>
    <t>kantoor</t>
  </si>
  <si>
    <t>0.24a</t>
  </si>
  <si>
    <t>0.24b</t>
  </si>
  <si>
    <t>verkeersruimte</t>
  </si>
  <si>
    <t>0016 - VVE de Brink, Wezeperberg 6, Amersfoort</t>
  </si>
  <si>
    <t>0016</t>
  </si>
  <si>
    <t>2.0.09</t>
  </si>
  <si>
    <t>Restaurant</t>
  </si>
  <si>
    <t>2.0.10</t>
  </si>
  <si>
    <t>Bar</t>
  </si>
  <si>
    <t>2.0.11</t>
  </si>
  <si>
    <t>Keuken</t>
  </si>
  <si>
    <t>tegels</t>
  </si>
  <si>
    <t>2.0.14</t>
  </si>
  <si>
    <t>2.0.18</t>
  </si>
  <si>
    <t>2.0.19</t>
  </si>
  <si>
    <t>2.0.20</t>
  </si>
  <si>
    <t>2.0.21</t>
  </si>
  <si>
    <t>2.0.22</t>
  </si>
  <si>
    <t>2.0.23</t>
  </si>
  <si>
    <t>2.0.24</t>
  </si>
  <si>
    <t>Gymzaal</t>
  </si>
  <si>
    <t>2.0.25</t>
  </si>
  <si>
    <t>2.0.26</t>
  </si>
  <si>
    <t>2.0.27</t>
  </si>
  <si>
    <t>2.0.28</t>
  </si>
  <si>
    <t>2.0.29</t>
  </si>
  <si>
    <t>Peuterspeelzaal</t>
  </si>
  <si>
    <t>2.0.30</t>
  </si>
  <si>
    <t>2.0.32</t>
  </si>
  <si>
    <t>2.0.34</t>
  </si>
  <si>
    <t>Miva toilet</t>
  </si>
  <si>
    <t>2.0.36</t>
  </si>
  <si>
    <t>2.0.37</t>
  </si>
  <si>
    <t>2.0.38</t>
  </si>
  <si>
    <t>2.0.39</t>
  </si>
  <si>
    <t>2.0.40</t>
  </si>
  <si>
    <t>Beheerruimte</t>
  </si>
  <si>
    <t>2.0.41</t>
  </si>
  <si>
    <t>2.1.05</t>
  </si>
  <si>
    <t>Loopbrug</t>
  </si>
  <si>
    <t>2.1.06</t>
  </si>
  <si>
    <t>2.1.08</t>
  </si>
  <si>
    <t>2.1.15</t>
  </si>
  <si>
    <t>Hobbyruimte</t>
  </si>
  <si>
    <t>2.1.23</t>
  </si>
  <si>
    <t>2.1.25</t>
  </si>
  <si>
    <t>2.1.26</t>
  </si>
  <si>
    <t>2.1.27</t>
  </si>
  <si>
    <t>2.2.02</t>
  </si>
  <si>
    <t>2.2.04</t>
  </si>
  <si>
    <t>2.2.05</t>
  </si>
  <si>
    <t>2.2.06</t>
  </si>
  <si>
    <t>2.2.07</t>
  </si>
  <si>
    <t>2.2.08</t>
  </si>
  <si>
    <t>Berging</t>
  </si>
  <si>
    <t>linoleum</t>
  </si>
  <si>
    <t>2.2.09</t>
  </si>
  <si>
    <t>Miva</t>
  </si>
  <si>
    <t>2.2.10</t>
  </si>
  <si>
    <t>2.2.11</t>
  </si>
  <si>
    <t>2.2.12</t>
  </si>
  <si>
    <t>Docentenkleedkamer</t>
  </si>
  <si>
    <t>2.2.12a</t>
  </si>
  <si>
    <t>2.2.13</t>
  </si>
  <si>
    <t>2.2.14</t>
  </si>
  <si>
    <t>2.2.15</t>
  </si>
  <si>
    <t>2.2.16</t>
  </si>
  <si>
    <t>2.2.17</t>
  </si>
  <si>
    <t>2.2.19</t>
  </si>
  <si>
    <t>2.2.23</t>
  </si>
  <si>
    <t>2.2.24</t>
  </si>
  <si>
    <t>Kantoor beheerder</t>
  </si>
  <si>
    <t>2.2.28</t>
  </si>
  <si>
    <t>2.2.30a</t>
  </si>
  <si>
    <t>2.2.30b</t>
  </si>
  <si>
    <t>0018 - Gymzaal Dollardstraat, Dollardstraat 121, Amersfoort</t>
  </si>
  <si>
    <t>0018</t>
  </si>
  <si>
    <t>kleedkamer</t>
  </si>
  <si>
    <t>docent</t>
  </si>
  <si>
    <t>sportzaal</t>
  </si>
  <si>
    <t>toestelberging</t>
  </si>
  <si>
    <t>0019 - Gymzaal Spinetpad, Spinetpad 10, Amersfoort</t>
  </si>
  <si>
    <t>0019</t>
  </si>
  <si>
    <t>Kleedkamer docent</t>
  </si>
  <si>
    <t>Douche kleedkamer docent</t>
  </si>
  <si>
    <t>Toilet kleedkamer docent</t>
  </si>
  <si>
    <t>Toilet kleedkamer heren</t>
  </si>
  <si>
    <t>Toilet kleedkamer dames</t>
  </si>
  <si>
    <t>Douche kleedkamer dames</t>
  </si>
  <si>
    <t>Toilet miva</t>
  </si>
  <si>
    <t>Douche (enkel) kleedkamer dames</t>
  </si>
  <si>
    <t>0020 - Gymzaal Dopheide, Dopheide 1/De Panne, Amersfoort</t>
  </si>
  <si>
    <t>0020</t>
  </si>
  <si>
    <t>0021 - Gymzaal Koning Arthurpad, Koning Arthurpad 25, Amersfoort</t>
  </si>
  <si>
    <t>0021</t>
  </si>
  <si>
    <t>Scheidsrechter- en docentenkamer</t>
  </si>
  <si>
    <t>0.16a</t>
  </si>
  <si>
    <t>Toliet</t>
  </si>
  <si>
    <t>0.19a</t>
  </si>
  <si>
    <t>Toeslelberging</t>
  </si>
  <si>
    <t>0022 - Gymzaal Zevenhuizerstraat, Zevenhuizerstraat 46, Hoogland</t>
  </si>
  <si>
    <t>0022</t>
  </si>
  <si>
    <t>0023 - Sporthal Nieuwland, Zeldertsedreef 3, Amersfoort</t>
  </si>
  <si>
    <t>0023</t>
  </si>
  <si>
    <t>pulastic</t>
  </si>
  <si>
    <t>Kleedruimte Heren 1</t>
  </si>
  <si>
    <t>dhgt</t>
  </si>
  <si>
    <t>Douche Heren 1</t>
  </si>
  <si>
    <t>Kleedruimte Dames 1</t>
  </si>
  <si>
    <t>Toilet Dames</t>
  </si>
  <si>
    <t>Kleedruimte Heren 2</t>
  </si>
  <si>
    <t>Toilet Heren</t>
  </si>
  <si>
    <t>Kleedruimte Dames 2</t>
  </si>
  <si>
    <t>0025 - Sporthal Zielhorst, Trompetstraat 3, Amersfoort</t>
  </si>
  <si>
    <t>0025</t>
  </si>
  <si>
    <t>schoonloopmat</t>
  </si>
  <si>
    <t>Douche kleedkamer dames 1</t>
  </si>
  <si>
    <t>Toilet kleedkamer dames 1</t>
  </si>
  <si>
    <t>Ruimte sportdocent</t>
  </si>
  <si>
    <t>Kleedkamer dames 3 achter</t>
  </si>
  <si>
    <t>Douche kleedkamer dames 3 achter</t>
  </si>
  <si>
    <t>Toilet miva kleedkamer dames 3 achter</t>
  </si>
  <si>
    <t>Kleedkamer heren 3 achter</t>
  </si>
  <si>
    <t>Toilet kleedkamer heren 3 achter</t>
  </si>
  <si>
    <t>Douche kleedkamer heren 3 achter</t>
  </si>
  <si>
    <t>Gang scheidsrechter</t>
  </si>
  <si>
    <t>Scheidsrechter 1</t>
  </si>
  <si>
    <t>Scheidsrechter 2</t>
  </si>
  <si>
    <t>Toilet scheidsrechter 1</t>
  </si>
  <si>
    <t>Toilet scheidsrechter 2</t>
  </si>
  <si>
    <t>Douche scheidsrechter 2</t>
  </si>
  <si>
    <t>Toilet kleedkamer heren 2</t>
  </si>
  <si>
    <t>Douche kleedkamer heren 2</t>
  </si>
  <si>
    <t>Toilet kleedkamer dames 2</t>
  </si>
  <si>
    <t>Douche kleedkamer dames 2</t>
  </si>
  <si>
    <t>Toilet kleedkamer heren 1</t>
  </si>
  <si>
    <t>Douche kleedkamer heren 1</t>
  </si>
  <si>
    <t>0027 - Sporthal Icoon, Leeghwater 1-3, Amersfoort</t>
  </si>
  <si>
    <t>0027</t>
  </si>
  <si>
    <t>pvc</t>
  </si>
  <si>
    <t>Scheidsrechter 3</t>
  </si>
  <si>
    <t>Toilet/douche scheidsrechter 1</t>
  </si>
  <si>
    <t>Douche scheidsrechter 3</t>
  </si>
  <si>
    <t>Toilet/douche scheidsrechter 2</t>
  </si>
  <si>
    <t>Sportzaal 1 en 2</t>
  </si>
  <si>
    <t>Toilet kleedkamer dames 3</t>
  </si>
  <si>
    <t>Douche kleedkamer dames 3</t>
  </si>
  <si>
    <t>Toilet kleedkamer heren 4</t>
  </si>
  <si>
    <t>Douche kleedkamer heren 4</t>
  </si>
  <si>
    <t>Kleedkamer dames 5</t>
  </si>
  <si>
    <t>Toilet kleedkamer dames 5</t>
  </si>
  <si>
    <t>Douche kleedkamer dames 5</t>
  </si>
  <si>
    <t>Sportzaal 3</t>
  </si>
  <si>
    <t>Kleedkamer heren 6</t>
  </si>
  <si>
    <t>Toilet kleedkamer heren 6</t>
  </si>
  <si>
    <t>Douche kleedkamer heren 6</t>
  </si>
  <si>
    <t>Gang sportzaal 3</t>
  </si>
  <si>
    <t>Hal voor</t>
  </si>
  <si>
    <t>0028 - Wijkcentrum De Groene Stee, Wiekslag 92_x000D_
, Amersfoort</t>
  </si>
  <si>
    <t>0028</t>
  </si>
  <si>
    <t>Portaal Toilet</t>
  </si>
  <si>
    <t>Kantoor wijkagent</t>
  </si>
  <si>
    <t>Ontmoetingsruimte</t>
  </si>
  <si>
    <t>Ontmoetingsruimte/Vergaderruimte</t>
  </si>
  <si>
    <t>Expositieruimte</t>
  </si>
  <si>
    <t>Verkeersruimte</t>
  </si>
  <si>
    <t>0.21a</t>
  </si>
  <si>
    <t>MIVA Toilet</t>
  </si>
  <si>
    <t>Toiletruimte</t>
  </si>
  <si>
    <t>Spreekkamer</t>
  </si>
  <si>
    <t>1.23</t>
  </si>
  <si>
    <t>0029 - Atletiekaccommodatie, Schothorsterlaan 78, Amersfoort</t>
  </si>
  <si>
    <t>0029</t>
  </si>
  <si>
    <t>kleedruimte</t>
  </si>
  <si>
    <t>toilet dames</t>
  </si>
  <si>
    <t>toilet heren</t>
  </si>
  <si>
    <t>toilet miva</t>
  </si>
  <si>
    <t>0031 - Wijkcentrum Schothorst Zielhorst, Stradivariusstraat 10, Amersfoort</t>
  </si>
  <si>
    <t>0031</t>
  </si>
  <si>
    <t>0</t>
  </si>
  <si>
    <t>Entree kantoor</t>
  </si>
  <si>
    <t>Opslag</t>
  </si>
  <si>
    <t>0032 - Wijkcentrum Randenbroek Schuilenburg, Ariaweg 131a, Amersfoort</t>
  </si>
  <si>
    <t>0032</t>
  </si>
  <si>
    <t>1,01</t>
  </si>
  <si>
    <t>Toiletgroep</t>
  </si>
  <si>
    <t>0033 - Wijkcentrum Hoogland Kattenbroek, Hof der Gedachten 20-3, Amersfoort</t>
  </si>
  <si>
    <t>0033</t>
  </si>
  <si>
    <t>Toiletgroep Dames</t>
  </si>
  <si>
    <t>Toiletgroep Heren</t>
  </si>
  <si>
    <t>Kantoor/overlegruimte</t>
  </si>
  <si>
    <t>0.10a</t>
  </si>
  <si>
    <t>0035 - Sportcomplex Amerena, De Velduil 2, Amersfoort</t>
  </si>
  <si>
    <t>0035</t>
  </si>
  <si>
    <t>0.101</t>
  </si>
  <si>
    <t>tochtsluis</t>
  </si>
  <si>
    <t>0.102</t>
  </si>
  <si>
    <t>entreehal</t>
  </si>
  <si>
    <t>0.104</t>
  </si>
  <si>
    <t>backoffice</t>
  </si>
  <si>
    <t>0.105</t>
  </si>
  <si>
    <t>toiletten heren</t>
  </si>
  <si>
    <t>0.106</t>
  </si>
  <si>
    <t>toiletten dames</t>
  </si>
  <si>
    <t>0.107</t>
  </si>
  <si>
    <t>miva</t>
  </si>
  <si>
    <t>0.110</t>
  </si>
  <si>
    <t>0.201</t>
  </si>
  <si>
    <t>kantoor bedrijfsleider</t>
  </si>
  <si>
    <t>0.202</t>
  </si>
  <si>
    <t>kantoor teamleiders</t>
  </si>
  <si>
    <t>0.206a</t>
  </si>
  <si>
    <t>kleedkamer personeel dames</t>
  </si>
  <si>
    <t>0.206c</t>
  </si>
  <si>
    <t>0.207a</t>
  </si>
  <si>
    <t>kleedkamer personeel heren</t>
  </si>
  <si>
    <t>0.207b</t>
  </si>
  <si>
    <t>0.211</t>
  </si>
  <si>
    <t>0.212</t>
  </si>
  <si>
    <t>0.214</t>
  </si>
  <si>
    <t>0.402</t>
  </si>
  <si>
    <t>perron westrijdbad</t>
  </si>
  <si>
    <t>0.403</t>
  </si>
  <si>
    <t>badmeesterspost 2</t>
  </si>
  <si>
    <t>0.408</t>
  </si>
  <si>
    <t>juryruimte wedstrijdbad</t>
  </si>
  <si>
    <t>0.410</t>
  </si>
  <si>
    <t>perron wedstrijdbad</t>
  </si>
  <si>
    <t>0.412</t>
  </si>
  <si>
    <t>juryruimte</t>
  </si>
  <si>
    <t>0.413</t>
  </si>
  <si>
    <t>toiletten jury</t>
  </si>
  <si>
    <t>0.414</t>
  </si>
  <si>
    <t>toiletten + kindverzorging</t>
  </si>
  <si>
    <t>0.415</t>
  </si>
  <si>
    <t>toiletten</t>
  </si>
  <si>
    <t>0.416</t>
  </si>
  <si>
    <t>0.418</t>
  </si>
  <si>
    <t>perron doelgroepenbad</t>
  </si>
  <si>
    <t>0.420</t>
  </si>
  <si>
    <t>badmeester</t>
  </si>
  <si>
    <t>0.421</t>
  </si>
  <si>
    <t>sauna</t>
  </si>
  <si>
    <t>0.424</t>
  </si>
  <si>
    <t>0.425</t>
  </si>
  <si>
    <t>0.426</t>
  </si>
  <si>
    <t>0.427</t>
  </si>
  <si>
    <t>0.428</t>
  </si>
  <si>
    <t>0.429</t>
  </si>
  <si>
    <t>0.430</t>
  </si>
  <si>
    <t>doucheruimte</t>
  </si>
  <si>
    <t>0.431</t>
  </si>
  <si>
    <t>0.433</t>
  </si>
  <si>
    <t>Massage-EHBO</t>
  </si>
  <si>
    <t>0.434</t>
  </si>
  <si>
    <t>entreezone kleedruimte</t>
  </si>
  <si>
    <t>0.435</t>
  </si>
  <si>
    <t>0.436</t>
  </si>
  <si>
    <t>make-up ruimte</t>
  </si>
  <si>
    <t>0.437</t>
  </si>
  <si>
    <t>vuile voetengang 1</t>
  </si>
  <si>
    <t>0.438</t>
  </si>
  <si>
    <t>vuile voetengang 2</t>
  </si>
  <si>
    <t>0.439</t>
  </si>
  <si>
    <t>0.440</t>
  </si>
  <si>
    <t>0.441</t>
  </si>
  <si>
    <t>ruimte wisselcabines 1</t>
  </si>
  <si>
    <t>0.442</t>
  </si>
  <si>
    <t>groepskleedkamer 1</t>
  </si>
  <si>
    <t>0.443</t>
  </si>
  <si>
    <t>groepskleedkamer 2</t>
  </si>
  <si>
    <t>0.444</t>
  </si>
  <si>
    <t>groepskleedkamer 3</t>
  </si>
  <si>
    <t>0.445</t>
  </si>
  <si>
    <t>groepskleedkamer 4</t>
  </si>
  <si>
    <t>0.446</t>
  </si>
  <si>
    <t>ruimte wisselcabines 2</t>
  </si>
  <si>
    <t>0.447</t>
  </si>
  <si>
    <t>groepskleedruimte 5</t>
  </si>
  <si>
    <t>0.448</t>
  </si>
  <si>
    <t>groepskleedruimte 6</t>
  </si>
  <si>
    <t>0.449</t>
  </si>
  <si>
    <t>groepskleedruimte 7</t>
  </si>
  <si>
    <t>0.450</t>
  </si>
  <si>
    <t>groepskleedruimte 8</t>
  </si>
  <si>
    <t>0.451</t>
  </si>
  <si>
    <t>schone voetengang</t>
  </si>
  <si>
    <t>0.454</t>
  </si>
  <si>
    <t>0.455</t>
  </si>
  <si>
    <t>sluis</t>
  </si>
  <si>
    <t>0.512</t>
  </si>
  <si>
    <t>entreezone sporthal</t>
  </si>
  <si>
    <t>0.802</t>
  </si>
  <si>
    <t>0.807</t>
  </si>
  <si>
    <t>0.811</t>
  </si>
  <si>
    <t>trappenhuis parkeergarage</t>
  </si>
  <si>
    <t>0.812</t>
  </si>
  <si>
    <t>0.814</t>
  </si>
  <si>
    <t>vluchttrap</t>
  </si>
  <si>
    <t>0.818</t>
  </si>
  <si>
    <t>lift</t>
  </si>
  <si>
    <t>0.819</t>
  </si>
  <si>
    <t>1.111</t>
  </si>
  <si>
    <t>entreetrap verdieping</t>
  </si>
  <si>
    <t>1.316</t>
  </si>
  <si>
    <t>1.317</t>
  </si>
  <si>
    <t>1.318</t>
  </si>
  <si>
    <t>ruimte aanschouwen sport</t>
  </si>
  <si>
    <t>1.501</t>
  </si>
  <si>
    <t>sporthal</t>
  </si>
  <si>
    <t>sportvloer</t>
  </si>
  <si>
    <t>1.502</t>
  </si>
  <si>
    <t>toestelberging 1</t>
  </si>
  <si>
    <t>1.503</t>
  </si>
  <si>
    <t>toestelberging 2</t>
  </si>
  <si>
    <t>1.504</t>
  </si>
  <si>
    <t>toestelberging 4</t>
  </si>
  <si>
    <t>1.505</t>
  </si>
  <si>
    <t>toestelberging 3</t>
  </si>
  <si>
    <t>1.507</t>
  </si>
  <si>
    <t>kleedruimte docent/scheidsrechter</t>
  </si>
  <si>
    <t>1.507a</t>
  </si>
  <si>
    <t>1.508</t>
  </si>
  <si>
    <t>1.508A</t>
  </si>
  <si>
    <t>1.513</t>
  </si>
  <si>
    <t>1.514</t>
  </si>
  <si>
    <t>vuile voetengang sporthal</t>
  </si>
  <si>
    <t>1.515</t>
  </si>
  <si>
    <t>kleedkamer 1</t>
  </si>
  <si>
    <t>1.516</t>
  </si>
  <si>
    <t>1.517</t>
  </si>
  <si>
    <t>1.518</t>
  </si>
  <si>
    <t>kleedkamer 2</t>
  </si>
  <si>
    <t>1.519</t>
  </si>
  <si>
    <t>1.520</t>
  </si>
  <si>
    <t>1.521</t>
  </si>
  <si>
    <t>kleedkamer 3</t>
  </si>
  <si>
    <t>1.522</t>
  </si>
  <si>
    <t>1.523</t>
  </si>
  <si>
    <t>1.524</t>
  </si>
  <si>
    <t>kleedkamer 4</t>
  </si>
  <si>
    <t>1.525</t>
  </si>
  <si>
    <t>1.526</t>
  </si>
  <si>
    <t>1.527</t>
  </si>
  <si>
    <t>kleedkamer 5</t>
  </si>
  <si>
    <t>1.528</t>
  </si>
  <si>
    <t>1.529</t>
  </si>
  <si>
    <t>1.530</t>
  </si>
  <si>
    <t>kleedkamer 6</t>
  </si>
  <si>
    <t>1.531</t>
  </si>
  <si>
    <t>1.532</t>
  </si>
  <si>
    <t>1.533</t>
  </si>
  <si>
    <t>1.534</t>
  </si>
  <si>
    <t>voorruimte lift</t>
  </si>
  <si>
    <t>1.535</t>
  </si>
  <si>
    <t>verbindingsgang</t>
  </si>
  <si>
    <t>1.540</t>
  </si>
  <si>
    <t>inschuifbare tribune</t>
  </si>
  <si>
    <t>1.542</t>
  </si>
  <si>
    <t>vluchtweg sporthal</t>
  </si>
  <si>
    <t>1.602</t>
  </si>
  <si>
    <t>tribune sportbad</t>
  </si>
  <si>
    <t>1.603</t>
  </si>
  <si>
    <t>tribune</t>
  </si>
  <si>
    <t>1.604</t>
  </si>
  <si>
    <t>omloop tribune wedstrijdbad</t>
  </si>
  <si>
    <t>1.605</t>
  </si>
  <si>
    <t>toegang tribune wedstrijdbad</t>
  </si>
  <si>
    <t>1.606</t>
  </si>
  <si>
    <t>omloop sportbad</t>
  </si>
  <si>
    <t>1.607</t>
  </si>
  <si>
    <t>entreezone verdieping 1</t>
  </si>
  <si>
    <t>1.608</t>
  </si>
  <si>
    <t>voorruimte toiletten</t>
  </si>
  <si>
    <t>1.609</t>
  </si>
  <si>
    <t>1.610</t>
  </si>
  <si>
    <t>1.611</t>
  </si>
  <si>
    <t>1.614</t>
  </si>
  <si>
    <t>1.615</t>
  </si>
  <si>
    <t>1.617</t>
  </si>
  <si>
    <t>1.618</t>
  </si>
  <si>
    <t>1.803</t>
  </si>
  <si>
    <t>1.808</t>
  </si>
  <si>
    <t>1.813</t>
  </si>
  <si>
    <t>trappenhuis tribune wedstrijdbad</t>
  </si>
  <si>
    <t>2.506</t>
  </si>
  <si>
    <t>2.601</t>
  </si>
  <si>
    <t>2.612</t>
  </si>
  <si>
    <t>trap naar tribune sporthal</t>
  </si>
  <si>
    <t>2.613</t>
  </si>
  <si>
    <t>voorruimte lift en tribune</t>
  </si>
  <si>
    <t>2.616</t>
  </si>
  <si>
    <t>0036 - Gymzaal De Neng, Engweg 7, Amersfoort</t>
  </si>
  <si>
    <t>0036</t>
  </si>
  <si>
    <t>Toilet wasbak</t>
  </si>
  <si>
    <t>tarket</t>
  </si>
  <si>
    <t>0037 - Gymzaal Woestijgerweg, Woestijgerweg, Amersfoort</t>
  </si>
  <si>
    <t>0037</t>
  </si>
  <si>
    <t>Toilet incl. wasbak</t>
  </si>
  <si>
    <t>Totaal weekenddag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</si>
  <si>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</si>
  <si>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</si>
  <si>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</si>
  <si>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</si>
  <si>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</si>
  <si>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</si>
  <si>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</si>
  <si>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</si>
  <si>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0001</t>
  </si>
  <si>
    <t xml:space="preserve">    0002</t>
  </si>
  <si>
    <t xml:space="preserve">    0003</t>
  </si>
  <si>
    <t xml:space="preserve">    0004</t>
  </si>
  <si>
    <t xml:space="preserve">    0005</t>
  </si>
  <si>
    <t xml:space="preserve">    0006</t>
  </si>
  <si>
    <t xml:space="preserve">    0007</t>
  </si>
  <si>
    <t xml:space="preserve">    0008</t>
  </si>
  <si>
    <t xml:space="preserve">    0009</t>
  </si>
  <si>
    <t xml:space="preserve">    0010</t>
  </si>
  <si>
    <t xml:space="preserve">    0011</t>
  </si>
  <si>
    <t xml:space="preserve">    0012</t>
  </si>
  <si>
    <t xml:space="preserve">    0013</t>
  </si>
  <si>
    <t xml:space="preserve">    0014</t>
  </si>
  <si>
    <t xml:space="preserve">    0015</t>
  </si>
  <si>
    <t xml:space="preserve">    0016</t>
  </si>
  <si>
    <t xml:space="preserve">    0018</t>
  </si>
  <si>
    <t xml:space="preserve">    0019</t>
  </si>
  <si>
    <t xml:space="preserve">    0020</t>
  </si>
  <si>
    <t xml:space="preserve">    0021</t>
  </si>
  <si>
    <t xml:space="preserve">    0022</t>
  </si>
  <si>
    <t xml:space="preserve">    0023</t>
  </si>
  <si>
    <t xml:space="preserve">    0025</t>
  </si>
  <si>
    <t xml:space="preserve">    0027</t>
  </si>
  <si>
    <t xml:space="preserve">    0028</t>
  </si>
  <si>
    <t xml:space="preserve">    0029</t>
  </si>
  <si>
    <t xml:space="preserve">    0031</t>
  </si>
  <si>
    <t xml:space="preserve">    0032</t>
  </si>
  <si>
    <t xml:space="preserve">    0033</t>
  </si>
  <si>
    <t xml:space="preserve">    0035</t>
  </si>
  <si>
    <t xml:space="preserve">    0036</t>
  </si>
  <si>
    <t xml:space="preserve">    0037</t>
  </si>
  <si>
    <t>werkdag</t>
  </si>
  <si>
    <t>weekenddag</t>
  </si>
  <si>
    <t>NAAM</t>
  </si>
  <si>
    <t>ADRES</t>
  </si>
  <si>
    <t>PLAATS</t>
  </si>
  <si>
    <t>BASIS UURTARIEF</t>
  </si>
  <si>
    <t>UREN/ UITVOERING</t>
  </si>
  <si>
    <t>UREN HOOG-FREQUENT/ UITVOERING</t>
  </si>
  <si>
    <t>UREN HOOG-FREQUENT SUPPLETIE/ UITVOERING</t>
  </si>
  <si>
    <t>UREN HOOG-FREQUENT TOTAAL/ UITVOERING</t>
  </si>
  <si>
    <t>UREN TOTAAL/ DAG</t>
  </si>
  <si>
    <t>PRIJS SUPPLETIE/ DAG</t>
  </si>
  <si>
    <t>PRIJS TOTAAL/ DAG</t>
  </si>
  <si>
    <t>UREN HOOG-FREQUENT/ JAAR</t>
  </si>
  <si>
    <t>PRIJS/ MAAND (EURO)</t>
  </si>
  <si>
    <t>MFC De Dissel</t>
  </si>
  <si>
    <t>Disselplein 6</t>
  </si>
  <si>
    <t>Hooglanderveen</t>
  </si>
  <si>
    <t>Sporthal Juliana van Stolberg</t>
  </si>
  <si>
    <t>Graaf Hendriklaan 166</t>
  </si>
  <si>
    <t>Amersfoort</t>
  </si>
  <si>
    <t>Gymzaal Reinaartpad</t>
  </si>
  <si>
    <t>Reinaartpad 25</t>
  </si>
  <si>
    <t>Gymzaal Twentseweg</t>
  </si>
  <si>
    <t>Twentseweg 5</t>
  </si>
  <si>
    <t>Gymzaal Ariaweg</t>
  </si>
  <si>
    <t>Ariaweg 111</t>
  </si>
  <si>
    <t>Gymzaal Bisschopsweg</t>
  </si>
  <si>
    <t>Bisschopsweg 179</t>
  </si>
  <si>
    <t>Sporthal Rustenburg</t>
  </si>
  <si>
    <t>Fuglerplein 3</t>
  </si>
  <si>
    <t>Sporthal Midland</t>
  </si>
  <si>
    <t>Zangvogelweg 138</t>
  </si>
  <si>
    <t>Gymzaal Marnixlaan</t>
  </si>
  <si>
    <t>Van Marnixlaan 47</t>
  </si>
  <si>
    <t>Sporthal Bieshaar</t>
  </si>
  <si>
    <t>Breelandhof 8</t>
  </si>
  <si>
    <t>Gymzaal Raadhoven</t>
  </si>
  <si>
    <t>Raadhoven 1</t>
  </si>
  <si>
    <t>Veencampus school</t>
  </si>
  <si>
    <t>Laakboulevard 400</t>
  </si>
  <si>
    <t>Hoofdkantoor SRO</t>
  </si>
  <si>
    <t>Soesterweg 556</t>
  </si>
  <si>
    <t>Zwembad Octopus</t>
  </si>
  <si>
    <t>Bavoortseweg 9</t>
  </si>
  <si>
    <t>Leusden</t>
  </si>
  <si>
    <t>Natuurboerderij De Brinkhorst</t>
  </si>
  <si>
    <t>Wageningseberg 43</t>
  </si>
  <si>
    <t>VVE de Brink</t>
  </si>
  <si>
    <t>Wezeperberg 6</t>
  </si>
  <si>
    <t>Gymzaal Dollardstraat</t>
  </si>
  <si>
    <t>Dollardstraat 121</t>
  </si>
  <si>
    <t>Gymzaal Spinetpad</t>
  </si>
  <si>
    <t>Spinetpad 10</t>
  </si>
  <si>
    <t>Gymzaal Dopheide</t>
  </si>
  <si>
    <t>Dopheide 1/De Panne</t>
  </si>
  <si>
    <t>Gymzaal Koning Arthurpad</t>
  </si>
  <si>
    <t>Koning Arthurpad 25</t>
  </si>
  <si>
    <t>Gymzaal Zevenhuizerstraat</t>
  </si>
  <si>
    <t>Zevenhuizerstraat 46</t>
  </si>
  <si>
    <t>Hoogland</t>
  </si>
  <si>
    <t>Sporthal Nieuwland</t>
  </si>
  <si>
    <t>Zeldertsedreef 3</t>
  </si>
  <si>
    <t>Sporthal Zielhorst</t>
  </si>
  <si>
    <t>Trompetstraat 3</t>
  </si>
  <si>
    <t>Sporthal Icoon</t>
  </si>
  <si>
    <t>Leeghwater 1-3</t>
  </si>
  <si>
    <t>Wijkcentrum De Groene Stee</t>
  </si>
  <si>
    <t xml:space="preserve">Wiekslag 92_x000D_
</t>
  </si>
  <si>
    <t>Atletiekaccommodatie</t>
  </si>
  <si>
    <t>Schothorsterlaan 78</t>
  </si>
  <si>
    <t>Wijkcentrum Schothorst Zielhorst</t>
  </si>
  <si>
    <t>Stradivariusstraat 10</t>
  </si>
  <si>
    <t>Wijkcentrum Randenbroek Schuilenburg</t>
  </si>
  <si>
    <t>Ariaweg 131a</t>
  </si>
  <si>
    <t>Wijkcentrum Hoogland Kattenbroek</t>
  </si>
  <si>
    <t>Hof der Gedachten 20-3</t>
  </si>
  <si>
    <t>Sportcomplex Amerena</t>
  </si>
  <si>
    <t>De Velduil 2</t>
  </si>
  <si>
    <t>Gymzaal De Neng</t>
  </si>
  <si>
    <t>Engweg 7</t>
  </si>
  <si>
    <t>Gymzaal Woestijgerweg</t>
  </si>
  <si>
    <t>Woestijgerweg</t>
  </si>
  <si>
    <t>Totaal regulier werk incl. suppleties (excl. BTW)</t>
  </si>
  <si>
    <t>PRIJS/ MAAND EXCL.BTW</t>
  </si>
  <si>
    <t>Totaal van alle objecten (excl. BTW)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</si>
  <si>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</si>
  <si>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</si>
  <si>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</si>
  <si>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</si>
  <si>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</si>
  <si>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</si>
  <si>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</si>
  <si>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</si>
  <si>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vloeronderhoud strippen en polymeren</t>
  </si>
  <si>
    <t>tijdsnorm in vloer m²/uur</t>
  </si>
  <si>
    <t>Totaal additioneel werk excl. BTW</t>
  </si>
  <si>
    <t>Totaal 0002 - Sporthal Juliana van Stolberg, Graaf Hendriklaan 166, Amersfoort</t>
  </si>
  <si>
    <t>Totaal 0008 - Sporthal Midland, Zangvogelweg 138, Amersfoort</t>
  </si>
  <si>
    <t>Totaal 0010 - Sporthal Bieshaar, Breelandhof 8, Amersfoort</t>
  </si>
  <si>
    <t>Totaal 0012 - Veencampus school, Laakboulevard 400, Amersfoort</t>
  </si>
  <si>
    <t>Totaal 0013 - Hoofdkantoor SRO, Soesterweg 556, Amersfoort</t>
  </si>
  <si>
    <t>Totaal 0014 - Zwembad Octopus, Bavoortseweg 9, Leusden</t>
  </si>
  <si>
    <t>Totaal 0015 - Natuurboerderij De Brinkhorst, Wageningseberg 43, Amersfoort</t>
  </si>
  <si>
    <t>Totaal 0016 - VVE de Brink, Wezeperberg 6, Amersfoort</t>
  </si>
  <si>
    <t>Totaal 0028 - Wijkcentrum De Groene Stee, Wiekslag 92_x000D_
, Amersfoort</t>
  </si>
  <si>
    <t>Totaal 0031 - Wijkcentrum Schothorst Zielhorst, Stradivariusstraat 10, Amersfoort</t>
  </si>
  <si>
    <t>Totaal 0032 - Wijkcentrum Randenbroek Schuilenburg, Ariaweg 131a, Amersfoort</t>
  </si>
  <si>
    <t>Totaal 0033 - Wijkcentrum Hoogland Kattenbroek, Hof der Gedachten 20-3, Amersfoort</t>
  </si>
  <si>
    <t>9000</t>
  </si>
  <si>
    <t>Medewerker regiewerkzaamheden</t>
  </si>
  <si>
    <t>prijs per uur</t>
  </si>
  <si>
    <t>9100</t>
  </si>
  <si>
    <t>Medewerker specialistische werkzaamheden</t>
  </si>
  <si>
    <t>9150</t>
  </si>
  <si>
    <t>Medewerker calamiteiten werkzaamheden</t>
  </si>
  <si>
    <t>9200</t>
  </si>
  <si>
    <t>Medewerker verwijderen graffiti</t>
  </si>
  <si>
    <t>W9000</t>
  </si>
  <si>
    <t>W9100</t>
  </si>
  <si>
    <t>W9150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</si>
  <si>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</si>
  <si>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</si>
  <si>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</si>
  <si>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</si>
  <si>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</si>
  <si>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</si>
  <si>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</si>
  <si>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</si>
  <si>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</si>
  <si>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</si>
  <si>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</si>
  <si>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</si>
  <si>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</si>
  <si>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</si>
  <si>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</si>
  <si>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</si>
  <si>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</si>
  <si>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</si>
  <si>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</si>
  <si>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</si>
  <si>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</si>
  <si>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</si>
  <si>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</si>
  <si>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</si>
  <si>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</si>
  <si>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</si>
  <si>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</si>
  <si>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</si>
  <si>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</si>
  <si>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</si>
  <si>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</si>
  <si>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</si>
  <si>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</si>
  <si>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</si>
  <si>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</si>
  <si>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</si>
  <si>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</si>
  <si>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</si>
  <si>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</si>
  <si>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</si>
  <si>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</si>
  <si>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</si>
  <si>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</si>
  <si>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</si>
  <si>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</si>
  <si>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</si>
  <si>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</si>
  <si>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</si>
  <si>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</si>
  <si>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</si>
  <si>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</si>
  <si>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</si>
  <si>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</si>
  <si>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</si>
  <si>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</si>
  <si>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</si>
  <si>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</si>
  <si>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</si>
  <si>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</si>
  <si>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</si>
  <si>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</si>
  <si>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</si>
  <si>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</si>
  <si>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</si>
  <si>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</si>
  <si>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</si>
  <si>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</si>
  <si>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</si>
  <si>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</si>
  <si>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</si>
  <si>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</si>
  <si>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</si>
  <si>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</si>
  <si>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</si>
  <si>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</si>
  <si>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</si>
  <si>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</si>
  <si>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</si>
  <si>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</si>
  <si>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</si>
  <si>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</si>
  <si>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</si>
  <si>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</si>
  <si>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</si>
  <si>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</si>
  <si>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</si>
  <si>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</si>
  <si>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</si>
  <si>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</si>
  <si>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</si>
  <si>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</si>
  <si>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</si>
  <si>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</si>
  <si>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</si>
  <si>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</si>
  <si>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</si>
  <si>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</si>
  <si>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</si>
  <si>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</si>
  <si>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</si>
  <si>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</si>
  <si>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</si>
  <si>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</si>
  <si>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</si>
  <si>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</si>
  <si>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</si>
  <si>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</si>
  <si>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</si>
  <si>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</si>
  <si>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</si>
  <si>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</si>
  <si>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</si>
  <si>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</si>
  <si>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</si>
  <si>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</si>
  <si>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</si>
  <si>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</si>
  <si>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</si>
  <si>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</si>
  <si>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</si>
  <si>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</si>
  <si>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Stoelbekleding (stof) reinigen</t>
  </si>
  <si>
    <t>4090B</t>
  </si>
  <si>
    <t>25 &lt; 50 stuks</t>
  </si>
  <si>
    <t>4090C</t>
  </si>
  <si>
    <t>50 &lt; 75 stuks</t>
  </si>
  <si>
    <t>4090D</t>
  </si>
  <si>
    <t>&gt;= 75 stuks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</si>
  <si>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</si>
  <si>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</si>
  <si>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</si>
  <si>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</si>
  <si>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</si>
  <si>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</si>
  <si>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</si>
  <si>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8030</t>
  </si>
  <si>
    <t>Balustrade glas (m ² is totaal)</t>
  </si>
  <si>
    <t>8040</t>
  </si>
  <si>
    <t>Loop glas (m ² is totaal)</t>
  </si>
  <si>
    <t>8100</t>
  </si>
  <si>
    <t>Inzet Hoogwerker Amarena</t>
  </si>
  <si>
    <t>totaalprijs</t>
  </si>
  <si>
    <t>8101</t>
  </si>
  <si>
    <t>Inzet Hoogwerker Veenncampus</t>
  </si>
  <si>
    <t>8200</t>
  </si>
  <si>
    <t>Inzet Tuckerpool Hoofdkantoor</t>
  </si>
  <si>
    <t>8201</t>
  </si>
  <si>
    <t>Inzet Tuckerpool vve de Brink</t>
  </si>
  <si>
    <t>Totaal glas excl. BTW</t>
  </si>
  <si>
    <t>Totaal 0001 - MFC De Dissel, Disselplein 6, Hooglanderveen</t>
  </si>
  <si>
    <t>Totaal 0006 - Gymzaal Bisschopsweg, Bisschopsweg 179, Amersfoort</t>
  </si>
  <si>
    <t>Totaal 0007 - Sporthal Rustenburg, Fuglerplein 3, Amersfoort</t>
  </si>
  <si>
    <t>Totaal 0009 - Gymzaal Marnixlaan, Van Marnixlaan 47, Amersfoort</t>
  </si>
  <si>
    <t>Totaal 0011 - Gymzaal Raadhoven, Raadhoven 1, Amersfoort</t>
  </si>
  <si>
    <t>Totaal 0018 - Gymzaal Dollardstraat, Dollardstraat 121, Amersfoort</t>
  </si>
  <si>
    <t>Totaal 0020 - Gymzaal Dopheide, Dopheide 1/De Panne, Amersfoort</t>
  </si>
  <si>
    <t>Totaal 0022 - Gymzaal Zevenhuizerstraat, Zevenhuizerstraat 46, Hoogland</t>
  </si>
  <si>
    <t>Totaal 0023 - Sporthal Nieuwland, Zeldertsedreef 3, Amersfoort</t>
  </si>
  <si>
    <t>Totaal 0025 - Sporthal Zielhorst, Trompetstraat 3, Amersfoort</t>
  </si>
  <si>
    <t>Totaal 0029 - Atletiekaccommodatie, Schothorsterlaan 78, Amersfoort</t>
  </si>
  <si>
    <t>Totaal 0035 - Sportcomplex Amerena, De Velduil 2, Amersfoort</t>
  </si>
  <si>
    <t>Totaal 0036 - Gymzaal De Neng, Engweg 7, Amersfoort</t>
  </si>
  <si>
    <t>Soort werk</t>
  </si>
  <si>
    <t>Uren per jaar uitvoering</t>
  </si>
  <si>
    <t>Uren hoogfrequent per jaar uitvoering</t>
  </si>
  <si>
    <t>Bedrag per jaar excl. BTW (euro)</t>
  </si>
  <si>
    <t xml:space="preserve">Regulier werk </t>
  </si>
  <si>
    <t>Additioneel werk</t>
  </si>
  <si>
    <t>Afroepwerk (geschatte frequenties)</t>
  </si>
  <si>
    <t>Glas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</si>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</sst>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2" borderId="24" xfId="0" applyNumberFormat="1" applyFill="1" applyBorder="1"/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2" borderId="25" xfId="0" applyNumberFormat="1" applyFill="1" applyBorder="1"/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2" borderId="26" xfId="0" applyNumberFormat="1" applyFill="1" applyBorder="1"/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0" fontId="0" fillId="2" borderId="25" xfId="0" applyNumberFormat="1" applyFill="1" applyBorder="1"/>
    <xf numFmtId="165" fontId="0" fillId="0" borderId="25" xfId="0" applyNumberFormat="1" applyBorder="1" applyProtection="1">
      <protection locked="0"/>
    </xf>
    <xf numFmtId="4" fontId="0" fillId="2" borderId="26" xfId="0" applyNumberFormat="1" applyFill="1" applyBorder="1"/>
    <xf numFmtId="165" fontId="0" fillId="0" borderId="26" xfId="0" applyNumberFormat="1" applyBorder="1" applyProtection="1">
      <protection locked="0"/>
    </xf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165" fontId="0" fillId="2" borderId="26" xfId="0" applyNumberFormat="1" applyFill="1" applyBorder="1"/>
    <xf numFmtId="10" fontId="0" fillId="2" borderId="26" xfId="0" applyNumberFormat="1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0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10" fontId="0" fillId="2" borderId="19" xfId="0" applyNumberFormat="1" applyFill="1" applyBorder="1"/>
    <xf numFmtId="49" fontId="0" fillId="3" borderId="32" xfId="0" applyNumberFormat="1" applyFill="1" applyBorder="1"/>
    <xf numFmtId="10" fontId="0" fillId="0" borderId="16" xfId="0" applyNumberFormat="1" applyBorder="1"/>
    <xf numFmtId="0" fontId="0" fillId="2" borderId="16" xfId="0" applyFill="1" applyBorder="1"/>
    <xf numFmtId="0" fontId="0" fillId="3" borderId="31" xfId="0" applyFill="1" applyBorder="1" applyAlignment="1">
      <alignment wrapText="1"/>
    </xf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2" borderId="25" xfId="0" applyNumberFormat="1" applyFill="1" applyBorder="1" applyAlignment="1">
      <alignment wrapText="1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 applyProtection="1">
      <protection locked="0"/>
    </xf>
    <xf numFmtId="164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9" fontId="0" fillId="3" borderId="21" xfId="0" applyNumberFormat="1" applyFill="1" applyBorder="1" applyAlignment="1"/>
    <xf numFmtId="4" fontId="0" fillId="4" borderId="24" xfId="0" applyNumberFormat="1" applyFill="1" applyBorder="1"/>
    <xf numFmtId="164" fontId="0" fillId="0" borderId="24" xfId="0" applyNumberFormat="1" applyBorder="1" applyProtection="1">
      <protection locked="0"/>
    </xf>
    <xf numFmtId="4" fontId="0" fillId="3" borderId="24" xfId="0" applyNumberFormat="1" applyFill="1" applyBorder="1" applyProtection="1"/>
    <xf numFmtId="4" fontId="0" fillId="4" borderId="25" xfId="0" applyNumberFormat="1" applyFill="1" applyBorder="1"/>
    <xf numFmtId="164" fontId="0" fillId="0" borderId="25" xfId="0" applyNumberFormat="1" applyBorder="1" applyProtection="1">
      <protection locked="0"/>
    </xf>
    <xf numFmtId="4" fontId="0" fillId="3" borderId="25" xfId="0" applyNumberFormat="1" applyFill="1" applyBorder="1" applyProtection="1"/>
    <xf numFmtId="4" fontId="0" fillId="4" borderId="26" xfId="0" applyNumberFormat="1" applyFill="1" applyBorder="1"/>
    <xf numFmtId="164" fontId="0" fillId="0" borderId="26" xfId="0" applyNumberFormat="1" applyBorder="1" applyProtection="1">
      <protection locked="0"/>
    </xf>
    <xf numFmtId="4" fontId="0" fillId="3" borderId="26" xfId="0" applyNumberFormat="1" applyFill="1" applyBorder="1" applyProtection="1"/>
    <xf numFmtId="164" fontId="0" fillId="2" borderId="24" xfId="0" applyNumberFormat="1" applyFill="1" applyBorder="1" applyProtection="1"/>
    <xf numFmtId="164" fontId="0" fillId="2" borderId="25" xfId="0" applyNumberFormat="1" applyFill="1" applyBorder="1" applyProtection="1"/>
    <xf numFmtId="164" fontId="0" fillId="2" borderId="26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11C0-62C2-433D-9104-4A97803743F8}">
  <dimension ref="A1:H35"/>
  <sheetViews>
    <sheetView workbookViewId="0"/>
  </sheetViews>
  <sheetFormatPr defaultRowHeight="12.6" x14ac:dyDescent="0.2"/>
  <sheetData>
    <row r="1" spans="1:8" x14ac:dyDescent="0.2">
      <c r="A1" s="1" t="s">
        <v>0</v>
      </c>
    </row>
    <row r="3" spans="1:8" x14ac:dyDescent="0.2">
      <c r="A3" t="s">
        <v>1</v>
      </c>
    </row>
    <row r="5" spans="1:8" x14ac:dyDescent="0.2">
      <c r="A5" t="s">
        <v>2</v>
      </c>
      <c r="B5" t="s">
        <v>3</v>
      </c>
    </row>
    <row r="7" spans="1:8" x14ac:dyDescent="0.2">
      <c r="A7" s="4" t="s">
        <v>4</v>
      </c>
      <c r="B7" s="5"/>
      <c r="D7" s="4" t="s">
        <v>32</v>
      </c>
      <c r="E7" s="5"/>
      <c r="G7" s="4" t="s">
        <v>33</v>
      </c>
      <c r="H7" s="5"/>
    </row>
    <row r="8" spans="1:8" x14ac:dyDescent="0.2">
      <c r="A8" s="2"/>
      <c r="B8" s="3"/>
      <c r="D8" s="2"/>
      <c r="E8" s="3"/>
      <c r="G8" s="2"/>
      <c r="H8" s="3"/>
    </row>
    <row r="9" spans="1:8" x14ac:dyDescent="0.2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2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2">
      <c r="A11" s="2"/>
      <c r="B11" s="3"/>
      <c r="D11" s="2"/>
      <c r="E11" s="3"/>
      <c r="G11" s="2"/>
      <c r="H11" s="3"/>
    </row>
    <row r="12" spans="1:8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>IF(D13="2½W",2.5/dagenperweek2,IF(RIGHT(D13,1)="W",VALUE(LEFT(D13,LEN(D13)-1))/dagenperweek2,IF(RIGHT(D13,1)="J",VALUE(LEFT(D13,LEN(D13)-1))/dagenperjaar2,"handmatig!")))</f>
        <v>5</v>
      </c>
      <c r="G13" s="2" t="s">
        <v>17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1</v>
      </c>
      <c r="D14" s="2" t="s">
        <v>12</v>
      </c>
      <c r="E14" s="3">
        <f>IF(D14="2½W",2.5/dagenperweek2,IF(RIGHT(D14,1)="W",VALUE(LEFT(D14,LEN(D14)-1))/dagenperweek2,IF(RIGHT(D14,1)="J",VALUE(LEFT(D14,LEN(D14)-1))/dagenperjaar2,"handmatig!")))</f>
        <v>4</v>
      </c>
      <c r="G14" s="2" t="s">
        <v>18</v>
      </c>
      <c r="H14" s="3">
        <f>IF(G14="2½W",2.5/dagenperweek3,IF(RIGHT(G14,1)="W",VALUE(LEFT(G14,LEN(G14)-1))/dagenperweek3,IF(RIGHT(G14,1)="J",VALUE(LEFT(G14,LEN(G14)-1))/dagenperjaar3,"handmatig!")))</f>
        <v>1</v>
      </c>
    </row>
    <row r="15" spans="1:8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0.90196078431372551</v>
      </c>
      <c r="D15" s="2" t="s">
        <v>14</v>
      </c>
      <c r="E15" s="3">
        <f>IF(D15="2½W",2.5/dagenperweek2,IF(RIGHT(D15,1)="W",VALUE(LEFT(D15,LEN(D15)-1))/dagenperweek2,IF(RIGHT(D15,1)="J",VALUE(LEFT(D15,LEN(D15)-1))/dagenperjaar2,"handmatig!")))</f>
        <v>3</v>
      </c>
      <c r="G15" s="2" t="s">
        <v>20</v>
      </c>
      <c r="H15" s="3">
        <f>IF(G15="2½W",2.5/dagenperweek3,IF(RIGHT(G15,1)="W",VALUE(LEFT(G15,LEN(G15)-1))/dagenperweek3,IF(RIGHT(G15,1)="J",VALUE(LEFT(G15,LEN(G15)-1))/dagenperjaar3,"handmatig!")))</f>
        <v>0.5</v>
      </c>
    </row>
    <row r="16" spans="1:8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0.8</v>
      </c>
      <c r="D16" s="2" t="s">
        <v>17</v>
      </c>
      <c r="E16" s="3">
        <f>IF(D16="2½W",2.5/dagenperweek2,IF(RIGHT(D16,1)="W",VALUE(LEFT(D16,LEN(D16)-1))/dagenperweek2,IF(RIGHT(D16,1)="J",VALUE(LEFT(D16,LEN(D16)-1))/dagenperjaar2,"handmatig!")))</f>
        <v>2</v>
      </c>
      <c r="G16" s="2" t="s">
        <v>24</v>
      </c>
      <c r="H16" s="3">
        <f>IF(G16="2½W",2.5/dagenperweek3,IF(RIGHT(G16,1)="W",VALUE(LEFT(G16,LEN(G16)-1))/dagenperweek3,IF(RIGHT(G16,1)="J",VALUE(LEFT(G16,LEN(G16)-1))/dagenperjaar3,"handmatig!")))</f>
        <v>0.11764705882352941</v>
      </c>
    </row>
    <row r="17" spans="1:8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0.78431372549019607</v>
      </c>
      <c r="D17" s="2" t="s">
        <v>20</v>
      </c>
      <c r="E17" s="3">
        <f>IF(D17="2½W",2.5/dagenperweek2,IF(RIGHT(D17,1)="W",VALUE(LEFT(D17,LEN(D17)-1))/dagenperweek2,IF(RIGHT(D17,1)="J",VALUE(LEFT(D17,LEN(D17)-1))/dagenperjaar2,"handmatig!")))</f>
        <v>1</v>
      </c>
      <c r="G17" s="6" t="s">
        <v>31</v>
      </c>
      <c r="H17" s="7">
        <f>IF(G17="2½W",2.5/dagenperweek3,IF(RIGHT(G17,1)="W",VALUE(LEFT(G17,LEN(G17)-1))/dagenperweek3,IF(RIGHT(G17,1)="J",VALUE(LEFT(G17,LEN(G17)-1))/dagenperjaar3,"handmatig!")))</f>
        <v>9.8039215686274508E-3</v>
      </c>
    </row>
    <row r="18" spans="1:8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0.6</v>
      </c>
      <c r="D18" s="2" t="s">
        <v>23</v>
      </c>
      <c r="E18" s="3">
        <f>IF(D18="2½W",2.5/dagenperweek2,IF(RIGHT(D18,1)="W",VALUE(LEFT(D18,LEN(D18)-1))/dagenperweek2,IF(RIGHT(D18,1)="J",VALUE(LEFT(D18,LEN(D18)-1))/dagenperjaar2,"handmatig!")))</f>
        <v>3.25</v>
      </c>
    </row>
    <row r="19" spans="1:8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0.50980392156862742</v>
      </c>
      <c r="D19" s="2" t="s">
        <v>24</v>
      </c>
      <c r="E19" s="3">
        <f>IF(D19="2½W",2.5/dagenperweek2,IF(RIGHT(D19,1)="W",VALUE(LEFT(D19,LEN(D19)-1))/dagenperweek2,IF(RIGHT(D19,1)="J",VALUE(LEFT(D19,LEN(D19)-1))/dagenperjaar2,"handmatig!")))</f>
        <v>1.5</v>
      </c>
    </row>
    <row r="20" spans="1:8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0.40784313725490196</v>
      </c>
      <c r="D20" s="2" t="s">
        <v>27</v>
      </c>
      <c r="E20" s="3">
        <f>IF(D20="2½W",2.5/dagenperweek2,IF(RIGHT(D20,1)="W",VALUE(LEFT(D20,LEN(D20)-1))/dagenperweek2,IF(RIGHT(D20,1)="J",VALUE(LEFT(D20,LEN(D20)-1))/dagenperjaar2,"handmatig!")))</f>
        <v>0.75</v>
      </c>
    </row>
    <row r="21" spans="1:8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0.4</v>
      </c>
      <c r="D21" s="2" t="s">
        <v>28</v>
      </c>
      <c r="E21" s="3">
        <f>IF(D21="2½W",2.5/dagenperweek2,IF(RIGHT(D21,1)="W",VALUE(LEFT(D21,LEN(D21)-1))/dagenperweek2,IF(RIGHT(D21,1)="J",VALUE(LEFT(D21,LEN(D21)-1))/dagenperjaar2,"handmatig!")))</f>
        <v>0.5</v>
      </c>
    </row>
    <row r="22" spans="1:8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0.4</v>
      </c>
      <c r="D22" s="2" t="s">
        <v>29</v>
      </c>
      <c r="E22" s="3">
        <f>IF(D22="2½W",2.5/dagenperweek2,IF(RIGHT(D22,1)="W",VALUE(LEFT(D22,LEN(D22)-1))/dagenperweek2,IF(RIGHT(D22,1)="J",VALUE(LEFT(D22,LEN(D22)-1))/dagenperjaar2,"handmatig!")))</f>
        <v>0.375</v>
      </c>
    </row>
    <row r="23" spans="1:8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0.20392156862745098</v>
      </c>
      <c r="D23" s="2" t="s">
        <v>30</v>
      </c>
      <c r="E23" s="3">
        <f>IF(D23="2½W",2.5/dagenperweek2,IF(RIGHT(D23,1)="W",VALUE(LEFT(D23,LEN(D23)-1))/dagenperweek2,IF(RIGHT(D23,1)="J",VALUE(LEFT(D23,LEN(D23)-1))/dagenperjaar2,"handmatig!")))</f>
        <v>0.25</v>
      </c>
    </row>
    <row r="24" spans="1:8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0.2</v>
      </c>
      <c r="D24" s="6" t="s">
        <v>31</v>
      </c>
      <c r="E24" s="7">
        <f>IF(D24="2½W",2.5/dagenperweek2,IF(RIGHT(D24,1)="W",VALUE(LEFT(D24,LEN(D24)-1))/dagenperweek2,IF(RIGHT(D24,1)="J",VALUE(LEFT(D24,LEN(D24)-1))/dagenperjaar2,"handmatig!")))</f>
        <v>0.125</v>
      </c>
    </row>
    <row r="25" spans="1:8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0.2</v>
      </c>
    </row>
    <row r="26" spans="1:8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0.15686274509803921</v>
      </c>
    </row>
    <row r="27" spans="1:8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0.10196078431372549</v>
      </c>
    </row>
    <row r="28" spans="1:8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4.7058823529411764E-2</v>
      </c>
    </row>
    <row r="29" spans="1:8" x14ac:dyDescent="0.2">
      <c r="A29" s="2" t="s">
        <v>25</v>
      </c>
      <c r="B29" s="3">
        <f>IF(A29="2½W",2.5/dagenperweek1,IF(RIGHT(A29,1)="W",VALUE(LEFT(A29,LEN(A29)-1))/dagenperweek1,IF(RIGHT(A29,1)="J",VALUE(LEFT(A29,LEN(A29)-1))/dagenperjaar1,"handmatig!")))</f>
        <v>3.9215686274509803E-2</v>
      </c>
    </row>
    <row r="30" spans="1:8" x14ac:dyDescent="0.2">
      <c r="A30" s="2" t="s">
        <v>26</v>
      </c>
      <c r="B30" s="3">
        <f>IF(A30="2½W",2.5/dagenperweek1,IF(RIGHT(A30,1)="W",VALUE(LEFT(A30,LEN(A30)-1))/dagenperweek1,IF(RIGHT(A30,1)="J",VALUE(LEFT(A30,LEN(A30)-1))/dagenperjaar1,"handmatig!")))</f>
        <v>3.1372549019607843E-2</v>
      </c>
    </row>
    <row r="31" spans="1:8" x14ac:dyDescent="0.2">
      <c r="A31" s="2" t="s">
        <v>27</v>
      </c>
      <c r="B31" s="3">
        <f>IF(A31="2½W",2.5/dagenperweek1,IF(RIGHT(A31,1)="W",VALUE(LEFT(A31,LEN(A31)-1))/dagenperweek1,IF(RIGHT(A31,1)="J",VALUE(LEFT(A31,LEN(A31)-1))/dagenperjaar1,"handmatig!")))</f>
        <v>2.3529411764705882E-2</v>
      </c>
    </row>
    <row r="32" spans="1:8" x14ac:dyDescent="0.2">
      <c r="A32" s="2" t="s">
        <v>28</v>
      </c>
      <c r="B32" s="3">
        <f>IF(A32="2½W",2.5/dagenperweek1,IF(RIGHT(A32,1)="W",VALUE(LEFT(A32,LEN(A32)-1))/dagenperweek1,IF(RIGHT(A32,1)="J",VALUE(LEFT(A32,LEN(A32)-1))/dagenperjaar1,"handmatig!")))</f>
        <v>1.5686274509803921E-2</v>
      </c>
    </row>
    <row r="33" spans="1:2" x14ac:dyDescent="0.2">
      <c r="A33" s="2" t="s">
        <v>29</v>
      </c>
      <c r="B33" s="3">
        <f>IF(A33="2½W",2.5/dagenperweek1,IF(RIGHT(A33,1)="W",VALUE(LEFT(A33,LEN(A33)-1))/dagenperweek1,IF(RIGHT(A33,1)="J",VALUE(LEFT(A33,LEN(A33)-1))/dagenperjaar1,"handmatig!")))</f>
        <v>1.1764705882352941E-2</v>
      </c>
    </row>
    <row r="34" spans="1:2" x14ac:dyDescent="0.2">
      <c r="A34" s="2" t="s">
        <v>30</v>
      </c>
      <c r="B34" s="3">
        <f>IF(A34="2½W",2.5/dagenperweek1,IF(RIGHT(A34,1)="W",VALUE(LEFT(A34,LEN(A34)-1))/dagenperweek1,IF(RIGHT(A34,1)="J",VALUE(LEFT(A34,LEN(A34)-1))/dagenperjaar1,"handmatig!")))</f>
        <v>7.8431372549019607E-3</v>
      </c>
    </row>
    <row r="35" spans="1:2" x14ac:dyDescent="0.2">
      <c r="A35" s="6" t="s">
        <v>31</v>
      </c>
      <c r="B35" s="7">
        <f>IF(A35="2½W",2.5/dagenperweek1,IF(RIGHT(A35,1)="W",VALUE(LEFT(A35,LEN(A35)-1))/dagenperweek1,IF(RIGHT(A35,1)="J",VALUE(LEFT(A35,LEN(A35)-1))/dagenperjaar1,"handmatig!")))</f>
        <v>3.9215686274509803E-3</v>
      </c>
    </row>
  </sheetData>
  <sheetProtection algorithmName="SHA-512" hashValue="vWLf6NOZaIxhe6Z+OcZVBxrP786t2tJbBhQMwytxVvlqaoNb+zQQ2e1VjPmaBCgbGtn57t9poq4pPmQZqcD9CQ==" saltValue="UjA0WGMjG5rUDsa2gshjAA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B66A-C51F-4277-BB6D-631F5E4F9321}">
  <dimension ref="A1:L9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F.1.7: ",tabeltype," additioneel werk")</f>
        <v>Bijlage F.1.7: Invultabel additioneel werk</v>
      </c>
    </row>
    <row r="3" spans="1:12" ht="37.799999999999997" x14ac:dyDescent="0.2">
      <c r="A3" s="40" t="s">
        <v>1279</v>
      </c>
      <c r="B3" s="40" t="s">
        <v>7</v>
      </c>
      <c r="C3" s="40" t="s">
        <v>1280</v>
      </c>
      <c r="D3" s="40" t="s">
        <v>97</v>
      </c>
      <c r="E3" s="40" t="s">
        <v>100</v>
      </c>
      <c r="F3" s="40" t="s">
        <v>1281</v>
      </c>
      <c r="G3" s="40" t="s">
        <v>1282</v>
      </c>
      <c r="H3" s="40" t="s">
        <v>1283</v>
      </c>
      <c r="I3" s="40" t="s">
        <v>1284</v>
      </c>
      <c r="J3" s="40" t="s">
        <v>1285</v>
      </c>
      <c r="K3" s="40" t="s">
        <v>253</v>
      </c>
      <c r="L3" s="40" t="s">
        <v>1207</v>
      </c>
    </row>
    <row r="4" spans="1:12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">
      <c r="A5" s="44" t="s">
        <v>102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1:12" x14ac:dyDescent="0.2">
      <c r="A6" s="119" t="s">
        <v>1286</v>
      </c>
      <c r="B6" s="119" t="s">
        <v>31</v>
      </c>
      <c r="C6" s="125">
        <f>IF(ISBLANK(B6),0,IF(ISERROR(VALUE(B6)),VLOOKUP(B6,dagsoorttabel1,2,FALSE)*dagenperjaar1,VALUE(B6)))</f>
        <v>1</v>
      </c>
      <c r="D6" s="119" t="s">
        <v>1287</v>
      </c>
      <c r="E6" s="119" t="s">
        <v>1288</v>
      </c>
      <c r="F6" s="126">
        <v>6711.19</v>
      </c>
      <c r="G6" s="127"/>
      <c r="H6" s="123"/>
      <c r="I6" s="128"/>
      <c r="J6" s="124">
        <f>IF(ISBLANK(H6),0,F6 / ROUND(H6,4) * ROUND(G6,2))</f>
        <v>0</v>
      </c>
      <c r="K6" s="124">
        <f>C6*J6</f>
        <v>0</v>
      </c>
      <c r="L6" s="124">
        <f>K6/12</f>
        <v>0</v>
      </c>
    </row>
    <row r="7" spans="1:12" x14ac:dyDescent="0.2">
      <c r="A7" s="72" t="s">
        <v>360</v>
      </c>
      <c r="B7" s="73"/>
      <c r="C7" s="73"/>
      <c r="D7" s="73"/>
      <c r="E7" s="73"/>
      <c r="F7" s="73"/>
      <c r="G7" s="73"/>
      <c r="H7" s="73"/>
      <c r="I7" s="73"/>
      <c r="J7" s="73"/>
      <c r="K7" s="75">
        <f>SUM(K6:K6)</f>
        <v>0</v>
      </c>
      <c r="L7" s="129">
        <f>K7/12</f>
        <v>0</v>
      </c>
    </row>
    <row r="9" spans="1:12" x14ac:dyDescent="0.2">
      <c r="A9" s="72" t="s">
        <v>1289</v>
      </c>
      <c r="B9" s="73"/>
      <c r="C9" s="73"/>
      <c r="D9" s="73"/>
      <c r="E9" s="73"/>
      <c r="F9" s="73"/>
      <c r="G9" s="73"/>
      <c r="H9" s="73"/>
      <c r="I9" s="73"/>
      <c r="J9" s="73"/>
      <c r="K9" s="75">
        <f>prijsjaaradditioneel1</f>
        <v>0</v>
      </c>
      <c r="L9" s="129">
        <f>K9/12</f>
        <v>0</v>
      </c>
    </row>
  </sheetData>
  <sheetProtection algorithmName="SHA-512" hashValue="jXG2z9BQmLHnnhCaFGc6CseYBFfPhCAKiDqq711Dp1Yzymawr30RH7GDrTSMzt8pmSpEesfSoX0jrHWaLyIpAw==" saltValue="DtfDRFypDqM394XkByJ5zg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85F92-A0EA-4480-8918-2A5CE8DDE832}">
  <dimension ref="A1:M5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11.6328125" customWidth="1"/>
    <col min="5" max="5" width="50.6328125" customWidth="1"/>
    <col min="6" max="7" width="14.6328125" customWidth="1"/>
    <col min="8" max="10" width="11.6328125" customWidth="1"/>
    <col min="11" max="11" width="12.6328125" customWidth="1"/>
    <col min="12" max="12" width="14.6328125" customWidth="1"/>
    <col min="13" max="13" width="13.6328125" customWidth="1"/>
  </cols>
  <sheetData>
    <row r="1" spans="1:13" x14ac:dyDescent="0.2">
      <c r="A1" s="1" t="str">
        <f>CONCATENATE("Bijlage F.1.8: ",tabeltype," additioneel werk per locatie")</f>
        <v>Bijlage F.1.8: Invultabel additioneel werk per locatie</v>
      </c>
    </row>
    <row r="3" spans="1:13" ht="37.799999999999997" x14ac:dyDescent="0.2">
      <c r="A3" s="40" t="s">
        <v>1279</v>
      </c>
      <c r="B3" s="40" t="s">
        <v>7</v>
      </c>
      <c r="C3" s="40" t="s">
        <v>1280</v>
      </c>
      <c r="D3" s="40" t="s">
        <v>1154</v>
      </c>
      <c r="E3" s="40" t="s">
        <v>97</v>
      </c>
      <c r="F3" s="40" t="s">
        <v>100</v>
      </c>
      <c r="G3" s="40" t="s">
        <v>1281</v>
      </c>
      <c r="H3" s="40" t="s">
        <v>1282</v>
      </c>
      <c r="I3" s="40" t="s">
        <v>1283</v>
      </c>
      <c r="J3" s="40" t="s">
        <v>1284</v>
      </c>
      <c r="K3" s="40" t="s">
        <v>1285</v>
      </c>
      <c r="L3" s="40" t="s">
        <v>253</v>
      </c>
      <c r="M3" s="40" t="s">
        <v>1207</v>
      </c>
    </row>
    <row r="5" spans="1:13" x14ac:dyDescent="0.2">
      <c r="A5" s="130" t="s">
        <v>437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131"/>
    </row>
    <row r="6" spans="1:13" x14ac:dyDescent="0.2">
      <c r="A6" s="119" t="s">
        <v>1286</v>
      </c>
      <c r="B6" s="119" t="s">
        <v>31</v>
      </c>
      <c r="C6" s="125">
        <f>IF(ISBLANK(B6),0,IF(ISERROR(VALUE(B6)),VLOOKUP(B6,dagsoorttabel1,2,FALSE)*dagenperjaar1,VALUE(B6)))</f>
        <v>1</v>
      </c>
      <c r="D6" s="119" t="s">
        <v>1193</v>
      </c>
      <c r="E6" s="119" t="s">
        <v>1287</v>
      </c>
      <c r="F6" s="119" t="s">
        <v>1288</v>
      </c>
      <c r="G6" s="126">
        <v>560</v>
      </c>
      <c r="H6" s="132">
        <f>'Additioneel werk'!G6</f>
        <v>0</v>
      </c>
      <c r="I6" s="133">
        <f>'Additioneel werk'!H6</f>
        <v>0</v>
      </c>
      <c r="J6" s="128"/>
      <c r="K6" s="124" t="e">
        <f>IF(ISBLANK(I6),0,G6 / ROUND(I6,4) * ROUND(H6,2))</f>
        <v>#DIV/0!</v>
      </c>
      <c r="L6" s="124" t="e">
        <f>C6*K6</f>
        <v>#DIV/0!</v>
      </c>
      <c r="M6" s="124" t="e">
        <f>L6/12</f>
        <v>#DIV/0!</v>
      </c>
    </row>
    <row r="7" spans="1:13" x14ac:dyDescent="0.2">
      <c r="A7" s="134" t="s">
        <v>1290</v>
      </c>
      <c r="B7" s="73"/>
      <c r="C7" s="73"/>
      <c r="D7" s="73"/>
      <c r="E7" s="73"/>
      <c r="F7" s="73"/>
      <c r="G7" s="73"/>
      <c r="H7" s="73"/>
      <c r="I7" s="73"/>
      <c r="J7" s="73"/>
      <c r="K7" s="75" t="e">
        <f>SUM(K6:K6)</f>
        <v>#DIV/0!</v>
      </c>
      <c r="L7" s="75" t="e">
        <f>SUM(L6:L6)</f>
        <v>#DIV/0!</v>
      </c>
      <c r="M7" s="129" t="e">
        <f>L7/12</f>
        <v>#DIV/0!</v>
      </c>
    </row>
    <row r="9" spans="1:13" x14ac:dyDescent="0.2">
      <c r="A9" s="130" t="s">
        <v>501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131"/>
    </row>
    <row r="10" spans="1:13" x14ac:dyDescent="0.2">
      <c r="A10" s="119" t="s">
        <v>1286</v>
      </c>
      <c r="B10" s="119" t="s">
        <v>31</v>
      </c>
      <c r="C10" s="125">
        <f>IF(ISBLANK(B10),0,IF(ISERROR(VALUE(B10)),VLOOKUP(B10,dagsoorttabel1,2,FALSE)*dagenperjaar1,VALUE(B10)))</f>
        <v>1</v>
      </c>
      <c r="D10" s="119" t="s">
        <v>1193</v>
      </c>
      <c r="E10" s="119" t="s">
        <v>1287</v>
      </c>
      <c r="F10" s="119" t="s">
        <v>1288</v>
      </c>
      <c r="G10" s="126">
        <v>301.2</v>
      </c>
      <c r="H10" s="132">
        <f>'Additioneel werk'!G6</f>
        <v>0</v>
      </c>
      <c r="I10" s="133">
        <f>'Additioneel werk'!H6</f>
        <v>0</v>
      </c>
      <c r="J10" s="128"/>
      <c r="K10" s="124" t="e">
        <f>IF(ISBLANK(I10),0,G10 / ROUND(I10,4) * ROUND(H10,2))</f>
        <v>#DIV/0!</v>
      </c>
      <c r="L10" s="124" t="e">
        <f>C10*K10</f>
        <v>#DIV/0!</v>
      </c>
      <c r="M10" s="124" t="e">
        <f>L10/12</f>
        <v>#DIV/0!</v>
      </c>
    </row>
    <row r="11" spans="1:13" x14ac:dyDescent="0.2">
      <c r="A11" s="134" t="s">
        <v>1291</v>
      </c>
      <c r="B11" s="73"/>
      <c r="C11" s="73"/>
      <c r="D11" s="73"/>
      <c r="E11" s="73"/>
      <c r="F11" s="73"/>
      <c r="G11" s="73"/>
      <c r="H11" s="73"/>
      <c r="I11" s="73"/>
      <c r="J11" s="73"/>
      <c r="K11" s="75" t="e">
        <f>SUM(K10:K10)</f>
        <v>#DIV/0!</v>
      </c>
      <c r="L11" s="75" t="e">
        <f>SUM(L10:L10)</f>
        <v>#DIV/0!</v>
      </c>
      <c r="M11" s="129" t="e">
        <f>L11/12</f>
        <v>#DIV/0!</v>
      </c>
    </row>
    <row r="13" spans="1:13" x14ac:dyDescent="0.2">
      <c r="A13" s="130" t="s">
        <v>511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131"/>
    </row>
    <row r="14" spans="1:13" x14ac:dyDescent="0.2">
      <c r="A14" s="119" t="s">
        <v>1286</v>
      </c>
      <c r="B14" s="119" t="s">
        <v>31</v>
      </c>
      <c r="C14" s="125">
        <f>IF(ISBLANK(B14),0,IF(ISERROR(VALUE(B14)),VLOOKUP(B14,dagsoorttabel1,2,FALSE)*dagenperjaar1,VALUE(B14)))</f>
        <v>1</v>
      </c>
      <c r="D14" s="119" t="s">
        <v>1193</v>
      </c>
      <c r="E14" s="119" t="s">
        <v>1287</v>
      </c>
      <c r="F14" s="119" t="s">
        <v>1288</v>
      </c>
      <c r="G14" s="126">
        <v>91</v>
      </c>
      <c r="H14" s="132">
        <f>'Additioneel werk'!G6</f>
        <v>0</v>
      </c>
      <c r="I14" s="133">
        <f>'Additioneel werk'!H6</f>
        <v>0</v>
      </c>
      <c r="J14" s="128"/>
      <c r="K14" s="124" t="e">
        <f>IF(ISBLANK(I14),0,G14 / ROUND(I14,4) * ROUND(H14,2))</f>
        <v>#DIV/0!</v>
      </c>
      <c r="L14" s="124" t="e">
        <f>C14*K14</f>
        <v>#DIV/0!</v>
      </c>
      <c r="M14" s="124" t="e">
        <f>L14/12</f>
        <v>#DIV/0!</v>
      </c>
    </row>
    <row r="15" spans="1:13" x14ac:dyDescent="0.2">
      <c r="A15" s="134" t="s">
        <v>1292</v>
      </c>
      <c r="B15" s="73"/>
      <c r="C15" s="73"/>
      <c r="D15" s="73"/>
      <c r="E15" s="73"/>
      <c r="F15" s="73"/>
      <c r="G15" s="73"/>
      <c r="H15" s="73"/>
      <c r="I15" s="73"/>
      <c r="J15" s="73"/>
      <c r="K15" s="75" t="e">
        <f>SUM(K14:K14)</f>
        <v>#DIV/0!</v>
      </c>
      <c r="L15" s="75" t="e">
        <f>SUM(L14:L14)</f>
        <v>#DIV/0!</v>
      </c>
      <c r="M15" s="129" t="e">
        <f>L15/12</f>
        <v>#DIV/0!</v>
      </c>
    </row>
    <row r="17" spans="1:13" x14ac:dyDescent="0.2">
      <c r="A17" s="130" t="s">
        <v>526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131"/>
    </row>
    <row r="18" spans="1:13" x14ac:dyDescent="0.2">
      <c r="A18" s="119" t="s">
        <v>1286</v>
      </c>
      <c r="B18" s="119" t="s">
        <v>31</v>
      </c>
      <c r="C18" s="125">
        <f>IF(ISBLANK(B18),0,IF(ISERROR(VALUE(B18)),VLOOKUP(B18,dagsoorttabel1,2,FALSE)*dagenperjaar1,VALUE(B18)))</f>
        <v>1</v>
      </c>
      <c r="D18" s="119" t="s">
        <v>1193</v>
      </c>
      <c r="E18" s="119" t="s">
        <v>1287</v>
      </c>
      <c r="F18" s="119" t="s">
        <v>1288</v>
      </c>
      <c r="G18" s="126">
        <v>3942.52</v>
      </c>
      <c r="H18" s="132">
        <f>'Additioneel werk'!G6</f>
        <v>0</v>
      </c>
      <c r="I18" s="133">
        <f>'Additioneel werk'!H6</f>
        <v>0</v>
      </c>
      <c r="J18" s="128"/>
      <c r="K18" s="124" t="e">
        <f>IF(ISBLANK(I18),0,G18 / ROUND(I18,4) * ROUND(H18,2))</f>
        <v>#DIV/0!</v>
      </c>
      <c r="L18" s="124" t="e">
        <f>C18*K18</f>
        <v>#DIV/0!</v>
      </c>
      <c r="M18" s="124" t="e">
        <f>L18/12</f>
        <v>#DIV/0!</v>
      </c>
    </row>
    <row r="19" spans="1:13" x14ac:dyDescent="0.2">
      <c r="A19" s="134" t="s">
        <v>1293</v>
      </c>
      <c r="B19" s="73"/>
      <c r="C19" s="73"/>
      <c r="D19" s="73"/>
      <c r="E19" s="73"/>
      <c r="F19" s="73"/>
      <c r="G19" s="73"/>
      <c r="H19" s="73"/>
      <c r="I19" s="73"/>
      <c r="J19" s="73"/>
      <c r="K19" s="75" t="e">
        <f>SUM(K18:K18)</f>
        <v>#DIV/0!</v>
      </c>
      <c r="L19" s="75" t="e">
        <f>SUM(L18:L18)</f>
        <v>#DIV/0!</v>
      </c>
      <c r="M19" s="129" t="e">
        <f>L19/12</f>
        <v>#DIV/0!</v>
      </c>
    </row>
    <row r="21" spans="1:13" x14ac:dyDescent="0.2">
      <c r="A21" s="130" t="s">
        <v>640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131"/>
    </row>
    <row r="22" spans="1:13" x14ac:dyDescent="0.2">
      <c r="A22" s="119" t="s">
        <v>1286</v>
      </c>
      <c r="B22" s="119" t="s">
        <v>31</v>
      </c>
      <c r="C22" s="125">
        <f>IF(ISBLANK(B22),0,IF(ISERROR(VALUE(B22)),VLOOKUP(B22,dagsoorttabel1,2,FALSE)*dagenperjaar1,VALUE(B22)))</f>
        <v>1</v>
      </c>
      <c r="D22" s="119" t="s">
        <v>1193</v>
      </c>
      <c r="E22" s="119" t="s">
        <v>1287</v>
      </c>
      <c r="F22" s="119" t="s">
        <v>1288</v>
      </c>
      <c r="G22" s="126">
        <v>415.2</v>
      </c>
      <c r="H22" s="132">
        <f>'Additioneel werk'!G6</f>
        <v>0</v>
      </c>
      <c r="I22" s="133">
        <f>'Additioneel werk'!H6</f>
        <v>0</v>
      </c>
      <c r="J22" s="128"/>
      <c r="K22" s="124" t="e">
        <f>IF(ISBLANK(I22),0,G22 / ROUND(I22,4) * ROUND(H22,2))</f>
        <v>#DIV/0!</v>
      </c>
      <c r="L22" s="124" t="e">
        <f>C22*K22</f>
        <v>#DIV/0!</v>
      </c>
      <c r="M22" s="124" t="e">
        <f>L22/12</f>
        <v>#DIV/0!</v>
      </c>
    </row>
    <row r="23" spans="1:13" x14ac:dyDescent="0.2">
      <c r="A23" s="134" t="s">
        <v>1294</v>
      </c>
      <c r="B23" s="73"/>
      <c r="C23" s="73"/>
      <c r="D23" s="73"/>
      <c r="E23" s="73"/>
      <c r="F23" s="73"/>
      <c r="G23" s="73"/>
      <c r="H23" s="73"/>
      <c r="I23" s="73"/>
      <c r="J23" s="73"/>
      <c r="K23" s="75" t="e">
        <f>SUM(K22:K22)</f>
        <v>#DIV/0!</v>
      </c>
      <c r="L23" s="75" t="e">
        <f>SUM(L22:L22)</f>
        <v>#DIV/0!</v>
      </c>
      <c r="M23" s="129" t="e">
        <f>L23/12</f>
        <v>#DIV/0!</v>
      </c>
    </row>
    <row r="25" spans="1:13" x14ac:dyDescent="0.2">
      <c r="A25" s="130" t="s">
        <v>699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131"/>
    </row>
    <row r="26" spans="1:13" x14ac:dyDescent="0.2">
      <c r="A26" s="119" t="s">
        <v>1286</v>
      </c>
      <c r="B26" s="119" t="s">
        <v>31</v>
      </c>
      <c r="C26" s="125">
        <f>IF(ISBLANK(B26),0,IF(ISERROR(VALUE(B26)),VLOOKUP(B26,dagsoorttabel1,2,FALSE)*dagenperjaar1,VALUE(B26)))</f>
        <v>1</v>
      </c>
      <c r="D26" s="119" t="s">
        <v>1193</v>
      </c>
      <c r="E26" s="119" t="s">
        <v>1287</v>
      </c>
      <c r="F26" s="119" t="s">
        <v>1288</v>
      </c>
      <c r="G26" s="126">
        <v>150</v>
      </c>
      <c r="H26" s="132">
        <f>'Additioneel werk'!G6</f>
        <v>0</v>
      </c>
      <c r="I26" s="133">
        <f>'Additioneel werk'!H6</f>
        <v>0</v>
      </c>
      <c r="J26" s="128"/>
      <c r="K26" s="124" t="e">
        <f>IF(ISBLANK(I26),0,G26 / ROUND(I26,4) * ROUND(H26,2))</f>
        <v>#DIV/0!</v>
      </c>
      <c r="L26" s="124" t="e">
        <f>C26*K26</f>
        <v>#DIV/0!</v>
      </c>
      <c r="M26" s="124" t="e">
        <f>L26/12</f>
        <v>#DIV/0!</v>
      </c>
    </row>
    <row r="27" spans="1:13" x14ac:dyDescent="0.2">
      <c r="A27" s="134" t="s">
        <v>1295</v>
      </c>
      <c r="B27" s="73"/>
      <c r="C27" s="73"/>
      <c r="D27" s="73"/>
      <c r="E27" s="73"/>
      <c r="F27" s="73"/>
      <c r="G27" s="73"/>
      <c r="H27" s="73"/>
      <c r="I27" s="73"/>
      <c r="J27" s="73"/>
      <c r="K27" s="75" t="e">
        <f>SUM(K26:K26)</f>
        <v>#DIV/0!</v>
      </c>
      <c r="L27" s="75" t="e">
        <f>SUM(L26:L26)</f>
        <v>#DIV/0!</v>
      </c>
      <c r="M27" s="129" t="e">
        <f>L27/12</f>
        <v>#DIV/0!</v>
      </c>
    </row>
    <row r="29" spans="1:13" x14ac:dyDescent="0.2">
      <c r="A29" s="130" t="s">
        <v>741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131"/>
    </row>
    <row r="30" spans="1:13" x14ac:dyDescent="0.2">
      <c r="A30" s="119" t="s">
        <v>1286</v>
      </c>
      <c r="B30" s="119" t="s">
        <v>31</v>
      </c>
      <c r="C30" s="125">
        <f>IF(ISBLANK(B30),0,IF(ISERROR(VALUE(B30)),VLOOKUP(B30,dagsoorttabel1,2,FALSE)*dagenperjaar1,VALUE(B30)))</f>
        <v>1</v>
      </c>
      <c r="D30" s="119" t="s">
        <v>1193</v>
      </c>
      <c r="E30" s="119" t="s">
        <v>1287</v>
      </c>
      <c r="F30" s="119" t="s">
        <v>1288</v>
      </c>
      <c r="G30" s="126">
        <v>124.7</v>
      </c>
      <c r="H30" s="132">
        <f>'Additioneel werk'!G6</f>
        <v>0</v>
      </c>
      <c r="I30" s="133">
        <f>'Additioneel werk'!H6</f>
        <v>0</v>
      </c>
      <c r="J30" s="128"/>
      <c r="K30" s="124" t="e">
        <f>IF(ISBLANK(I30),0,G30 / ROUND(I30,4) * ROUND(H30,2))</f>
        <v>#DIV/0!</v>
      </c>
      <c r="L30" s="124" t="e">
        <f>C30*K30</f>
        <v>#DIV/0!</v>
      </c>
      <c r="M30" s="124" t="e">
        <f>L30/12</f>
        <v>#DIV/0!</v>
      </c>
    </row>
    <row r="31" spans="1:13" x14ac:dyDescent="0.2">
      <c r="A31" s="134" t="s">
        <v>1296</v>
      </c>
      <c r="B31" s="73"/>
      <c r="C31" s="73"/>
      <c r="D31" s="73"/>
      <c r="E31" s="73"/>
      <c r="F31" s="73"/>
      <c r="G31" s="73"/>
      <c r="H31" s="73"/>
      <c r="I31" s="73"/>
      <c r="J31" s="73"/>
      <c r="K31" s="75" t="e">
        <f>SUM(K30:K30)</f>
        <v>#DIV/0!</v>
      </c>
      <c r="L31" s="75" t="e">
        <f>SUM(L30:L30)</f>
        <v>#DIV/0!</v>
      </c>
      <c r="M31" s="129" t="e">
        <f>L31/12</f>
        <v>#DIV/0!</v>
      </c>
    </row>
    <row r="33" spans="1:13" x14ac:dyDescent="0.2">
      <c r="A33" s="130" t="s">
        <v>756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131"/>
    </row>
    <row r="34" spans="1:13" x14ac:dyDescent="0.2">
      <c r="A34" s="119" t="s">
        <v>1286</v>
      </c>
      <c r="B34" s="119" t="s">
        <v>31</v>
      </c>
      <c r="C34" s="125">
        <f>IF(ISBLANK(B34),0,IF(ISERROR(VALUE(B34)),VLOOKUP(B34,dagsoorttabel1,2,FALSE)*dagenperjaar1,VALUE(B34)))</f>
        <v>1</v>
      </c>
      <c r="D34" s="119" t="s">
        <v>1193</v>
      </c>
      <c r="E34" s="119" t="s">
        <v>1287</v>
      </c>
      <c r="F34" s="119" t="s">
        <v>1288</v>
      </c>
      <c r="G34" s="126">
        <v>327.5</v>
      </c>
      <c r="H34" s="132">
        <f>'Additioneel werk'!G6</f>
        <v>0</v>
      </c>
      <c r="I34" s="133">
        <f>'Additioneel werk'!H6</f>
        <v>0</v>
      </c>
      <c r="J34" s="128"/>
      <c r="K34" s="124" t="e">
        <f>IF(ISBLANK(I34),0,G34 / ROUND(I34,4) * ROUND(H34,2))</f>
        <v>#DIV/0!</v>
      </c>
      <c r="L34" s="124" t="e">
        <f>C34*K34</f>
        <v>#DIV/0!</v>
      </c>
      <c r="M34" s="124" t="e">
        <f>L34/12</f>
        <v>#DIV/0!</v>
      </c>
    </row>
    <row r="35" spans="1:13" x14ac:dyDescent="0.2">
      <c r="A35" s="134" t="s">
        <v>1297</v>
      </c>
      <c r="B35" s="73"/>
      <c r="C35" s="73"/>
      <c r="D35" s="73"/>
      <c r="E35" s="73"/>
      <c r="F35" s="73"/>
      <c r="G35" s="73"/>
      <c r="H35" s="73"/>
      <c r="I35" s="73"/>
      <c r="J35" s="73"/>
      <c r="K35" s="75" t="e">
        <f>SUM(K34:K34)</f>
        <v>#DIV/0!</v>
      </c>
      <c r="L35" s="75" t="e">
        <f>SUM(L34:L34)</f>
        <v>#DIV/0!</v>
      </c>
      <c r="M35" s="129" t="e">
        <f>L35/12</f>
        <v>#DIV/0!</v>
      </c>
    </row>
    <row r="37" spans="1:13" x14ac:dyDescent="0.2">
      <c r="A37" s="130" t="s">
        <v>911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131"/>
    </row>
    <row r="38" spans="1:13" x14ac:dyDescent="0.2">
      <c r="A38" s="119" t="s">
        <v>1286</v>
      </c>
      <c r="B38" s="119" t="s">
        <v>31</v>
      </c>
      <c r="C38" s="125">
        <f>IF(ISBLANK(B38),0,IF(ISERROR(VALUE(B38)),VLOOKUP(B38,dagsoorttabel1,2,FALSE)*dagenperjaar1,VALUE(B38)))</f>
        <v>1</v>
      </c>
      <c r="D38" s="119" t="s">
        <v>1193</v>
      </c>
      <c r="E38" s="119" t="s">
        <v>1287</v>
      </c>
      <c r="F38" s="119" t="s">
        <v>1288</v>
      </c>
      <c r="G38" s="126">
        <v>430.8</v>
      </c>
      <c r="H38" s="132">
        <f>'Additioneel werk'!G6</f>
        <v>0</v>
      </c>
      <c r="I38" s="133">
        <f>'Additioneel werk'!H6</f>
        <v>0</v>
      </c>
      <c r="J38" s="128"/>
      <c r="K38" s="124" t="e">
        <f>IF(ISBLANK(I38),0,G38 / ROUND(I38,4) * ROUND(H38,2))</f>
        <v>#DIV/0!</v>
      </c>
      <c r="L38" s="124" t="e">
        <f>C38*K38</f>
        <v>#DIV/0!</v>
      </c>
      <c r="M38" s="124" t="e">
        <f>L38/12</f>
        <v>#DIV/0!</v>
      </c>
    </row>
    <row r="39" spans="1:13" x14ac:dyDescent="0.2">
      <c r="A39" s="134" t="s">
        <v>1298</v>
      </c>
      <c r="B39" s="73"/>
      <c r="C39" s="73"/>
      <c r="D39" s="73"/>
      <c r="E39" s="73"/>
      <c r="F39" s="73"/>
      <c r="G39" s="73"/>
      <c r="H39" s="73"/>
      <c r="I39" s="73"/>
      <c r="J39" s="73"/>
      <c r="K39" s="75" t="e">
        <f>SUM(K38:K38)</f>
        <v>#DIV/0!</v>
      </c>
      <c r="L39" s="75" t="e">
        <f>SUM(L38:L38)</f>
        <v>#DIV/0!</v>
      </c>
      <c r="M39" s="129" t="e">
        <f>L39/12</f>
        <v>#DIV/0!</v>
      </c>
    </row>
    <row r="41" spans="1:13" x14ac:dyDescent="0.2">
      <c r="A41" s="130" t="s">
        <v>930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131"/>
    </row>
    <row r="42" spans="1:13" x14ac:dyDescent="0.2">
      <c r="A42" s="119" t="s">
        <v>1286</v>
      </c>
      <c r="B42" s="119" t="s">
        <v>31</v>
      </c>
      <c r="C42" s="125">
        <f>IF(ISBLANK(B42),0,IF(ISERROR(VALUE(B42)),VLOOKUP(B42,dagsoorttabel1,2,FALSE)*dagenperjaar1,VALUE(B42)))</f>
        <v>1</v>
      </c>
      <c r="D42" s="119" t="s">
        <v>1193</v>
      </c>
      <c r="E42" s="119" t="s">
        <v>1287</v>
      </c>
      <c r="F42" s="119" t="s">
        <v>1288</v>
      </c>
      <c r="G42" s="126">
        <v>76.900000000000006</v>
      </c>
      <c r="H42" s="132">
        <f>'Additioneel werk'!G6</f>
        <v>0</v>
      </c>
      <c r="I42" s="133">
        <f>'Additioneel werk'!H6</f>
        <v>0</v>
      </c>
      <c r="J42" s="128"/>
      <c r="K42" s="124" t="e">
        <f>IF(ISBLANK(I42),0,G42 / ROUND(I42,4) * ROUND(H42,2))</f>
        <v>#DIV/0!</v>
      </c>
      <c r="L42" s="124" t="e">
        <f>C42*K42</f>
        <v>#DIV/0!</v>
      </c>
      <c r="M42" s="124" t="e">
        <f>L42/12</f>
        <v>#DIV/0!</v>
      </c>
    </row>
    <row r="43" spans="1:13" x14ac:dyDescent="0.2">
      <c r="A43" s="134" t="s">
        <v>1299</v>
      </c>
      <c r="B43" s="73"/>
      <c r="C43" s="73"/>
      <c r="D43" s="73"/>
      <c r="E43" s="73"/>
      <c r="F43" s="73"/>
      <c r="G43" s="73"/>
      <c r="H43" s="73"/>
      <c r="I43" s="73"/>
      <c r="J43" s="73"/>
      <c r="K43" s="75" t="e">
        <f>SUM(K42:K42)</f>
        <v>#DIV/0!</v>
      </c>
      <c r="L43" s="75" t="e">
        <f>SUM(L42:L42)</f>
        <v>#DIV/0!</v>
      </c>
      <c r="M43" s="129" t="e">
        <f>L43/12</f>
        <v>#DIV/0!</v>
      </c>
    </row>
    <row r="45" spans="1:13" x14ac:dyDescent="0.2">
      <c r="A45" s="130" t="s">
        <v>935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131"/>
    </row>
    <row r="46" spans="1:13" x14ac:dyDescent="0.2">
      <c r="A46" s="119" t="s">
        <v>1286</v>
      </c>
      <c r="B46" s="119" t="s">
        <v>31</v>
      </c>
      <c r="C46" s="125">
        <f>IF(ISBLANK(B46),0,IF(ISERROR(VALUE(B46)),VLOOKUP(B46,dagsoorttabel1,2,FALSE)*dagenperjaar1,VALUE(B46)))</f>
        <v>1</v>
      </c>
      <c r="D46" s="119" t="s">
        <v>1193</v>
      </c>
      <c r="E46" s="119" t="s">
        <v>1287</v>
      </c>
      <c r="F46" s="119" t="s">
        <v>1288</v>
      </c>
      <c r="G46" s="126">
        <v>173.95000000000002</v>
      </c>
      <c r="H46" s="132">
        <f>'Additioneel werk'!G6</f>
        <v>0</v>
      </c>
      <c r="I46" s="133">
        <f>'Additioneel werk'!H6</f>
        <v>0</v>
      </c>
      <c r="J46" s="128"/>
      <c r="K46" s="124" t="e">
        <f>IF(ISBLANK(I46),0,G46 / ROUND(I46,4) * ROUND(H46,2))</f>
        <v>#DIV/0!</v>
      </c>
      <c r="L46" s="124" t="e">
        <f>C46*K46</f>
        <v>#DIV/0!</v>
      </c>
      <c r="M46" s="124" t="e">
        <f>L46/12</f>
        <v>#DIV/0!</v>
      </c>
    </row>
    <row r="47" spans="1:13" x14ac:dyDescent="0.2">
      <c r="A47" s="134" t="s">
        <v>1300</v>
      </c>
      <c r="B47" s="73"/>
      <c r="C47" s="73"/>
      <c r="D47" s="73"/>
      <c r="E47" s="73"/>
      <c r="F47" s="73"/>
      <c r="G47" s="73"/>
      <c r="H47" s="73"/>
      <c r="I47" s="73"/>
      <c r="J47" s="73"/>
      <c r="K47" s="75" t="e">
        <f>SUM(K46:K46)</f>
        <v>#DIV/0!</v>
      </c>
      <c r="L47" s="75" t="e">
        <f>SUM(L46:L46)</f>
        <v>#DIV/0!</v>
      </c>
      <c r="M47" s="129" t="e">
        <f>L47/12</f>
        <v>#DIV/0!</v>
      </c>
    </row>
    <row r="49" spans="1:13" x14ac:dyDescent="0.2">
      <c r="A49" s="130" t="s">
        <v>939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131"/>
    </row>
    <row r="50" spans="1:13" x14ac:dyDescent="0.2">
      <c r="A50" s="119" t="s">
        <v>1286</v>
      </c>
      <c r="B50" s="119" t="s">
        <v>31</v>
      </c>
      <c r="C50" s="125">
        <f>IF(ISBLANK(B50),0,IF(ISERROR(VALUE(B50)),VLOOKUP(B50,dagsoorttabel1,2,FALSE)*dagenperjaar1,VALUE(B50)))</f>
        <v>1</v>
      </c>
      <c r="D50" s="119" t="s">
        <v>1193</v>
      </c>
      <c r="E50" s="119" t="s">
        <v>1287</v>
      </c>
      <c r="F50" s="119" t="s">
        <v>1288</v>
      </c>
      <c r="G50" s="126">
        <v>117.42000000000002</v>
      </c>
      <c r="H50" s="132">
        <f>'Additioneel werk'!G6</f>
        <v>0</v>
      </c>
      <c r="I50" s="133">
        <f>'Additioneel werk'!H6</f>
        <v>0</v>
      </c>
      <c r="J50" s="128"/>
      <c r="K50" s="124" t="e">
        <f>IF(ISBLANK(I50),0,G50 / ROUND(I50,4) * ROUND(H50,2))</f>
        <v>#DIV/0!</v>
      </c>
      <c r="L50" s="124" t="e">
        <f>C50*K50</f>
        <v>#DIV/0!</v>
      </c>
      <c r="M50" s="124" t="e">
        <f>L50/12</f>
        <v>#DIV/0!</v>
      </c>
    </row>
    <row r="51" spans="1:13" x14ac:dyDescent="0.2">
      <c r="A51" s="134" t="s">
        <v>1301</v>
      </c>
      <c r="B51" s="73"/>
      <c r="C51" s="73"/>
      <c r="D51" s="73"/>
      <c r="E51" s="73"/>
      <c r="F51" s="73"/>
      <c r="G51" s="73"/>
      <c r="H51" s="73"/>
      <c r="I51" s="73"/>
      <c r="J51" s="73"/>
      <c r="K51" s="75" t="e">
        <f>SUM(K50:K50)</f>
        <v>#DIV/0!</v>
      </c>
      <c r="L51" s="75" t="e">
        <f>SUM(L50:L50)</f>
        <v>#DIV/0!</v>
      </c>
      <c r="M51" s="129" t="e">
        <f>L51/12</f>
        <v>#DIV/0!</v>
      </c>
    </row>
  </sheetData>
  <sheetProtection algorithmName="SHA-512" hashValue="2KCAoO5Lh9smnEKWmF9VvMiMqFE2C1AU66yL5ymdiHnFgzTV9LgJyCdWqIC0FAcUNNDwC0iVjAqWeGBPEay4eg==" saltValue="l5wlNPl+1te5J+fcx7v8gA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5A13E-BDC6-4EC9-9D21-6A5F138E8341}">
  <dimension ref="A1:L18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F.1.9: ",tabeltype," afroep")</f>
        <v>Bijlage F.1.9: Invultabel afroep</v>
      </c>
    </row>
    <row r="3" spans="1:12" ht="37.799999999999997" x14ac:dyDescent="0.2">
      <c r="A3" s="40" t="s">
        <v>1279</v>
      </c>
      <c r="B3" s="40" t="s">
        <v>7</v>
      </c>
      <c r="C3" s="40" t="s">
        <v>1280</v>
      </c>
      <c r="D3" s="40" t="s">
        <v>97</v>
      </c>
      <c r="E3" s="40" t="s">
        <v>100</v>
      </c>
      <c r="F3" s="40" t="s">
        <v>1281</v>
      </c>
      <c r="G3" s="40" t="s">
        <v>1282</v>
      </c>
      <c r="H3" s="40" t="s">
        <v>1283</v>
      </c>
      <c r="I3" s="40" t="s">
        <v>1284</v>
      </c>
      <c r="J3" s="40" t="s">
        <v>1285</v>
      </c>
      <c r="K3" s="40" t="s">
        <v>253</v>
      </c>
      <c r="L3" s="40" t="s">
        <v>1207</v>
      </c>
    </row>
    <row r="4" spans="1:12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">
      <c r="A5" s="44" t="s">
        <v>102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1:12" x14ac:dyDescent="0.2">
      <c r="A6" s="47" t="s">
        <v>1302</v>
      </c>
      <c r="B6" s="47" t="s">
        <v>24</v>
      </c>
      <c r="C6" s="48">
        <f>IF(ISBLANK(B6),0,IF(ISERROR(VALUE(B6)),VLOOKUP(B6,dagsoorttabel1,2,FALSE)*dagenperjaar1,VALUE(B6)))</f>
        <v>12</v>
      </c>
      <c r="D6" s="47" t="s">
        <v>1303</v>
      </c>
      <c r="E6" s="47" t="s">
        <v>1304</v>
      </c>
      <c r="F6" s="135">
        <v>20</v>
      </c>
      <c r="G6" s="136"/>
      <c r="H6" s="137"/>
      <c r="I6" s="136"/>
      <c r="J6" s="51">
        <f>IF(ISBLANK(F6),0,F6)*ROUND(I6,2)</f>
        <v>0</v>
      </c>
      <c r="K6" s="51">
        <f>C6*J6</f>
        <v>0</v>
      </c>
      <c r="L6" s="51">
        <f>K6/12</f>
        <v>0</v>
      </c>
    </row>
    <row r="7" spans="1:12" x14ac:dyDescent="0.2">
      <c r="A7" s="52" t="s">
        <v>1305</v>
      </c>
      <c r="B7" s="52" t="s">
        <v>24</v>
      </c>
      <c r="C7" s="53">
        <f>IF(ISBLANK(B7),0,IF(ISERROR(VALUE(B7)),VLOOKUP(B7,dagsoorttabel1,2,FALSE)*dagenperjaar1,VALUE(B7)))</f>
        <v>12</v>
      </c>
      <c r="D7" s="52" t="s">
        <v>1306</v>
      </c>
      <c r="E7" s="52" t="s">
        <v>1304</v>
      </c>
      <c r="F7" s="138">
        <v>10</v>
      </c>
      <c r="G7" s="139"/>
      <c r="H7" s="140"/>
      <c r="I7" s="139"/>
      <c r="J7" s="56">
        <f>IF(ISBLANK(F7),0,F7)*ROUND(I7,2)</f>
        <v>0</v>
      </c>
      <c r="K7" s="56">
        <f>C7*J7</f>
        <v>0</v>
      </c>
      <c r="L7" s="56">
        <f>K7/12</f>
        <v>0</v>
      </c>
    </row>
    <row r="8" spans="1:12" x14ac:dyDescent="0.2">
      <c r="A8" s="52" t="s">
        <v>1307</v>
      </c>
      <c r="B8" s="52" t="s">
        <v>24</v>
      </c>
      <c r="C8" s="53">
        <f>IF(ISBLANK(B8),0,IF(ISERROR(VALUE(B8)),VLOOKUP(B8,dagsoorttabel1,2,FALSE)*dagenperjaar1,VALUE(B8)))</f>
        <v>12</v>
      </c>
      <c r="D8" s="52" t="s">
        <v>1308</v>
      </c>
      <c r="E8" s="52" t="s">
        <v>1304</v>
      </c>
      <c r="F8" s="138">
        <v>4</v>
      </c>
      <c r="G8" s="139"/>
      <c r="H8" s="140"/>
      <c r="I8" s="139"/>
      <c r="J8" s="56">
        <f>IF(ISBLANK(F8),0,F8)*ROUND(I8,2)</f>
        <v>0</v>
      </c>
      <c r="K8" s="56">
        <f>C8*J8</f>
        <v>0</v>
      </c>
      <c r="L8" s="56">
        <f>K8/12</f>
        <v>0</v>
      </c>
    </row>
    <row r="9" spans="1:12" x14ac:dyDescent="0.2">
      <c r="A9" s="57" t="s">
        <v>1309</v>
      </c>
      <c r="B9" s="57" t="s">
        <v>24</v>
      </c>
      <c r="C9" s="58">
        <f>IF(ISBLANK(B9),0,IF(ISERROR(VALUE(B9)),VLOOKUP(B9,dagsoorttabel1,2,FALSE)*dagenperjaar1,VALUE(B9)))</f>
        <v>12</v>
      </c>
      <c r="D9" s="57" t="s">
        <v>1310</v>
      </c>
      <c r="E9" s="57" t="s">
        <v>1304</v>
      </c>
      <c r="F9" s="141">
        <v>5</v>
      </c>
      <c r="G9" s="142"/>
      <c r="H9" s="143"/>
      <c r="I9" s="142"/>
      <c r="J9" s="61">
        <f>IF(ISBLANK(F9),0,F9)*ROUND(I9,2)</f>
        <v>0</v>
      </c>
      <c r="K9" s="61">
        <f>C9*J9</f>
        <v>0</v>
      </c>
      <c r="L9" s="61">
        <f>K9/12</f>
        <v>0</v>
      </c>
    </row>
    <row r="10" spans="1:12" x14ac:dyDescent="0.2">
      <c r="A10" s="72" t="s">
        <v>360</v>
      </c>
      <c r="B10" s="73"/>
      <c r="C10" s="73"/>
      <c r="D10" s="73"/>
      <c r="E10" s="73"/>
      <c r="F10" s="73"/>
      <c r="G10" s="73"/>
      <c r="H10" s="73"/>
      <c r="I10" s="73"/>
      <c r="J10" s="73"/>
      <c r="K10" s="75">
        <f>SUM(K6:K9)</f>
        <v>0</v>
      </c>
      <c r="L10" s="129">
        <f>K10/12</f>
        <v>0</v>
      </c>
    </row>
    <row r="11" spans="1:12" x14ac:dyDescent="0.2">
      <c r="A11" s="41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3"/>
    </row>
    <row r="12" spans="1:12" x14ac:dyDescent="0.2">
      <c r="A12" s="44" t="s">
        <v>231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6"/>
    </row>
    <row r="13" spans="1:12" x14ac:dyDescent="0.2">
      <c r="A13" s="47" t="s">
        <v>1311</v>
      </c>
      <c r="B13" s="47" t="s">
        <v>24</v>
      </c>
      <c r="C13" s="48">
        <f>IF(ISBLANK(B13),0,IF(ISERROR(VALUE(B13)),VLOOKUP(B13,dagsoorttabel3,2,FALSE)*dagenperjaar3,VALUE(B13)))</f>
        <v>12</v>
      </c>
      <c r="D13" s="47" t="s">
        <v>1303</v>
      </c>
      <c r="E13" s="47" t="s">
        <v>1304</v>
      </c>
      <c r="F13" s="135">
        <v>110</v>
      </c>
      <c r="G13" s="136"/>
      <c r="H13" s="137"/>
      <c r="I13" s="136"/>
      <c r="J13" s="51">
        <f>IF(ISBLANK(F13),0,F13)*ROUND(I13,2)</f>
        <v>0</v>
      </c>
      <c r="K13" s="51">
        <f>C13*J13</f>
        <v>0</v>
      </c>
      <c r="L13" s="51">
        <f>K13/12</f>
        <v>0</v>
      </c>
    </row>
    <row r="14" spans="1:12" x14ac:dyDescent="0.2">
      <c r="A14" s="52" t="s">
        <v>1312</v>
      </c>
      <c r="B14" s="52" t="s">
        <v>24</v>
      </c>
      <c r="C14" s="53">
        <f>IF(ISBLANK(B14),0,IF(ISERROR(VALUE(B14)),VLOOKUP(B14,dagsoorttabel3,2,FALSE)*dagenperjaar3,VALUE(B14)))</f>
        <v>12</v>
      </c>
      <c r="D14" s="52" t="s">
        <v>1306</v>
      </c>
      <c r="E14" s="52" t="s">
        <v>1304</v>
      </c>
      <c r="F14" s="138">
        <v>40</v>
      </c>
      <c r="G14" s="139"/>
      <c r="H14" s="140"/>
      <c r="I14" s="139"/>
      <c r="J14" s="56">
        <f>IF(ISBLANK(F14),0,F14)*ROUND(I14,2)</f>
        <v>0</v>
      </c>
      <c r="K14" s="56">
        <f>C14*J14</f>
        <v>0</v>
      </c>
      <c r="L14" s="56">
        <f>K14/12</f>
        <v>0</v>
      </c>
    </row>
    <row r="15" spans="1:12" x14ac:dyDescent="0.2">
      <c r="A15" s="57" t="s">
        <v>1313</v>
      </c>
      <c r="B15" s="57" t="s">
        <v>24</v>
      </c>
      <c r="C15" s="58">
        <f>IF(ISBLANK(B15),0,IF(ISERROR(VALUE(B15)),VLOOKUP(B15,dagsoorttabel3,2,FALSE)*dagenperjaar3,VALUE(B15)))</f>
        <v>12</v>
      </c>
      <c r="D15" s="57" t="s">
        <v>1308</v>
      </c>
      <c r="E15" s="57" t="s">
        <v>1304</v>
      </c>
      <c r="F15" s="141">
        <v>4</v>
      </c>
      <c r="G15" s="142"/>
      <c r="H15" s="143"/>
      <c r="I15" s="142"/>
      <c r="J15" s="61">
        <f>IF(ISBLANK(F15),0,F15)*ROUND(I15,2)</f>
        <v>0</v>
      </c>
      <c r="K15" s="61">
        <f>C15*J15</f>
        <v>0</v>
      </c>
      <c r="L15" s="61">
        <f>K15/12</f>
        <v>0</v>
      </c>
    </row>
    <row r="16" spans="1:12" x14ac:dyDescent="0.2">
      <c r="A16" s="72" t="s">
        <v>379</v>
      </c>
      <c r="B16" s="73"/>
      <c r="C16" s="73"/>
      <c r="D16" s="73"/>
      <c r="E16" s="73"/>
      <c r="F16" s="73"/>
      <c r="G16" s="73"/>
      <c r="H16" s="73"/>
      <c r="I16" s="73"/>
      <c r="J16" s="73"/>
      <c r="K16" s="75">
        <f>SUM(K13:K15)</f>
        <v>0</v>
      </c>
      <c r="L16" s="129">
        <f>K16/12</f>
        <v>0</v>
      </c>
    </row>
    <row r="18" spans="1:12" x14ac:dyDescent="0.2">
      <c r="A18" s="72" t="s">
        <v>1314</v>
      </c>
      <c r="B18" s="73"/>
      <c r="C18" s="73"/>
      <c r="D18" s="73"/>
      <c r="E18" s="73"/>
      <c r="F18" s="73"/>
      <c r="G18" s="73"/>
      <c r="H18" s="73"/>
      <c r="I18" s="73"/>
      <c r="J18" s="73"/>
      <c r="K18" s="75">
        <f>prijsjaarafroep1+prijsjaarafroep3</f>
        <v>0</v>
      </c>
      <c r="L18" s="129">
        <f>K18/12</f>
        <v>0</v>
      </c>
    </row>
  </sheetData>
  <sheetProtection algorithmName="SHA-512" hashValue="ApeO5TtzkovU8rH/2m+v4Borxilzdt0hi1DroYVZhuKvOmWtcvUMoO7WO51KonggZwW23VD0bfGzaIoVMnnQ6w==" saltValue="Fu8qAmmGsKnzmQTSvwg1DA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1D1E-1951-4DDF-B235-A2C842B846F0}">
  <dimension ref="A1:E94"/>
  <sheetViews>
    <sheetView workbookViewId="0"/>
  </sheetViews>
  <sheetFormatPr defaultRowHeight="12.6" x14ac:dyDescent="0.2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2">
      <c r="A1" s="1" t="str">
        <f>CONCATENATE("Bijlage F.1.10: ",tabeltype," afroep incidenteel")</f>
        <v>Bijlage F.1.10: Invultabel afroep incidenteel</v>
      </c>
    </row>
    <row r="3" spans="1:5" ht="37.799999999999997" x14ac:dyDescent="0.2">
      <c r="A3" s="40" t="s">
        <v>1279</v>
      </c>
      <c r="B3" s="40" t="s">
        <v>97</v>
      </c>
      <c r="C3" s="40" t="s">
        <v>100</v>
      </c>
      <c r="D3" s="40" t="s">
        <v>1315</v>
      </c>
      <c r="E3" s="40" t="s">
        <v>1284</v>
      </c>
    </row>
    <row r="4" spans="1:5" x14ac:dyDescent="0.2">
      <c r="A4" s="41"/>
      <c r="B4" s="42"/>
      <c r="C4" s="42"/>
      <c r="D4" s="42"/>
      <c r="E4" s="43"/>
    </row>
    <row r="5" spans="1:5" x14ac:dyDescent="0.2">
      <c r="A5" s="44" t="s">
        <v>102</v>
      </c>
      <c r="B5" s="45"/>
      <c r="C5" s="45"/>
      <c r="D5" s="45"/>
      <c r="E5" s="46"/>
    </row>
    <row r="6" spans="1:5" x14ac:dyDescent="0.2">
      <c r="A6" s="47" t="s">
        <v>1316</v>
      </c>
      <c r="B6" s="47" t="s">
        <v>1317</v>
      </c>
      <c r="C6" s="47" t="s">
        <v>1318</v>
      </c>
      <c r="D6" s="47" t="s">
        <v>1319</v>
      </c>
      <c r="E6" s="136"/>
    </row>
    <row r="7" spans="1:5" x14ac:dyDescent="0.2">
      <c r="A7" s="52" t="s">
        <v>1320</v>
      </c>
      <c r="B7" s="52" t="s">
        <v>1317</v>
      </c>
      <c r="C7" s="52" t="s">
        <v>1318</v>
      </c>
      <c r="D7" s="52" t="s">
        <v>1321</v>
      </c>
      <c r="E7" s="139"/>
    </row>
    <row r="8" spans="1:5" x14ac:dyDescent="0.2">
      <c r="A8" s="52" t="s">
        <v>1322</v>
      </c>
      <c r="B8" s="52" t="s">
        <v>1317</v>
      </c>
      <c r="C8" s="52" t="s">
        <v>1318</v>
      </c>
      <c r="D8" s="52" t="s">
        <v>1323</v>
      </c>
      <c r="E8" s="139"/>
    </row>
    <row r="9" spans="1:5" x14ac:dyDescent="0.2">
      <c r="A9" s="52" t="s">
        <v>1324</v>
      </c>
      <c r="B9" s="52" t="s">
        <v>1317</v>
      </c>
      <c r="C9" s="52" t="s">
        <v>1318</v>
      </c>
      <c r="D9" s="52" t="s">
        <v>1325</v>
      </c>
      <c r="E9" s="139"/>
    </row>
    <row r="10" spans="1:5" x14ac:dyDescent="0.2">
      <c r="A10" s="52" t="s">
        <v>1326</v>
      </c>
      <c r="B10" s="52" t="s">
        <v>1327</v>
      </c>
      <c r="C10" s="52" t="s">
        <v>1318</v>
      </c>
      <c r="D10" s="52" t="s">
        <v>1319</v>
      </c>
      <c r="E10" s="139"/>
    </row>
    <row r="11" spans="1:5" x14ac:dyDescent="0.2">
      <c r="A11" s="52" t="s">
        <v>1328</v>
      </c>
      <c r="B11" s="52" t="s">
        <v>1327</v>
      </c>
      <c r="C11" s="52" t="s">
        <v>1318</v>
      </c>
      <c r="D11" s="52" t="s">
        <v>1321</v>
      </c>
      <c r="E11" s="139"/>
    </row>
    <row r="12" spans="1:5" x14ac:dyDescent="0.2">
      <c r="A12" s="52" t="s">
        <v>1329</v>
      </c>
      <c r="B12" s="52" t="s">
        <v>1327</v>
      </c>
      <c r="C12" s="52" t="s">
        <v>1318</v>
      </c>
      <c r="D12" s="52" t="s">
        <v>1323</v>
      </c>
      <c r="E12" s="139"/>
    </row>
    <row r="13" spans="1:5" x14ac:dyDescent="0.2">
      <c r="A13" s="52" t="s">
        <v>1330</v>
      </c>
      <c r="B13" s="52" t="s">
        <v>1327</v>
      </c>
      <c r="C13" s="52" t="s">
        <v>1318</v>
      </c>
      <c r="D13" s="52" t="s">
        <v>1325</v>
      </c>
      <c r="E13" s="139"/>
    </row>
    <row r="14" spans="1:5" x14ac:dyDescent="0.2">
      <c r="A14" s="52" t="s">
        <v>1331</v>
      </c>
      <c r="B14" s="52" t="s">
        <v>1332</v>
      </c>
      <c r="C14" s="52" t="s">
        <v>1318</v>
      </c>
      <c r="D14" s="52" t="s">
        <v>1319</v>
      </c>
      <c r="E14" s="139"/>
    </row>
    <row r="15" spans="1:5" x14ac:dyDescent="0.2">
      <c r="A15" s="52" t="s">
        <v>1333</v>
      </c>
      <c r="B15" s="52" t="s">
        <v>1332</v>
      </c>
      <c r="C15" s="52" t="s">
        <v>1318</v>
      </c>
      <c r="D15" s="52" t="s">
        <v>1321</v>
      </c>
      <c r="E15" s="139"/>
    </row>
    <row r="16" spans="1:5" x14ac:dyDescent="0.2">
      <c r="A16" s="52" t="s">
        <v>1334</v>
      </c>
      <c r="B16" s="52" t="s">
        <v>1332</v>
      </c>
      <c r="C16" s="52" t="s">
        <v>1318</v>
      </c>
      <c r="D16" s="52" t="s">
        <v>1323</v>
      </c>
      <c r="E16" s="139"/>
    </row>
    <row r="17" spans="1:5" x14ac:dyDescent="0.2">
      <c r="A17" s="52" t="s">
        <v>1335</v>
      </c>
      <c r="B17" s="52" t="s">
        <v>1332</v>
      </c>
      <c r="C17" s="52" t="s">
        <v>1318</v>
      </c>
      <c r="D17" s="52" t="s">
        <v>1325</v>
      </c>
      <c r="E17" s="139"/>
    </row>
    <row r="18" spans="1:5" x14ac:dyDescent="0.2">
      <c r="A18" s="52" t="s">
        <v>1336</v>
      </c>
      <c r="B18" s="52" t="s">
        <v>1337</v>
      </c>
      <c r="C18" s="52" t="s">
        <v>1318</v>
      </c>
      <c r="D18" s="52" t="s">
        <v>1319</v>
      </c>
      <c r="E18" s="139"/>
    </row>
    <row r="19" spans="1:5" x14ac:dyDescent="0.2">
      <c r="A19" s="52" t="s">
        <v>1338</v>
      </c>
      <c r="B19" s="52" t="s">
        <v>1337</v>
      </c>
      <c r="C19" s="52" t="s">
        <v>1318</v>
      </c>
      <c r="D19" s="52" t="s">
        <v>1321</v>
      </c>
      <c r="E19" s="139"/>
    </row>
    <row r="20" spans="1:5" x14ac:dyDescent="0.2">
      <c r="A20" s="52" t="s">
        <v>1339</v>
      </c>
      <c r="B20" s="52" t="s">
        <v>1337</v>
      </c>
      <c r="C20" s="52" t="s">
        <v>1318</v>
      </c>
      <c r="D20" s="52" t="s">
        <v>1323</v>
      </c>
      <c r="E20" s="139"/>
    </row>
    <row r="21" spans="1:5" x14ac:dyDescent="0.2">
      <c r="A21" s="52" t="s">
        <v>1340</v>
      </c>
      <c r="B21" s="52" t="s">
        <v>1337</v>
      </c>
      <c r="C21" s="52" t="s">
        <v>1318</v>
      </c>
      <c r="D21" s="52" t="s">
        <v>1325</v>
      </c>
      <c r="E21" s="139"/>
    </row>
    <row r="22" spans="1:5" x14ac:dyDescent="0.2">
      <c r="A22" s="52" t="s">
        <v>1341</v>
      </c>
      <c r="B22" s="52" t="s">
        <v>1342</v>
      </c>
      <c r="C22" s="52" t="s">
        <v>1343</v>
      </c>
      <c r="D22" s="52" t="s">
        <v>1344</v>
      </c>
      <c r="E22" s="139"/>
    </row>
    <row r="23" spans="1:5" x14ac:dyDescent="0.2">
      <c r="A23" s="52" t="s">
        <v>1345</v>
      </c>
      <c r="B23" s="52" t="s">
        <v>1342</v>
      </c>
      <c r="C23" s="52" t="s">
        <v>1343</v>
      </c>
      <c r="D23" s="52" t="s">
        <v>1346</v>
      </c>
      <c r="E23" s="139"/>
    </row>
    <row r="24" spans="1:5" x14ac:dyDescent="0.2">
      <c r="A24" s="52" t="s">
        <v>1347</v>
      </c>
      <c r="B24" s="52" t="s">
        <v>1342</v>
      </c>
      <c r="C24" s="52" t="s">
        <v>1343</v>
      </c>
      <c r="D24" s="52" t="s">
        <v>1348</v>
      </c>
      <c r="E24" s="139"/>
    </row>
    <row r="25" spans="1:5" x14ac:dyDescent="0.2">
      <c r="A25" s="52" t="s">
        <v>1349</v>
      </c>
      <c r="B25" s="52" t="s">
        <v>1342</v>
      </c>
      <c r="C25" s="52" t="s">
        <v>1343</v>
      </c>
      <c r="D25" s="52" t="s">
        <v>1350</v>
      </c>
      <c r="E25" s="139"/>
    </row>
    <row r="26" spans="1:5" x14ac:dyDescent="0.2">
      <c r="A26" s="52" t="s">
        <v>1351</v>
      </c>
      <c r="B26" s="52" t="s">
        <v>1352</v>
      </c>
      <c r="C26" s="52" t="s">
        <v>1343</v>
      </c>
      <c r="D26" s="52" t="s">
        <v>1344</v>
      </c>
      <c r="E26" s="139"/>
    </row>
    <row r="27" spans="1:5" x14ac:dyDescent="0.2">
      <c r="A27" s="52" t="s">
        <v>1353</v>
      </c>
      <c r="B27" s="52" t="s">
        <v>1352</v>
      </c>
      <c r="C27" s="52" t="s">
        <v>1343</v>
      </c>
      <c r="D27" s="52" t="s">
        <v>1346</v>
      </c>
      <c r="E27" s="139"/>
    </row>
    <row r="28" spans="1:5" x14ac:dyDescent="0.2">
      <c r="A28" s="52" t="s">
        <v>1354</v>
      </c>
      <c r="B28" s="52" t="s">
        <v>1352</v>
      </c>
      <c r="C28" s="52" t="s">
        <v>1343</v>
      </c>
      <c r="D28" s="52" t="s">
        <v>1348</v>
      </c>
      <c r="E28" s="139"/>
    </row>
    <row r="29" spans="1:5" x14ac:dyDescent="0.2">
      <c r="A29" s="52" t="s">
        <v>1355</v>
      </c>
      <c r="B29" s="52" t="s">
        <v>1352</v>
      </c>
      <c r="C29" s="52" t="s">
        <v>1343</v>
      </c>
      <c r="D29" s="52" t="s">
        <v>1350</v>
      </c>
      <c r="E29" s="139"/>
    </row>
    <row r="30" spans="1:5" x14ac:dyDescent="0.2">
      <c r="A30" s="52" t="s">
        <v>1356</v>
      </c>
      <c r="B30" s="52" t="s">
        <v>1357</v>
      </c>
      <c r="C30" s="52" t="s">
        <v>1343</v>
      </c>
      <c r="D30" s="52" t="s">
        <v>1344</v>
      </c>
      <c r="E30" s="139"/>
    </row>
    <row r="31" spans="1:5" x14ac:dyDescent="0.2">
      <c r="A31" s="52" t="s">
        <v>1358</v>
      </c>
      <c r="B31" s="52" t="s">
        <v>1357</v>
      </c>
      <c r="C31" s="52" t="s">
        <v>1343</v>
      </c>
      <c r="D31" s="52" t="s">
        <v>1346</v>
      </c>
      <c r="E31" s="139"/>
    </row>
    <row r="32" spans="1:5" x14ac:dyDescent="0.2">
      <c r="A32" s="52" t="s">
        <v>1359</v>
      </c>
      <c r="B32" s="52" t="s">
        <v>1357</v>
      </c>
      <c r="C32" s="52" t="s">
        <v>1343</v>
      </c>
      <c r="D32" s="52" t="s">
        <v>1348</v>
      </c>
      <c r="E32" s="139"/>
    </row>
    <row r="33" spans="1:5" x14ac:dyDescent="0.2">
      <c r="A33" s="52" t="s">
        <v>1360</v>
      </c>
      <c r="B33" s="52" t="s">
        <v>1357</v>
      </c>
      <c r="C33" s="52" t="s">
        <v>1343</v>
      </c>
      <c r="D33" s="52" t="s">
        <v>1350</v>
      </c>
      <c r="E33" s="139"/>
    </row>
    <row r="34" spans="1:5" x14ac:dyDescent="0.2">
      <c r="A34" s="52" t="s">
        <v>1361</v>
      </c>
      <c r="B34" s="52" t="s">
        <v>1362</v>
      </c>
      <c r="C34" s="52" t="s">
        <v>1343</v>
      </c>
      <c r="D34" s="52" t="s">
        <v>1344</v>
      </c>
      <c r="E34" s="139"/>
    </row>
    <row r="35" spans="1:5" x14ac:dyDescent="0.2">
      <c r="A35" s="52" t="s">
        <v>1363</v>
      </c>
      <c r="B35" s="52" t="s">
        <v>1362</v>
      </c>
      <c r="C35" s="52" t="s">
        <v>1343</v>
      </c>
      <c r="D35" s="52" t="s">
        <v>1346</v>
      </c>
      <c r="E35" s="139"/>
    </row>
    <row r="36" spans="1:5" x14ac:dyDescent="0.2">
      <c r="A36" s="52" t="s">
        <v>1364</v>
      </c>
      <c r="B36" s="52" t="s">
        <v>1362</v>
      </c>
      <c r="C36" s="52" t="s">
        <v>1343</v>
      </c>
      <c r="D36" s="52" t="s">
        <v>1348</v>
      </c>
      <c r="E36" s="139"/>
    </row>
    <row r="37" spans="1:5" x14ac:dyDescent="0.2">
      <c r="A37" s="52" t="s">
        <v>1365</v>
      </c>
      <c r="B37" s="52" t="s">
        <v>1362</v>
      </c>
      <c r="C37" s="52" t="s">
        <v>1343</v>
      </c>
      <c r="D37" s="52" t="s">
        <v>1350</v>
      </c>
      <c r="E37" s="139"/>
    </row>
    <row r="38" spans="1:5" x14ac:dyDescent="0.2">
      <c r="A38" s="52" t="s">
        <v>1366</v>
      </c>
      <c r="B38" s="52" t="s">
        <v>1367</v>
      </c>
      <c r="C38" s="52" t="s">
        <v>1343</v>
      </c>
      <c r="D38" s="52" t="s">
        <v>1344</v>
      </c>
      <c r="E38" s="139"/>
    </row>
    <row r="39" spans="1:5" x14ac:dyDescent="0.2">
      <c r="A39" s="52" t="s">
        <v>1368</v>
      </c>
      <c r="B39" s="52" t="s">
        <v>1367</v>
      </c>
      <c r="C39" s="52" t="s">
        <v>1343</v>
      </c>
      <c r="D39" s="52" t="s">
        <v>1346</v>
      </c>
      <c r="E39" s="139"/>
    </row>
    <row r="40" spans="1:5" x14ac:dyDescent="0.2">
      <c r="A40" s="52" t="s">
        <v>1369</v>
      </c>
      <c r="B40" s="52" t="s">
        <v>1367</v>
      </c>
      <c r="C40" s="52" t="s">
        <v>1343</v>
      </c>
      <c r="D40" s="52" t="s">
        <v>1348</v>
      </c>
      <c r="E40" s="139"/>
    </row>
    <row r="41" spans="1:5" x14ac:dyDescent="0.2">
      <c r="A41" s="52" t="s">
        <v>1370</v>
      </c>
      <c r="B41" s="52" t="s">
        <v>1367</v>
      </c>
      <c r="C41" s="52" t="s">
        <v>1343</v>
      </c>
      <c r="D41" s="52" t="s">
        <v>1350</v>
      </c>
      <c r="E41" s="139"/>
    </row>
    <row r="42" spans="1:5" x14ac:dyDescent="0.2">
      <c r="A42" s="52" t="s">
        <v>1371</v>
      </c>
      <c r="B42" s="52" t="s">
        <v>1372</v>
      </c>
      <c r="C42" s="52" t="s">
        <v>1343</v>
      </c>
      <c r="D42" s="52" t="s">
        <v>1344</v>
      </c>
      <c r="E42" s="139"/>
    </row>
    <row r="43" spans="1:5" x14ac:dyDescent="0.2">
      <c r="A43" s="52" t="s">
        <v>1373</v>
      </c>
      <c r="B43" s="52" t="s">
        <v>1372</v>
      </c>
      <c r="C43" s="52" t="s">
        <v>1343</v>
      </c>
      <c r="D43" s="52" t="s">
        <v>1346</v>
      </c>
      <c r="E43" s="139"/>
    </row>
    <row r="44" spans="1:5" x14ac:dyDescent="0.2">
      <c r="A44" s="52" t="s">
        <v>1374</v>
      </c>
      <c r="B44" s="52" t="s">
        <v>1372</v>
      </c>
      <c r="C44" s="52" t="s">
        <v>1343</v>
      </c>
      <c r="D44" s="52" t="s">
        <v>1348</v>
      </c>
      <c r="E44" s="139"/>
    </row>
    <row r="45" spans="1:5" x14ac:dyDescent="0.2">
      <c r="A45" s="52" t="s">
        <v>1375</v>
      </c>
      <c r="B45" s="52" t="s">
        <v>1372</v>
      </c>
      <c r="C45" s="52" t="s">
        <v>1343</v>
      </c>
      <c r="D45" s="52" t="s">
        <v>1350</v>
      </c>
      <c r="E45" s="139"/>
    </row>
    <row r="46" spans="1:5" x14ac:dyDescent="0.2">
      <c r="A46" s="52" t="s">
        <v>1376</v>
      </c>
      <c r="B46" s="52" t="s">
        <v>1377</v>
      </c>
      <c r="C46" s="52" t="s">
        <v>1343</v>
      </c>
      <c r="D46" s="52" t="s">
        <v>1344</v>
      </c>
      <c r="E46" s="139"/>
    </row>
    <row r="47" spans="1:5" x14ac:dyDescent="0.2">
      <c r="A47" s="52" t="s">
        <v>1378</v>
      </c>
      <c r="B47" s="52" t="s">
        <v>1377</v>
      </c>
      <c r="C47" s="52" t="s">
        <v>1343</v>
      </c>
      <c r="D47" s="52" t="s">
        <v>1346</v>
      </c>
      <c r="E47" s="139"/>
    </row>
    <row r="48" spans="1:5" x14ac:dyDescent="0.2">
      <c r="A48" s="52" t="s">
        <v>1379</v>
      </c>
      <c r="B48" s="52" t="s">
        <v>1377</v>
      </c>
      <c r="C48" s="52" t="s">
        <v>1343</v>
      </c>
      <c r="D48" s="52" t="s">
        <v>1348</v>
      </c>
      <c r="E48" s="139"/>
    </row>
    <row r="49" spans="1:5" x14ac:dyDescent="0.2">
      <c r="A49" s="52" t="s">
        <v>1380</v>
      </c>
      <c r="B49" s="52" t="s">
        <v>1377</v>
      </c>
      <c r="C49" s="52" t="s">
        <v>1343</v>
      </c>
      <c r="D49" s="52" t="s">
        <v>1350</v>
      </c>
      <c r="E49" s="139"/>
    </row>
    <row r="50" spans="1:5" x14ac:dyDescent="0.2">
      <c r="A50" s="52" t="s">
        <v>1381</v>
      </c>
      <c r="B50" s="52" t="s">
        <v>1382</v>
      </c>
      <c r="C50" s="52" t="s">
        <v>1343</v>
      </c>
      <c r="D50" s="52" t="s">
        <v>47</v>
      </c>
      <c r="E50" s="139"/>
    </row>
    <row r="51" spans="1:5" x14ac:dyDescent="0.2">
      <c r="A51" s="52" t="s">
        <v>1383</v>
      </c>
      <c r="B51" s="52" t="s">
        <v>1384</v>
      </c>
      <c r="C51" s="52" t="s">
        <v>1304</v>
      </c>
      <c r="D51" s="52" t="s">
        <v>47</v>
      </c>
      <c r="E51" s="139"/>
    </row>
    <row r="52" spans="1:5" x14ac:dyDescent="0.2">
      <c r="A52" s="52" t="s">
        <v>1385</v>
      </c>
      <c r="B52" s="52" t="s">
        <v>1386</v>
      </c>
      <c r="C52" s="52" t="s">
        <v>1343</v>
      </c>
      <c r="D52" s="52" t="s">
        <v>1387</v>
      </c>
      <c r="E52" s="139"/>
    </row>
    <row r="53" spans="1:5" x14ac:dyDescent="0.2">
      <c r="A53" s="52" t="s">
        <v>1388</v>
      </c>
      <c r="B53" s="52" t="s">
        <v>1386</v>
      </c>
      <c r="C53" s="52" t="s">
        <v>1343</v>
      </c>
      <c r="D53" s="52" t="s">
        <v>1389</v>
      </c>
      <c r="E53" s="139"/>
    </row>
    <row r="54" spans="1:5" x14ac:dyDescent="0.2">
      <c r="A54" s="52" t="s">
        <v>1390</v>
      </c>
      <c r="B54" s="52" t="s">
        <v>1386</v>
      </c>
      <c r="C54" s="52" t="s">
        <v>1343</v>
      </c>
      <c r="D54" s="52" t="s">
        <v>1391</v>
      </c>
      <c r="E54" s="139"/>
    </row>
    <row r="55" spans="1:5" x14ac:dyDescent="0.2">
      <c r="A55" s="52" t="s">
        <v>1392</v>
      </c>
      <c r="B55" s="52" t="s">
        <v>1386</v>
      </c>
      <c r="C55" s="52" t="s">
        <v>1343</v>
      </c>
      <c r="D55" s="52" t="s">
        <v>1393</v>
      </c>
      <c r="E55" s="139"/>
    </row>
    <row r="56" spans="1:5" x14ac:dyDescent="0.2">
      <c r="A56" s="52" t="s">
        <v>1394</v>
      </c>
      <c r="B56" s="52" t="s">
        <v>1395</v>
      </c>
      <c r="C56" s="52" t="s">
        <v>1343</v>
      </c>
      <c r="D56" s="52" t="s">
        <v>1387</v>
      </c>
      <c r="E56" s="139"/>
    </row>
    <row r="57" spans="1:5" x14ac:dyDescent="0.2">
      <c r="A57" s="52" t="s">
        <v>1396</v>
      </c>
      <c r="B57" s="52" t="s">
        <v>1395</v>
      </c>
      <c r="C57" s="52" t="s">
        <v>1343</v>
      </c>
      <c r="D57" s="52" t="s">
        <v>1389</v>
      </c>
      <c r="E57" s="139"/>
    </row>
    <row r="58" spans="1:5" x14ac:dyDescent="0.2">
      <c r="A58" s="52" t="s">
        <v>1397</v>
      </c>
      <c r="B58" s="52" t="s">
        <v>1395</v>
      </c>
      <c r="C58" s="52" t="s">
        <v>1343</v>
      </c>
      <c r="D58" s="52" t="s">
        <v>1391</v>
      </c>
      <c r="E58" s="139"/>
    </row>
    <row r="59" spans="1:5" x14ac:dyDescent="0.2">
      <c r="A59" s="52" t="s">
        <v>1398</v>
      </c>
      <c r="B59" s="52" t="s">
        <v>1395</v>
      </c>
      <c r="C59" s="52" t="s">
        <v>1343</v>
      </c>
      <c r="D59" s="52" t="s">
        <v>1393</v>
      </c>
      <c r="E59" s="139"/>
    </row>
    <row r="60" spans="1:5" x14ac:dyDescent="0.2">
      <c r="A60" s="52" t="s">
        <v>1399</v>
      </c>
      <c r="B60" s="52" t="s">
        <v>1400</v>
      </c>
      <c r="C60" s="52" t="s">
        <v>1343</v>
      </c>
      <c r="D60" s="52" t="s">
        <v>1387</v>
      </c>
      <c r="E60" s="139"/>
    </row>
    <row r="61" spans="1:5" x14ac:dyDescent="0.2">
      <c r="A61" s="52" t="s">
        <v>1401</v>
      </c>
      <c r="B61" s="52" t="s">
        <v>1400</v>
      </c>
      <c r="C61" s="52" t="s">
        <v>1343</v>
      </c>
      <c r="D61" s="52" t="s">
        <v>1389</v>
      </c>
      <c r="E61" s="139"/>
    </row>
    <row r="62" spans="1:5" x14ac:dyDescent="0.2">
      <c r="A62" s="52" t="s">
        <v>1402</v>
      </c>
      <c r="B62" s="52" t="s">
        <v>1400</v>
      </c>
      <c r="C62" s="52" t="s">
        <v>1343</v>
      </c>
      <c r="D62" s="52" t="s">
        <v>1391</v>
      </c>
      <c r="E62" s="139"/>
    </row>
    <row r="63" spans="1:5" x14ac:dyDescent="0.2">
      <c r="A63" s="52" t="s">
        <v>1403</v>
      </c>
      <c r="B63" s="52" t="s">
        <v>1400</v>
      </c>
      <c r="C63" s="52" t="s">
        <v>1343</v>
      </c>
      <c r="D63" s="52" t="s">
        <v>1393</v>
      </c>
      <c r="E63" s="139"/>
    </row>
    <row r="64" spans="1:5" x14ac:dyDescent="0.2">
      <c r="A64" s="52" t="s">
        <v>1404</v>
      </c>
      <c r="B64" s="52" t="s">
        <v>1405</v>
      </c>
      <c r="C64" s="52" t="s">
        <v>1343</v>
      </c>
      <c r="D64" s="52" t="s">
        <v>1387</v>
      </c>
      <c r="E64" s="139"/>
    </row>
    <row r="65" spans="1:5" x14ac:dyDescent="0.2">
      <c r="A65" s="52" t="s">
        <v>1406</v>
      </c>
      <c r="B65" s="52" t="s">
        <v>1405</v>
      </c>
      <c r="C65" s="52" t="s">
        <v>1343</v>
      </c>
      <c r="D65" s="52" t="s">
        <v>1389</v>
      </c>
      <c r="E65" s="139"/>
    </row>
    <row r="66" spans="1:5" x14ac:dyDescent="0.2">
      <c r="A66" s="52" t="s">
        <v>1407</v>
      </c>
      <c r="B66" s="52" t="s">
        <v>1405</v>
      </c>
      <c r="C66" s="52" t="s">
        <v>1343</v>
      </c>
      <c r="D66" s="52" t="s">
        <v>1391</v>
      </c>
      <c r="E66" s="139"/>
    </row>
    <row r="67" spans="1:5" x14ac:dyDescent="0.2">
      <c r="A67" s="52" t="s">
        <v>1408</v>
      </c>
      <c r="B67" s="52" t="s">
        <v>1405</v>
      </c>
      <c r="C67" s="52" t="s">
        <v>1343</v>
      </c>
      <c r="D67" s="52" t="s">
        <v>1393</v>
      </c>
      <c r="E67" s="139"/>
    </row>
    <row r="68" spans="1:5" x14ac:dyDescent="0.2">
      <c r="A68" s="52" t="s">
        <v>1409</v>
      </c>
      <c r="B68" s="52" t="s">
        <v>1410</v>
      </c>
      <c r="C68" s="52" t="s">
        <v>1343</v>
      </c>
      <c r="D68" s="52" t="s">
        <v>1387</v>
      </c>
      <c r="E68" s="139"/>
    </row>
    <row r="69" spans="1:5" x14ac:dyDescent="0.2">
      <c r="A69" s="52" t="s">
        <v>1411</v>
      </c>
      <c r="B69" s="52" t="s">
        <v>1410</v>
      </c>
      <c r="C69" s="52" t="s">
        <v>1343</v>
      </c>
      <c r="D69" s="52" t="s">
        <v>1389</v>
      </c>
      <c r="E69" s="139"/>
    </row>
    <row r="70" spans="1:5" x14ac:dyDescent="0.2">
      <c r="A70" s="52" t="s">
        <v>1412</v>
      </c>
      <c r="B70" s="52" t="s">
        <v>1410</v>
      </c>
      <c r="C70" s="52" t="s">
        <v>1343</v>
      </c>
      <c r="D70" s="52" t="s">
        <v>1391</v>
      </c>
      <c r="E70" s="139"/>
    </row>
    <row r="71" spans="1:5" x14ac:dyDescent="0.2">
      <c r="A71" s="52" t="s">
        <v>1413</v>
      </c>
      <c r="B71" s="52" t="s">
        <v>1410</v>
      </c>
      <c r="C71" s="52" t="s">
        <v>1343</v>
      </c>
      <c r="D71" s="52" t="s">
        <v>1393</v>
      </c>
      <c r="E71" s="139"/>
    </row>
    <row r="72" spans="1:5" x14ac:dyDescent="0.2">
      <c r="A72" s="52" t="s">
        <v>1414</v>
      </c>
      <c r="B72" s="52" t="s">
        <v>1415</v>
      </c>
      <c r="C72" s="52" t="s">
        <v>1343</v>
      </c>
      <c r="D72" s="52" t="s">
        <v>1387</v>
      </c>
      <c r="E72" s="139"/>
    </row>
    <row r="73" spans="1:5" x14ac:dyDescent="0.2">
      <c r="A73" s="52" t="s">
        <v>1416</v>
      </c>
      <c r="B73" s="52" t="s">
        <v>1415</v>
      </c>
      <c r="C73" s="52" t="s">
        <v>1343</v>
      </c>
      <c r="D73" s="52" t="s">
        <v>1389</v>
      </c>
      <c r="E73" s="139"/>
    </row>
    <row r="74" spans="1:5" x14ac:dyDescent="0.2">
      <c r="A74" s="52" t="s">
        <v>1417</v>
      </c>
      <c r="B74" s="52" t="s">
        <v>1415</v>
      </c>
      <c r="C74" s="52" t="s">
        <v>1343</v>
      </c>
      <c r="D74" s="52" t="s">
        <v>1391</v>
      </c>
      <c r="E74" s="139"/>
    </row>
    <row r="75" spans="1:5" x14ac:dyDescent="0.2">
      <c r="A75" s="52" t="s">
        <v>1418</v>
      </c>
      <c r="B75" s="52" t="s">
        <v>1415</v>
      </c>
      <c r="C75" s="52" t="s">
        <v>1343</v>
      </c>
      <c r="D75" s="52" t="s">
        <v>1393</v>
      </c>
      <c r="E75" s="139"/>
    </row>
    <row r="76" spans="1:5" x14ac:dyDescent="0.2">
      <c r="A76" s="52" t="s">
        <v>1419</v>
      </c>
      <c r="B76" s="52" t="s">
        <v>1420</v>
      </c>
      <c r="C76" s="52" t="s">
        <v>1343</v>
      </c>
      <c r="D76" s="52" t="s">
        <v>1387</v>
      </c>
      <c r="E76" s="139"/>
    </row>
    <row r="77" spans="1:5" x14ac:dyDescent="0.2">
      <c r="A77" s="52" t="s">
        <v>1421</v>
      </c>
      <c r="B77" s="52" t="s">
        <v>1420</v>
      </c>
      <c r="C77" s="52" t="s">
        <v>1343</v>
      </c>
      <c r="D77" s="52" t="s">
        <v>1389</v>
      </c>
      <c r="E77" s="139"/>
    </row>
    <row r="78" spans="1:5" x14ac:dyDescent="0.2">
      <c r="A78" s="52" t="s">
        <v>1422</v>
      </c>
      <c r="B78" s="52" t="s">
        <v>1420</v>
      </c>
      <c r="C78" s="52" t="s">
        <v>1343</v>
      </c>
      <c r="D78" s="52" t="s">
        <v>1391</v>
      </c>
      <c r="E78" s="139"/>
    </row>
    <row r="79" spans="1:5" x14ac:dyDescent="0.2">
      <c r="A79" s="52" t="s">
        <v>1423</v>
      </c>
      <c r="B79" s="52" t="s">
        <v>1420</v>
      </c>
      <c r="C79" s="52" t="s">
        <v>1343</v>
      </c>
      <c r="D79" s="52" t="s">
        <v>1393</v>
      </c>
      <c r="E79" s="139"/>
    </row>
    <row r="80" spans="1:5" x14ac:dyDescent="0.2">
      <c r="A80" s="52" t="s">
        <v>1424</v>
      </c>
      <c r="B80" s="52" t="s">
        <v>1425</v>
      </c>
      <c r="C80" s="52" t="s">
        <v>1343</v>
      </c>
      <c r="D80" s="52" t="s">
        <v>1387</v>
      </c>
      <c r="E80" s="139"/>
    </row>
    <row r="81" spans="1:5" x14ac:dyDescent="0.2">
      <c r="A81" s="52" t="s">
        <v>1426</v>
      </c>
      <c r="B81" s="52" t="s">
        <v>1425</v>
      </c>
      <c r="C81" s="52" t="s">
        <v>1343</v>
      </c>
      <c r="D81" s="52" t="s">
        <v>1389</v>
      </c>
      <c r="E81" s="139"/>
    </row>
    <row r="82" spans="1:5" x14ac:dyDescent="0.2">
      <c r="A82" s="52" t="s">
        <v>1427</v>
      </c>
      <c r="B82" s="52" t="s">
        <v>1425</v>
      </c>
      <c r="C82" s="52" t="s">
        <v>1343</v>
      </c>
      <c r="D82" s="52" t="s">
        <v>1391</v>
      </c>
      <c r="E82" s="139"/>
    </row>
    <row r="83" spans="1:5" x14ac:dyDescent="0.2">
      <c r="A83" s="52" t="s">
        <v>1428</v>
      </c>
      <c r="B83" s="52" t="s">
        <v>1425</v>
      </c>
      <c r="C83" s="52" t="s">
        <v>1343</v>
      </c>
      <c r="D83" s="52" t="s">
        <v>1393</v>
      </c>
      <c r="E83" s="139"/>
    </row>
    <row r="84" spans="1:5" x14ac:dyDescent="0.2">
      <c r="A84" s="52" t="s">
        <v>1429</v>
      </c>
      <c r="B84" s="52" t="s">
        <v>1430</v>
      </c>
      <c r="C84" s="52" t="s">
        <v>1343</v>
      </c>
      <c r="D84" s="52" t="s">
        <v>1387</v>
      </c>
      <c r="E84" s="139"/>
    </row>
    <row r="85" spans="1:5" x14ac:dyDescent="0.2">
      <c r="A85" s="52" t="s">
        <v>1431</v>
      </c>
      <c r="B85" s="52" t="s">
        <v>1430</v>
      </c>
      <c r="C85" s="52" t="s">
        <v>1343</v>
      </c>
      <c r="D85" s="52" t="s">
        <v>1389</v>
      </c>
      <c r="E85" s="139"/>
    </row>
    <row r="86" spans="1:5" x14ac:dyDescent="0.2">
      <c r="A86" s="52" t="s">
        <v>1432</v>
      </c>
      <c r="B86" s="52" t="s">
        <v>1430</v>
      </c>
      <c r="C86" s="52" t="s">
        <v>1343</v>
      </c>
      <c r="D86" s="52" t="s">
        <v>1391</v>
      </c>
      <c r="E86" s="139"/>
    </row>
    <row r="87" spans="1:5" x14ac:dyDescent="0.2">
      <c r="A87" s="52" t="s">
        <v>1433</v>
      </c>
      <c r="B87" s="52" t="s">
        <v>1430</v>
      </c>
      <c r="C87" s="52" t="s">
        <v>1343</v>
      </c>
      <c r="D87" s="52" t="s">
        <v>1393</v>
      </c>
      <c r="E87" s="139"/>
    </row>
    <row r="88" spans="1:5" x14ac:dyDescent="0.2">
      <c r="A88" s="52" t="s">
        <v>1434</v>
      </c>
      <c r="B88" s="52" t="s">
        <v>1435</v>
      </c>
      <c r="C88" s="52" t="s">
        <v>1318</v>
      </c>
      <c r="D88" s="52" t="s">
        <v>1319</v>
      </c>
      <c r="E88" s="139"/>
    </row>
    <row r="89" spans="1:5" x14ac:dyDescent="0.2">
      <c r="A89" s="52" t="s">
        <v>1436</v>
      </c>
      <c r="B89" s="52" t="s">
        <v>1435</v>
      </c>
      <c r="C89" s="52" t="s">
        <v>1318</v>
      </c>
      <c r="D89" s="52" t="s">
        <v>1437</v>
      </c>
      <c r="E89" s="139"/>
    </row>
    <row r="90" spans="1:5" x14ac:dyDescent="0.2">
      <c r="A90" s="52" t="s">
        <v>1438</v>
      </c>
      <c r="B90" s="52" t="s">
        <v>1435</v>
      </c>
      <c r="C90" s="52" t="s">
        <v>1318</v>
      </c>
      <c r="D90" s="52" t="s">
        <v>1439</v>
      </c>
      <c r="E90" s="139"/>
    </row>
    <row r="91" spans="1:5" x14ac:dyDescent="0.2">
      <c r="A91" s="57" t="s">
        <v>1440</v>
      </c>
      <c r="B91" s="57" t="s">
        <v>1435</v>
      </c>
      <c r="C91" s="57" t="s">
        <v>1318</v>
      </c>
      <c r="D91" s="57" t="s">
        <v>1441</v>
      </c>
      <c r="E91" s="142"/>
    </row>
    <row r="92" spans="1:5" x14ac:dyDescent="0.2">
      <c r="A92" s="72" t="s">
        <v>360</v>
      </c>
      <c r="B92" s="73"/>
      <c r="C92" s="73"/>
      <c r="D92" s="73"/>
      <c r="E92" s="131"/>
    </row>
    <row r="94" spans="1:5" x14ac:dyDescent="0.2">
      <c r="A94" s="72" t="s">
        <v>1442</v>
      </c>
      <c r="B94" s="73"/>
      <c r="C94" s="73"/>
      <c r="D94" s="73"/>
      <c r="E94" s="131"/>
    </row>
  </sheetData>
  <sheetProtection algorithmName="SHA-512" hashValue="PMHZLET6I4TvHcHZGy0d7HJUoHwCqG2YMflEAm2wiXdQTtcKiUg+M/zIsMg8Aob6CCEcr9SoBojuf6x+A+hekw==" saltValue="9a/Z9jGYropGaGlmqPi5RQ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56BA2-0D91-49D5-9640-DD795CA54059}">
  <dimension ref="A1:L20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F.1.11: ",tabeltype," glas")</f>
        <v>Bijlage F.1.11: Invultabel glas</v>
      </c>
    </row>
    <row r="3" spans="1:12" ht="37.799999999999997" x14ac:dyDescent="0.2">
      <c r="A3" s="40" t="s">
        <v>1279</v>
      </c>
      <c r="B3" s="40" t="s">
        <v>7</v>
      </c>
      <c r="C3" s="40" t="s">
        <v>1280</v>
      </c>
      <c r="D3" s="40" t="s">
        <v>97</v>
      </c>
      <c r="E3" s="40" t="s">
        <v>100</v>
      </c>
      <c r="F3" s="40" t="s">
        <v>1281</v>
      </c>
      <c r="G3" s="40" t="s">
        <v>1282</v>
      </c>
      <c r="H3" s="40" t="s">
        <v>1283</v>
      </c>
      <c r="I3" s="40" t="s">
        <v>1284</v>
      </c>
      <c r="J3" s="40" t="s">
        <v>1285</v>
      </c>
      <c r="K3" s="40" t="s">
        <v>253</v>
      </c>
      <c r="L3" s="40" t="s">
        <v>1207</v>
      </c>
    </row>
    <row r="4" spans="1:12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">
      <c r="A5" s="44" t="s">
        <v>102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1:12" x14ac:dyDescent="0.2">
      <c r="A6" s="47" t="s">
        <v>1443</v>
      </c>
      <c r="B6" s="47" t="s">
        <v>30</v>
      </c>
      <c r="C6" s="48">
        <f>IF(ISBLANK(B6),0,IF(ISERROR(VALUE(B6)),VLOOKUP(B6,dagsoorttabel1,2,FALSE)*dagenperjaar1,VALUE(B6)))</f>
        <v>2</v>
      </c>
      <c r="D6" s="47" t="s">
        <v>1444</v>
      </c>
      <c r="E6" s="47" t="s">
        <v>1343</v>
      </c>
      <c r="F6" s="135">
        <v>3616.2</v>
      </c>
      <c r="G6" s="136"/>
      <c r="H6" s="137"/>
      <c r="I6" s="136"/>
      <c r="J6" s="51">
        <f>IF(ISBLANK(F6),0,F6)*ROUND(I6,2)</f>
        <v>0</v>
      </c>
      <c r="K6" s="51">
        <f>C6*J6</f>
        <v>0</v>
      </c>
      <c r="L6" s="51">
        <f>K6/12</f>
        <v>0</v>
      </c>
    </row>
    <row r="7" spans="1:12" x14ac:dyDescent="0.2">
      <c r="A7" s="52" t="s">
        <v>1443</v>
      </c>
      <c r="B7" s="52" t="s">
        <v>27</v>
      </c>
      <c r="C7" s="53">
        <f>IF(ISBLANK(B7),0,IF(ISERROR(VALUE(B7)),VLOOKUP(B7,dagsoorttabel1,2,FALSE)*dagenperjaar1,VALUE(B7)))</f>
        <v>6</v>
      </c>
      <c r="D7" s="52" t="s">
        <v>1444</v>
      </c>
      <c r="E7" s="52" t="s">
        <v>1343</v>
      </c>
      <c r="F7" s="138">
        <v>1334.8</v>
      </c>
      <c r="G7" s="139"/>
      <c r="H7" s="140"/>
      <c r="I7" s="139"/>
      <c r="J7" s="56">
        <f>IF(ISBLANK(F7),0,F7)*ROUND(I7,2)</f>
        <v>0</v>
      </c>
      <c r="K7" s="56">
        <f>C7*J7</f>
        <v>0</v>
      </c>
      <c r="L7" s="56">
        <f>K7/12</f>
        <v>0</v>
      </c>
    </row>
    <row r="8" spans="1:12" x14ac:dyDescent="0.2">
      <c r="A8" s="52" t="s">
        <v>1445</v>
      </c>
      <c r="B8" s="52" t="s">
        <v>30</v>
      </c>
      <c r="C8" s="53">
        <f>IF(ISBLANK(B8),0,IF(ISERROR(VALUE(B8)),VLOOKUP(B8,dagsoorttabel1,2,FALSE)*dagenperjaar1,VALUE(B8)))</f>
        <v>2</v>
      </c>
      <c r="D8" s="52" t="s">
        <v>1446</v>
      </c>
      <c r="E8" s="52" t="s">
        <v>1343</v>
      </c>
      <c r="F8" s="138">
        <v>3616.2</v>
      </c>
      <c r="G8" s="139"/>
      <c r="H8" s="140"/>
      <c r="I8" s="139"/>
      <c r="J8" s="56">
        <f>IF(ISBLANK(F8),0,F8)*ROUND(I8,2)</f>
        <v>0</v>
      </c>
      <c r="K8" s="56">
        <f>C8*J8</f>
        <v>0</v>
      </c>
      <c r="L8" s="56">
        <f>K8/12</f>
        <v>0</v>
      </c>
    </row>
    <row r="9" spans="1:12" x14ac:dyDescent="0.2">
      <c r="A9" s="52" t="s">
        <v>1445</v>
      </c>
      <c r="B9" s="52" t="s">
        <v>29</v>
      </c>
      <c r="C9" s="53">
        <f>IF(ISBLANK(B9),0,IF(ISERROR(VALUE(B9)),VLOOKUP(B9,dagsoorttabel1,2,FALSE)*dagenperjaar1,VALUE(B9)))</f>
        <v>3</v>
      </c>
      <c r="D9" s="52" t="s">
        <v>1446</v>
      </c>
      <c r="E9" s="52" t="s">
        <v>1343</v>
      </c>
      <c r="F9" s="138">
        <v>1334.8</v>
      </c>
      <c r="G9" s="139"/>
      <c r="H9" s="140"/>
      <c r="I9" s="139"/>
      <c r="J9" s="56">
        <f>IF(ISBLANK(F9),0,F9)*ROUND(I9,2)</f>
        <v>0</v>
      </c>
      <c r="K9" s="56">
        <f>C9*J9</f>
        <v>0</v>
      </c>
      <c r="L9" s="56">
        <f>K9/12</f>
        <v>0</v>
      </c>
    </row>
    <row r="10" spans="1:12" x14ac:dyDescent="0.2">
      <c r="A10" s="52" t="s">
        <v>1447</v>
      </c>
      <c r="B10" s="52" t="s">
        <v>30</v>
      </c>
      <c r="C10" s="53">
        <f>IF(ISBLANK(B10),0,IF(ISERROR(VALUE(B10)),VLOOKUP(B10,dagsoorttabel1,2,FALSE)*dagenperjaar1,VALUE(B10)))</f>
        <v>2</v>
      </c>
      <c r="D10" s="52" t="s">
        <v>1448</v>
      </c>
      <c r="E10" s="52" t="s">
        <v>1343</v>
      </c>
      <c r="F10" s="138">
        <v>2863.4</v>
      </c>
      <c r="G10" s="139"/>
      <c r="H10" s="140"/>
      <c r="I10" s="139"/>
      <c r="J10" s="56">
        <f>IF(ISBLANK(F10),0,F10)*ROUND(I10,2)</f>
        <v>0</v>
      </c>
      <c r="K10" s="56">
        <f>C10*J10</f>
        <v>0</v>
      </c>
      <c r="L10" s="56">
        <f>K10/12</f>
        <v>0</v>
      </c>
    </row>
    <row r="11" spans="1:12" x14ac:dyDescent="0.2">
      <c r="A11" s="52" t="s">
        <v>1447</v>
      </c>
      <c r="B11" s="52" t="s">
        <v>27</v>
      </c>
      <c r="C11" s="53">
        <f>IF(ISBLANK(B11),0,IF(ISERROR(VALUE(B11)),VLOOKUP(B11,dagsoorttabel1,2,FALSE)*dagenperjaar1,VALUE(B11)))</f>
        <v>6</v>
      </c>
      <c r="D11" s="52" t="s">
        <v>1448</v>
      </c>
      <c r="E11" s="52" t="s">
        <v>1343</v>
      </c>
      <c r="F11" s="138">
        <v>1588.3</v>
      </c>
      <c r="G11" s="139"/>
      <c r="H11" s="140"/>
      <c r="I11" s="139"/>
      <c r="J11" s="56">
        <f>IF(ISBLANK(F11),0,F11)*ROUND(I11,2)</f>
        <v>0</v>
      </c>
      <c r="K11" s="56">
        <f>C11*J11</f>
        <v>0</v>
      </c>
      <c r="L11" s="56">
        <f>K11/12</f>
        <v>0</v>
      </c>
    </row>
    <row r="12" spans="1:12" x14ac:dyDescent="0.2">
      <c r="A12" s="52" t="s">
        <v>1449</v>
      </c>
      <c r="B12" s="52" t="s">
        <v>27</v>
      </c>
      <c r="C12" s="53">
        <f>IF(ISBLANK(B12),0,IF(ISERROR(VALUE(B12)),VLOOKUP(B12,dagsoorttabel1,2,FALSE)*dagenperjaar1,VALUE(B12)))</f>
        <v>6</v>
      </c>
      <c r="D12" s="52" t="s">
        <v>1450</v>
      </c>
      <c r="E12" s="52" t="s">
        <v>1343</v>
      </c>
      <c r="F12" s="138">
        <v>452.4</v>
      </c>
      <c r="G12" s="139"/>
      <c r="H12" s="140"/>
      <c r="I12" s="139"/>
      <c r="J12" s="56">
        <f>IF(ISBLANK(F12),0,F12)*ROUND(I12,2)</f>
        <v>0</v>
      </c>
      <c r="K12" s="56">
        <f>C12*J12</f>
        <v>0</v>
      </c>
      <c r="L12" s="56">
        <f>K12/12</f>
        <v>0</v>
      </c>
    </row>
    <row r="13" spans="1:12" x14ac:dyDescent="0.2">
      <c r="A13" s="52" t="s">
        <v>1451</v>
      </c>
      <c r="B13" s="52" t="s">
        <v>24</v>
      </c>
      <c r="C13" s="53">
        <f>IF(ISBLANK(B13),0,IF(ISERROR(VALUE(B13)),VLOOKUP(B13,dagsoorttabel1,2,FALSE)*dagenperjaar1,VALUE(B13)))</f>
        <v>12</v>
      </c>
      <c r="D13" s="52" t="s">
        <v>1452</v>
      </c>
      <c r="E13" s="52" t="s">
        <v>1343</v>
      </c>
      <c r="F13" s="138">
        <v>1073</v>
      </c>
      <c r="G13" s="139"/>
      <c r="H13" s="140"/>
      <c r="I13" s="139"/>
      <c r="J13" s="56">
        <f>IF(ISBLANK(F13),0,F13)*ROUND(I13,2)</f>
        <v>0</v>
      </c>
      <c r="K13" s="56">
        <f>C13*J13</f>
        <v>0</v>
      </c>
      <c r="L13" s="56">
        <f>K13/12</f>
        <v>0</v>
      </c>
    </row>
    <row r="14" spans="1:12" x14ac:dyDescent="0.2">
      <c r="A14" s="52" t="s">
        <v>1453</v>
      </c>
      <c r="B14" s="52" t="s">
        <v>27</v>
      </c>
      <c r="C14" s="53">
        <f>IF(ISBLANK(B14),0,IF(ISERROR(VALUE(B14)),VLOOKUP(B14,dagsoorttabel1,2,FALSE)*dagenperjaar1,VALUE(B14)))</f>
        <v>6</v>
      </c>
      <c r="D14" s="52" t="s">
        <v>1454</v>
      </c>
      <c r="E14" s="52" t="s">
        <v>1455</v>
      </c>
      <c r="F14" s="138">
        <v>1</v>
      </c>
      <c r="G14" s="139"/>
      <c r="H14" s="140"/>
      <c r="I14" s="139"/>
      <c r="J14" s="56">
        <f>IF(ISBLANK(F14),1,F14)*ROUND(I14,2)</f>
        <v>0</v>
      </c>
      <c r="K14" s="56">
        <f>C14*J14</f>
        <v>0</v>
      </c>
      <c r="L14" s="56">
        <f>K14/12</f>
        <v>0</v>
      </c>
    </row>
    <row r="15" spans="1:12" x14ac:dyDescent="0.2">
      <c r="A15" s="52" t="s">
        <v>1456</v>
      </c>
      <c r="B15" s="52" t="s">
        <v>30</v>
      </c>
      <c r="C15" s="53">
        <f>IF(ISBLANK(B15),0,IF(ISERROR(VALUE(B15)),VLOOKUP(B15,dagsoorttabel1,2,FALSE)*dagenperjaar1,VALUE(B15)))</f>
        <v>2</v>
      </c>
      <c r="D15" s="52" t="s">
        <v>1457</v>
      </c>
      <c r="E15" s="52" t="s">
        <v>1455</v>
      </c>
      <c r="F15" s="138">
        <v>1</v>
      </c>
      <c r="G15" s="139"/>
      <c r="H15" s="140"/>
      <c r="I15" s="139"/>
      <c r="J15" s="56">
        <f>IF(ISBLANK(F15),1,F15)*ROUND(I15,2)</f>
        <v>0</v>
      </c>
      <c r="K15" s="56">
        <f>C15*J15</f>
        <v>0</v>
      </c>
      <c r="L15" s="56">
        <f>K15/12</f>
        <v>0</v>
      </c>
    </row>
    <row r="16" spans="1:12" x14ac:dyDescent="0.2">
      <c r="A16" s="52" t="s">
        <v>1458</v>
      </c>
      <c r="B16" s="52" t="s">
        <v>30</v>
      </c>
      <c r="C16" s="53">
        <f>IF(ISBLANK(B16),0,IF(ISERROR(VALUE(B16)),VLOOKUP(B16,dagsoorttabel1,2,FALSE)*dagenperjaar1,VALUE(B16)))</f>
        <v>2</v>
      </c>
      <c r="D16" s="52" t="s">
        <v>1459</v>
      </c>
      <c r="E16" s="52" t="s">
        <v>1455</v>
      </c>
      <c r="F16" s="138">
        <v>1</v>
      </c>
      <c r="G16" s="139"/>
      <c r="H16" s="140"/>
      <c r="I16" s="139"/>
      <c r="J16" s="56">
        <f>IF(ISBLANK(F16),1,F16)*ROUND(I16,2)</f>
        <v>0</v>
      </c>
      <c r="K16" s="56">
        <f>C16*J16</f>
        <v>0</v>
      </c>
      <c r="L16" s="56">
        <f>K16/12</f>
        <v>0</v>
      </c>
    </row>
    <row r="17" spans="1:12" x14ac:dyDescent="0.2">
      <c r="A17" s="57" t="s">
        <v>1460</v>
      </c>
      <c r="B17" s="57" t="s">
        <v>30</v>
      </c>
      <c r="C17" s="58">
        <f>IF(ISBLANK(B17),0,IF(ISERROR(VALUE(B17)),VLOOKUP(B17,dagsoorttabel1,2,FALSE)*dagenperjaar1,VALUE(B17)))</f>
        <v>2</v>
      </c>
      <c r="D17" s="57" t="s">
        <v>1461</v>
      </c>
      <c r="E17" s="57" t="s">
        <v>1455</v>
      </c>
      <c r="F17" s="141">
        <v>1</v>
      </c>
      <c r="G17" s="142"/>
      <c r="H17" s="143"/>
      <c r="I17" s="142"/>
      <c r="J17" s="61">
        <f>IF(ISBLANK(F17),1,F17)*ROUND(I17,2)</f>
        <v>0</v>
      </c>
      <c r="K17" s="61">
        <f>C17*J17</f>
        <v>0</v>
      </c>
      <c r="L17" s="61">
        <f>K17/12</f>
        <v>0</v>
      </c>
    </row>
    <row r="18" spans="1:12" x14ac:dyDescent="0.2">
      <c r="A18" s="72" t="s">
        <v>360</v>
      </c>
      <c r="B18" s="73"/>
      <c r="C18" s="73"/>
      <c r="D18" s="73"/>
      <c r="E18" s="73"/>
      <c r="F18" s="73"/>
      <c r="G18" s="73"/>
      <c r="H18" s="73"/>
      <c r="I18" s="73"/>
      <c r="J18" s="73"/>
      <c r="K18" s="75">
        <f>SUM(K6:K17)</f>
        <v>0</v>
      </c>
      <c r="L18" s="129">
        <f>K18/12</f>
        <v>0</v>
      </c>
    </row>
    <row r="20" spans="1:12" x14ac:dyDescent="0.2">
      <c r="A20" s="72" t="s">
        <v>1462</v>
      </c>
      <c r="B20" s="73"/>
      <c r="C20" s="73"/>
      <c r="D20" s="73"/>
      <c r="E20" s="73"/>
      <c r="F20" s="73"/>
      <c r="G20" s="73"/>
      <c r="H20" s="73"/>
      <c r="I20" s="73"/>
      <c r="J20" s="73"/>
      <c r="K20" s="75">
        <f>prijsjaarglas1</f>
        <v>0</v>
      </c>
      <c r="L20" s="129">
        <f>K20/12</f>
        <v>0</v>
      </c>
    </row>
  </sheetData>
  <sheetProtection algorithmName="SHA-512" hashValue="pQufUJ03h0lYcPhLxXC4Xb+zRTtoQc7mSTqbV2VH5fMECiGj0IOXSniRruSNFTqx+Ag1vLqm4iS6H0LTlwLrgA==" saltValue="tfjrHFON4Ep57Kz8AO0PZA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BFA08-89E1-418F-964E-80A822608625}">
  <dimension ref="A1:M14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11.6328125" customWidth="1"/>
    <col min="5" max="5" width="50.6328125" customWidth="1"/>
    <col min="6" max="7" width="14.6328125" customWidth="1"/>
    <col min="8" max="10" width="11.6328125" customWidth="1"/>
    <col min="11" max="11" width="12.6328125" customWidth="1"/>
    <col min="12" max="12" width="14.6328125" customWidth="1"/>
    <col min="13" max="13" width="13.6328125" customWidth="1"/>
  </cols>
  <sheetData>
    <row r="1" spans="1:13" x14ac:dyDescent="0.2">
      <c r="A1" s="1" t="str">
        <f>CONCATENATE("Bijlage F.1.12: ",tabeltype," glas per locatie")</f>
        <v>Bijlage F.1.12: Invultabel glas per locatie</v>
      </c>
    </row>
    <row r="3" spans="1:13" ht="37.799999999999997" x14ac:dyDescent="0.2">
      <c r="A3" s="40" t="s">
        <v>1279</v>
      </c>
      <c r="B3" s="40" t="s">
        <v>7</v>
      </c>
      <c r="C3" s="40" t="s">
        <v>1280</v>
      </c>
      <c r="D3" s="40" t="s">
        <v>1154</v>
      </c>
      <c r="E3" s="40" t="s">
        <v>97</v>
      </c>
      <c r="F3" s="40" t="s">
        <v>100</v>
      </c>
      <c r="G3" s="40" t="s">
        <v>1281</v>
      </c>
      <c r="H3" s="40" t="s">
        <v>1282</v>
      </c>
      <c r="I3" s="40" t="s">
        <v>1283</v>
      </c>
      <c r="J3" s="40" t="s">
        <v>1284</v>
      </c>
      <c r="K3" s="40" t="s">
        <v>1285</v>
      </c>
      <c r="L3" s="40" t="s">
        <v>253</v>
      </c>
      <c r="M3" s="40" t="s">
        <v>1207</v>
      </c>
    </row>
    <row r="5" spans="1:13" x14ac:dyDescent="0.2">
      <c r="A5" s="130" t="s">
        <v>392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131"/>
    </row>
    <row r="6" spans="1:13" x14ac:dyDescent="0.2">
      <c r="A6" s="47" t="s">
        <v>1443</v>
      </c>
      <c r="B6" s="47" t="s">
        <v>30</v>
      </c>
      <c r="C6" s="48">
        <f>IF(ISBLANK(B6),0,IF(ISERROR(VALUE(B6)),VLOOKUP(B6,dagsoorttabel1,2,FALSE)*dagenperjaar1,VALUE(B6)))</f>
        <v>2</v>
      </c>
      <c r="D6" s="47" t="s">
        <v>1193</v>
      </c>
      <c r="E6" s="47" t="s">
        <v>1444</v>
      </c>
      <c r="F6" s="47" t="s">
        <v>1343</v>
      </c>
      <c r="G6" s="135">
        <v>244.9</v>
      </c>
      <c r="H6" s="144">
        <f>Glas!G6</f>
        <v>0</v>
      </c>
      <c r="I6" s="137"/>
      <c r="J6" s="144">
        <f>Glas!I6</f>
        <v>0</v>
      </c>
      <c r="K6" s="51">
        <f>IF(ISBLANK(G6),0,G6)*ROUND(J6,2)</f>
        <v>0</v>
      </c>
      <c r="L6" s="51">
        <f>C6*K6</f>
        <v>0</v>
      </c>
      <c r="M6" s="51">
        <f>L6/12</f>
        <v>0</v>
      </c>
    </row>
    <row r="7" spans="1:13" x14ac:dyDescent="0.2">
      <c r="A7" s="52" t="s">
        <v>1445</v>
      </c>
      <c r="B7" s="52" t="s">
        <v>30</v>
      </c>
      <c r="C7" s="53">
        <f>IF(ISBLANK(B7),0,IF(ISERROR(VALUE(B7)),VLOOKUP(B7,dagsoorttabel1,2,FALSE)*dagenperjaar1,VALUE(B7)))</f>
        <v>2</v>
      </c>
      <c r="D7" s="52" t="s">
        <v>1193</v>
      </c>
      <c r="E7" s="52" t="s">
        <v>1446</v>
      </c>
      <c r="F7" s="52" t="s">
        <v>1343</v>
      </c>
      <c r="G7" s="138">
        <v>244.9</v>
      </c>
      <c r="H7" s="145">
        <f>Glas!G8</f>
        <v>0</v>
      </c>
      <c r="I7" s="140"/>
      <c r="J7" s="145">
        <f>Glas!I8</f>
        <v>0</v>
      </c>
      <c r="K7" s="56">
        <f>IF(ISBLANK(G7),0,G7)*ROUND(J7,2)</f>
        <v>0</v>
      </c>
      <c r="L7" s="56">
        <f>C7*K7</f>
        <v>0</v>
      </c>
      <c r="M7" s="56">
        <f>L7/12</f>
        <v>0</v>
      </c>
    </row>
    <row r="8" spans="1:13" x14ac:dyDescent="0.2">
      <c r="A8" s="57" t="s">
        <v>1447</v>
      </c>
      <c r="B8" s="57" t="s">
        <v>30</v>
      </c>
      <c r="C8" s="58">
        <f>IF(ISBLANK(B8),0,IF(ISERROR(VALUE(B8)),VLOOKUP(B8,dagsoorttabel1,2,FALSE)*dagenperjaar1,VALUE(B8)))</f>
        <v>2</v>
      </c>
      <c r="D8" s="57" t="s">
        <v>1193</v>
      </c>
      <c r="E8" s="57" t="s">
        <v>1448</v>
      </c>
      <c r="F8" s="57" t="s">
        <v>1343</v>
      </c>
      <c r="G8" s="141">
        <v>84</v>
      </c>
      <c r="H8" s="146">
        <f>Glas!G10</f>
        <v>0</v>
      </c>
      <c r="I8" s="143"/>
      <c r="J8" s="146">
        <f>Glas!I10</f>
        <v>0</v>
      </c>
      <c r="K8" s="61">
        <f>IF(ISBLANK(G8),0,G8)*ROUND(J8,2)</f>
        <v>0</v>
      </c>
      <c r="L8" s="61">
        <f>C8*K8</f>
        <v>0</v>
      </c>
      <c r="M8" s="61">
        <f>L8/12</f>
        <v>0</v>
      </c>
    </row>
    <row r="9" spans="1:13" x14ac:dyDescent="0.2">
      <c r="A9" s="134" t="s">
        <v>1463</v>
      </c>
      <c r="B9" s="73"/>
      <c r="C9" s="73"/>
      <c r="D9" s="73"/>
      <c r="E9" s="73"/>
      <c r="F9" s="73"/>
      <c r="G9" s="73"/>
      <c r="H9" s="73"/>
      <c r="I9" s="73"/>
      <c r="J9" s="73"/>
      <c r="K9" s="75">
        <f>SUM(K6:K8)</f>
        <v>0</v>
      </c>
      <c r="L9" s="75">
        <f>SUM(L6:L8)</f>
        <v>0</v>
      </c>
      <c r="M9" s="129">
        <f>L9/12</f>
        <v>0</v>
      </c>
    </row>
    <row r="11" spans="1:13" x14ac:dyDescent="0.2">
      <c r="A11" s="130" t="s">
        <v>437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131"/>
    </row>
    <row r="12" spans="1:13" x14ac:dyDescent="0.2">
      <c r="A12" s="47" t="s">
        <v>1443</v>
      </c>
      <c r="B12" s="47" t="s">
        <v>30</v>
      </c>
      <c r="C12" s="48">
        <f>IF(ISBLANK(B12),0,IF(ISERROR(VALUE(B12)),VLOOKUP(B12,dagsoorttabel1,2,FALSE)*dagenperjaar1,VALUE(B12)))</f>
        <v>2</v>
      </c>
      <c r="D12" s="47" t="s">
        <v>1193</v>
      </c>
      <c r="E12" s="47" t="s">
        <v>1444</v>
      </c>
      <c r="F12" s="47" t="s">
        <v>1343</v>
      </c>
      <c r="G12" s="135">
        <v>166</v>
      </c>
      <c r="H12" s="144">
        <f>Glas!G6</f>
        <v>0</v>
      </c>
      <c r="I12" s="137"/>
      <c r="J12" s="144">
        <f>Glas!I6</f>
        <v>0</v>
      </c>
      <c r="K12" s="51">
        <f>IF(ISBLANK(G12),0,G12)*ROUND(J12,2)</f>
        <v>0</v>
      </c>
      <c r="L12" s="51">
        <f>C12*K12</f>
        <v>0</v>
      </c>
      <c r="M12" s="51">
        <f>L12/12</f>
        <v>0</v>
      </c>
    </row>
    <row r="13" spans="1:13" x14ac:dyDescent="0.2">
      <c r="A13" s="52" t="s">
        <v>1445</v>
      </c>
      <c r="B13" s="52" t="s">
        <v>30</v>
      </c>
      <c r="C13" s="53">
        <f>IF(ISBLANK(B13),0,IF(ISERROR(VALUE(B13)),VLOOKUP(B13,dagsoorttabel1,2,FALSE)*dagenperjaar1,VALUE(B13)))</f>
        <v>2</v>
      </c>
      <c r="D13" s="52" t="s">
        <v>1193</v>
      </c>
      <c r="E13" s="52" t="s">
        <v>1446</v>
      </c>
      <c r="F13" s="52" t="s">
        <v>1343</v>
      </c>
      <c r="G13" s="138">
        <v>166</v>
      </c>
      <c r="H13" s="145">
        <f>Glas!G8</f>
        <v>0</v>
      </c>
      <c r="I13" s="140"/>
      <c r="J13" s="145">
        <f>Glas!I8</f>
        <v>0</v>
      </c>
      <c r="K13" s="56">
        <f>IF(ISBLANK(G13),0,G13)*ROUND(J13,2)</f>
        <v>0</v>
      </c>
      <c r="L13" s="56">
        <f>C13*K13</f>
        <v>0</v>
      </c>
      <c r="M13" s="56">
        <f>L13/12</f>
        <v>0</v>
      </c>
    </row>
    <row r="14" spans="1:13" x14ac:dyDescent="0.2">
      <c r="A14" s="57" t="s">
        <v>1447</v>
      </c>
      <c r="B14" s="57" t="s">
        <v>30</v>
      </c>
      <c r="C14" s="58">
        <f>IF(ISBLANK(B14),0,IF(ISERROR(VALUE(B14)),VLOOKUP(B14,dagsoorttabel1,2,FALSE)*dagenperjaar1,VALUE(B14)))</f>
        <v>2</v>
      </c>
      <c r="D14" s="57" t="s">
        <v>1193</v>
      </c>
      <c r="E14" s="57" t="s">
        <v>1448</v>
      </c>
      <c r="F14" s="57" t="s">
        <v>1343</v>
      </c>
      <c r="G14" s="141">
        <v>188.4</v>
      </c>
      <c r="H14" s="146">
        <f>Glas!G10</f>
        <v>0</v>
      </c>
      <c r="I14" s="143"/>
      <c r="J14" s="146">
        <f>Glas!I10</f>
        <v>0</v>
      </c>
      <c r="K14" s="61">
        <f>IF(ISBLANK(G14),0,G14)*ROUND(J14,2)</f>
        <v>0</v>
      </c>
      <c r="L14" s="61">
        <f>C14*K14</f>
        <v>0</v>
      </c>
      <c r="M14" s="61">
        <f>L14/12</f>
        <v>0</v>
      </c>
    </row>
    <row r="15" spans="1:13" x14ac:dyDescent="0.2">
      <c r="A15" s="134" t="s">
        <v>1290</v>
      </c>
      <c r="B15" s="73"/>
      <c r="C15" s="73"/>
      <c r="D15" s="73"/>
      <c r="E15" s="73"/>
      <c r="F15" s="73"/>
      <c r="G15" s="73"/>
      <c r="H15" s="73"/>
      <c r="I15" s="73"/>
      <c r="J15" s="73"/>
      <c r="K15" s="75">
        <f>SUM(K12:K14)</f>
        <v>0</v>
      </c>
      <c r="L15" s="75">
        <f>SUM(L12:L14)</f>
        <v>0</v>
      </c>
      <c r="M15" s="129">
        <f>L15/12</f>
        <v>0</v>
      </c>
    </row>
    <row r="17" spans="1:13" x14ac:dyDescent="0.2">
      <c r="A17" s="130" t="s">
        <v>483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131"/>
    </row>
    <row r="18" spans="1:13" x14ac:dyDescent="0.2">
      <c r="A18" s="47" t="s">
        <v>1443</v>
      </c>
      <c r="B18" s="47" t="s">
        <v>30</v>
      </c>
      <c r="C18" s="48">
        <f>IF(ISBLANK(B18),0,IF(ISERROR(VALUE(B18)),VLOOKUP(B18,dagsoorttabel1,2,FALSE)*dagenperjaar1,VALUE(B18)))</f>
        <v>2</v>
      </c>
      <c r="D18" s="47" t="s">
        <v>1193</v>
      </c>
      <c r="E18" s="47" t="s">
        <v>1444</v>
      </c>
      <c r="F18" s="47" t="s">
        <v>1343</v>
      </c>
      <c r="G18" s="135">
        <v>93.6</v>
      </c>
      <c r="H18" s="144">
        <f>Glas!G6</f>
        <v>0</v>
      </c>
      <c r="I18" s="137"/>
      <c r="J18" s="144">
        <f>Glas!I6</f>
        <v>0</v>
      </c>
      <c r="K18" s="51">
        <f>IF(ISBLANK(G18),0,G18)*ROUND(J18,2)</f>
        <v>0</v>
      </c>
      <c r="L18" s="51">
        <f>C18*K18</f>
        <v>0</v>
      </c>
      <c r="M18" s="51">
        <f>L18/12</f>
        <v>0</v>
      </c>
    </row>
    <row r="19" spans="1:13" x14ac:dyDescent="0.2">
      <c r="A19" s="57" t="s">
        <v>1445</v>
      </c>
      <c r="B19" s="57" t="s">
        <v>30</v>
      </c>
      <c r="C19" s="58">
        <f>IF(ISBLANK(B19),0,IF(ISERROR(VALUE(B19)),VLOOKUP(B19,dagsoorttabel1,2,FALSE)*dagenperjaar1,VALUE(B19)))</f>
        <v>2</v>
      </c>
      <c r="D19" s="57" t="s">
        <v>1193</v>
      </c>
      <c r="E19" s="57" t="s">
        <v>1446</v>
      </c>
      <c r="F19" s="57" t="s">
        <v>1343</v>
      </c>
      <c r="G19" s="141">
        <v>93.6</v>
      </c>
      <c r="H19" s="146">
        <f>Glas!G8</f>
        <v>0</v>
      </c>
      <c r="I19" s="143"/>
      <c r="J19" s="146">
        <f>Glas!I8</f>
        <v>0</v>
      </c>
      <c r="K19" s="61">
        <f>IF(ISBLANK(G19),0,G19)*ROUND(J19,2)</f>
        <v>0</v>
      </c>
      <c r="L19" s="61">
        <f>C19*K19</f>
        <v>0</v>
      </c>
      <c r="M19" s="61">
        <f>L19/12</f>
        <v>0</v>
      </c>
    </row>
    <row r="20" spans="1:13" x14ac:dyDescent="0.2">
      <c r="A20" s="134" t="s">
        <v>1464</v>
      </c>
      <c r="B20" s="73"/>
      <c r="C20" s="73"/>
      <c r="D20" s="73"/>
      <c r="E20" s="73"/>
      <c r="F20" s="73"/>
      <c r="G20" s="73"/>
      <c r="H20" s="73"/>
      <c r="I20" s="73"/>
      <c r="J20" s="73"/>
      <c r="K20" s="75">
        <f>SUM(K18:K19)</f>
        <v>0</v>
      </c>
      <c r="L20" s="75">
        <f>SUM(L18:L19)</f>
        <v>0</v>
      </c>
      <c r="M20" s="129">
        <f>L20/12</f>
        <v>0</v>
      </c>
    </row>
    <row r="22" spans="1:13" x14ac:dyDescent="0.2">
      <c r="A22" s="130" t="s">
        <v>485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131"/>
    </row>
    <row r="23" spans="1:13" x14ac:dyDescent="0.2">
      <c r="A23" s="47" t="s">
        <v>1443</v>
      </c>
      <c r="B23" s="47" t="s">
        <v>30</v>
      </c>
      <c r="C23" s="48">
        <f>IF(ISBLANK(B23),0,IF(ISERROR(VALUE(B23)),VLOOKUP(B23,dagsoorttabel1,2,FALSE)*dagenperjaar1,VALUE(B23)))</f>
        <v>2</v>
      </c>
      <c r="D23" s="47" t="s">
        <v>1193</v>
      </c>
      <c r="E23" s="47" t="s">
        <v>1444</v>
      </c>
      <c r="F23" s="47" t="s">
        <v>1343</v>
      </c>
      <c r="G23" s="135">
        <v>6.4</v>
      </c>
      <c r="H23" s="144">
        <f>Glas!G6</f>
        <v>0</v>
      </c>
      <c r="I23" s="137"/>
      <c r="J23" s="144">
        <f>Glas!I6</f>
        <v>0</v>
      </c>
      <c r="K23" s="51">
        <f>IF(ISBLANK(G23),0,G23)*ROUND(J23,2)</f>
        <v>0</v>
      </c>
      <c r="L23" s="51">
        <f>C23*K23</f>
        <v>0</v>
      </c>
      <c r="M23" s="51">
        <f>L23/12</f>
        <v>0</v>
      </c>
    </row>
    <row r="24" spans="1:13" x14ac:dyDescent="0.2">
      <c r="A24" s="52" t="s">
        <v>1445</v>
      </c>
      <c r="B24" s="52" t="s">
        <v>30</v>
      </c>
      <c r="C24" s="53">
        <f>IF(ISBLANK(B24),0,IF(ISERROR(VALUE(B24)),VLOOKUP(B24,dagsoorttabel1,2,FALSE)*dagenperjaar1,VALUE(B24)))</f>
        <v>2</v>
      </c>
      <c r="D24" s="52" t="s">
        <v>1193</v>
      </c>
      <c r="E24" s="52" t="s">
        <v>1446</v>
      </c>
      <c r="F24" s="52" t="s">
        <v>1343</v>
      </c>
      <c r="G24" s="138">
        <v>6.4</v>
      </c>
      <c r="H24" s="145">
        <f>Glas!G8</f>
        <v>0</v>
      </c>
      <c r="I24" s="140"/>
      <c r="J24" s="145">
        <f>Glas!I8</f>
        <v>0</v>
      </c>
      <c r="K24" s="56">
        <f>IF(ISBLANK(G24),0,G24)*ROUND(J24,2)</f>
        <v>0</v>
      </c>
      <c r="L24" s="56">
        <f>C24*K24</f>
        <v>0</v>
      </c>
      <c r="M24" s="56">
        <f>L24/12</f>
        <v>0</v>
      </c>
    </row>
    <row r="25" spans="1:13" x14ac:dyDescent="0.2">
      <c r="A25" s="57" t="s">
        <v>1447</v>
      </c>
      <c r="B25" s="57" t="s">
        <v>30</v>
      </c>
      <c r="C25" s="58">
        <f>IF(ISBLANK(B25),0,IF(ISERROR(VALUE(B25)),VLOOKUP(B25,dagsoorttabel1,2,FALSE)*dagenperjaar1,VALUE(B25)))</f>
        <v>2</v>
      </c>
      <c r="D25" s="57" t="s">
        <v>1193</v>
      </c>
      <c r="E25" s="57" t="s">
        <v>1448</v>
      </c>
      <c r="F25" s="57" t="s">
        <v>1343</v>
      </c>
      <c r="G25" s="141">
        <v>1.4</v>
      </c>
      <c r="H25" s="146">
        <f>Glas!G10</f>
        <v>0</v>
      </c>
      <c r="I25" s="143"/>
      <c r="J25" s="146">
        <f>Glas!I10</f>
        <v>0</v>
      </c>
      <c r="K25" s="61">
        <f>IF(ISBLANK(G25),0,G25)*ROUND(J25,2)</f>
        <v>0</v>
      </c>
      <c r="L25" s="61">
        <f>C25*K25</f>
        <v>0</v>
      </c>
      <c r="M25" s="61">
        <f>L25/12</f>
        <v>0</v>
      </c>
    </row>
    <row r="26" spans="1:13" x14ac:dyDescent="0.2">
      <c r="A26" s="134" t="s">
        <v>1465</v>
      </c>
      <c r="B26" s="73"/>
      <c r="C26" s="73"/>
      <c r="D26" s="73"/>
      <c r="E26" s="73"/>
      <c r="F26" s="73"/>
      <c r="G26" s="73"/>
      <c r="H26" s="73"/>
      <c r="I26" s="73"/>
      <c r="J26" s="73"/>
      <c r="K26" s="75">
        <f>SUM(K23:K25)</f>
        <v>0</v>
      </c>
      <c r="L26" s="75">
        <f>SUM(L23:L25)</f>
        <v>0</v>
      </c>
      <c r="M26" s="129">
        <f>L26/12</f>
        <v>0</v>
      </c>
    </row>
    <row r="28" spans="1:13" x14ac:dyDescent="0.2">
      <c r="A28" s="130" t="s">
        <v>501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131"/>
    </row>
    <row r="29" spans="1:13" x14ac:dyDescent="0.2">
      <c r="A29" s="47" t="s">
        <v>1443</v>
      </c>
      <c r="B29" s="47" t="s">
        <v>30</v>
      </c>
      <c r="C29" s="48">
        <f>IF(ISBLANK(B29),0,IF(ISERROR(VALUE(B29)),VLOOKUP(B29,dagsoorttabel1,2,FALSE)*dagenperjaar1,VALUE(B29)))</f>
        <v>2</v>
      </c>
      <c r="D29" s="47" t="s">
        <v>1193</v>
      </c>
      <c r="E29" s="47" t="s">
        <v>1444</v>
      </c>
      <c r="F29" s="47" t="s">
        <v>1343</v>
      </c>
      <c r="G29" s="135">
        <v>40.799999999999997</v>
      </c>
      <c r="H29" s="144">
        <f>Glas!G6</f>
        <v>0</v>
      </c>
      <c r="I29" s="137"/>
      <c r="J29" s="144">
        <f>Glas!I6</f>
        <v>0</v>
      </c>
      <c r="K29" s="51">
        <f>IF(ISBLANK(G29),0,G29)*ROUND(J29,2)</f>
        <v>0</v>
      </c>
      <c r="L29" s="51">
        <f>C29*K29</f>
        <v>0</v>
      </c>
      <c r="M29" s="51">
        <f>L29/12</f>
        <v>0</v>
      </c>
    </row>
    <row r="30" spans="1:13" x14ac:dyDescent="0.2">
      <c r="A30" s="52" t="s">
        <v>1445</v>
      </c>
      <c r="B30" s="52" t="s">
        <v>30</v>
      </c>
      <c r="C30" s="53">
        <f>IF(ISBLANK(B30),0,IF(ISERROR(VALUE(B30)),VLOOKUP(B30,dagsoorttabel1,2,FALSE)*dagenperjaar1,VALUE(B30)))</f>
        <v>2</v>
      </c>
      <c r="D30" s="52" t="s">
        <v>1193</v>
      </c>
      <c r="E30" s="52" t="s">
        <v>1446</v>
      </c>
      <c r="F30" s="52" t="s">
        <v>1343</v>
      </c>
      <c r="G30" s="138">
        <v>40.799999999999997</v>
      </c>
      <c r="H30" s="145">
        <f>Glas!G8</f>
        <v>0</v>
      </c>
      <c r="I30" s="140"/>
      <c r="J30" s="145">
        <f>Glas!I8</f>
        <v>0</v>
      </c>
      <c r="K30" s="56">
        <f>IF(ISBLANK(G30),0,G30)*ROUND(J30,2)</f>
        <v>0</v>
      </c>
      <c r="L30" s="56">
        <f>C30*K30</f>
        <v>0</v>
      </c>
      <c r="M30" s="56">
        <f>L30/12</f>
        <v>0</v>
      </c>
    </row>
    <row r="31" spans="1:13" x14ac:dyDescent="0.2">
      <c r="A31" s="57" t="s">
        <v>1447</v>
      </c>
      <c r="B31" s="57" t="s">
        <v>30</v>
      </c>
      <c r="C31" s="58">
        <f>IF(ISBLANK(B31),0,IF(ISERROR(VALUE(B31)),VLOOKUP(B31,dagsoorttabel1,2,FALSE)*dagenperjaar1,VALUE(B31)))</f>
        <v>2</v>
      </c>
      <c r="D31" s="57" t="s">
        <v>1193</v>
      </c>
      <c r="E31" s="57" t="s">
        <v>1448</v>
      </c>
      <c r="F31" s="57" t="s">
        <v>1343</v>
      </c>
      <c r="G31" s="141">
        <v>64</v>
      </c>
      <c r="H31" s="146">
        <f>Glas!G10</f>
        <v>0</v>
      </c>
      <c r="I31" s="143"/>
      <c r="J31" s="146">
        <f>Glas!I10</f>
        <v>0</v>
      </c>
      <c r="K31" s="61">
        <f>IF(ISBLANK(G31),0,G31)*ROUND(J31,2)</f>
        <v>0</v>
      </c>
      <c r="L31" s="61">
        <f>C31*K31</f>
        <v>0</v>
      </c>
      <c r="M31" s="61">
        <f>L31/12</f>
        <v>0</v>
      </c>
    </row>
    <row r="32" spans="1:13" x14ac:dyDescent="0.2">
      <c r="A32" s="134" t="s">
        <v>1291</v>
      </c>
      <c r="B32" s="73"/>
      <c r="C32" s="73"/>
      <c r="D32" s="73"/>
      <c r="E32" s="73"/>
      <c r="F32" s="73"/>
      <c r="G32" s="73"/>
      <c r="H32" s="73"/>
      <c r="I32" s="73"/>
      <c r="J32" s="73"/>
      <c r="K32" s="75">
        <f>SUM(K29:K31)</f>
        <v>0</v>
      </c>
      <c r="L32" s="75">
        <f>SUM(L29:L31)</f>
        <v>0</v>
      </c>
      <c r="M32" s="129">
        <f>L32/12</f>
        <v>0</v>
      </c>
    </row>
    <row r="34" spans="1:13" x14ac:dyDescent="0.2">
      <c r="A34" s="130" t="s">
        <v>509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131"/>
    </row>
    <row r="35" spans="1:13" x14ac:dyDescent="0.2">
      <c r="A35" s="47" t="s">
        <v>1443</v>
      </c>
      <c r="B35" s="47" t="s">
        <v>30</v>
      </c>
      <c r="C35" s="48">
        <f>IF(ISBLANK(B35),0,IF(ISERROR(VALUE(B35)),VLOOKUP(B35,dagsoorttabel1,2,FALSE)*dagenperjaar1,VALUE(B35)))</f>
        <v>2</v>
      </c>
      <c r="D35" s="47" t="s">
        <v>1193</v>
      </c>
      <c r="E35" s="47" t="s">
        <v>1444</v>
      </c>
      <c r="F35" s="47" t="s">
        <v>1343</v>
      </c>
      <c r="G35" s="135">
        <v>45</v>
      </c>
      <c r="H35" s="144">
        <f>Glas!G6</f>
        <v>0</v>
      </c>
      <c r="I35" s="137"/>
      <c r="J35" s="144">
        <f>Glas!I6</f>
        <v>0</v>
      </c>
      <c r="K35" s="51">
        <f>IF(ISBLANK(G35),0,G35)*ROUND(J35,2)</f>
        <v>0</v>
      </c>
      <c r="L35" s="51">
        <f>C35*K35</f>
        <v>0</v>
      </c>
      <c r="M35" s="51">
        <f>L35/12</f>
        <v>0</v>
      </c>
    </row>
    <row r="36" spans="1:13" x14ac:dyDescent="0.2">
      <c r="A36" s="57" t="s">
        <v>1445</v>
      </c>
      <c r="B36" s="57" t="s">
        <v>30</v>
      </c>
      <c r="C36" s="58">
        <f>IF(ISBLANK(B36),0,IF(ISERROR(VALUE(B36)),VLOOKUP(B36,dagsoorttabel1,2,FALSE)*dagenperjaar1,VALUE(B36)))</f>
        <v>2</v>
      </c>
      <c r="D36" s="57" t="s">
        <v>1193</v>
      </c>
      <c r="E36" s="57" t="s">
        <v>1446</v>
      </c>
      <c r="F36" s="57" t="s">
        <v>1343</v>
      </c>
      <c r="G36" s="141">
        <v>45</v>
      </c>
      <c r="H36" s="146">
        <f>Glas!G8</f>
        <v>0</v>
      </c>
      <c r="I36" s="143"/>
      <c r="J36" s="146">
        <f>Glas!I8</f>
        <v>0</v>
      </c>
      <c r="K36" s="61">
        <f>IF(ISBLANK(G36),0,G36)*ROUND(J36,2)</f>
        <v>0</v>
      </c>
      <c r="L36" s="61">
        <f>C36*K36</f>
        <v>0</v>
      </c>
      <c r="M36" s="61">
        <f>L36/12</f>
        <v>0</v>
      </c>
    </row>
    <row r="37" spans="1:13" x14ac:dyDescent="0.2">
      <c r="A37" s="134" t="s">
        <v>1466</v>
      </c>
      <c r="B37" s="73"/>
      <c r="C37" s="73"/>
      <c r="D37" s="73"/>
      <c r="E37" s="73"/>
      <c r="F37" s="73"/>
      <c r="G37" s="73"/>
      <c r="H37" s="73"/>
      <c r="I37" s="73"/>
      <c r="J37" s="73"/>
      <c r="K37" s="75">
        <f>SUM(K35:K36)</f>
        <v>0</v>
      </c>
      <c r="L37" s="75">
        <f>SUM(L35:L36)</f>
        <v>0</v>
      </c>
      <c r="M37" s="129">
        <f>L37/12</f>
        <v>0</v>
      </c>
    </row>
    <row r="39" spans="1:13" x14ac:dyDescent="0.2">
      <c r="A39" s="130" t="s">
        <v>511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131"/>
    </row>
    <row r="40" spans="1:13" x14ac:dyDescent="0.2">
      <c r="A40" s="47" t="s">
        <v>1443</v>
      </c>
      <c r="B40" s="47" t="s">
        <v>30</v>
      </c>
      <c r="C40" s="48">
        <f>IF(ISBLANK(B40),0,IF(ISERROR(VALUE(B40)),VLOOKUP(B40,dagsoorttabel1,2,FALSE)*dagenperjaar1,VALUE(B40)))</f>
        <v>2</v>
      </c>
      <c r="D40" s="47" t="s">
        <v>1193</v>
      </c>
      <c r="E40" s="47" t="s">
        <v>1444</v>
      </c>
      <c r="F40" s="47" t="s">
        <v>1343</v>
      </c>
      <c r="G40" s="135">
        <v>11.7</v>
      </c>
      <c r="H40" s="144">
        <f>Glas!G6</f>
        <v>0</v>
      </c>
      <c r="I40" s="137"/>
      <c r="J40" s="144">
        <f>Glas!I6</f>
        <v>0</v>
      </c>
      <c r="K40" s="51">
        <f>IF(ISBLANK(G40),0,G40)*ROUND(J40,2)</f>
        <v>0</v>
      </c>
      <c r="L40" s="51">
        <f>C40*K40</f>
        <v>0</v>
      </c>
      <c r="M40" s="51">
        <f>L40/12</f>
        <v>0</v>
      </c>
    </row>
    <row r="41" spans="1:13" x14ac:dyDescent="0.2">
      <c r="A41" s="52" t="s">
        <v>1445</v>
      </c>
      <c r="B41" s="52" t="s">
        <v>30</v>
      </c>
      <c r="C41" s="53">
        <f>IF(ISBLANK(B41),0,IF(ISERROR(VALUE(B41)),VLOOKUP(B41,dagsoorttabel1,2,FALSE)*dagenperjaar1,VALUE(B41)))</f>
        <v>2</v>
      </c>
      <c r="D41" s="52" t="s">
        <v>1193</v>
      </c>
      <c r="E41" s="52" t="s">
        <v>1446</v>
      </c>
      <c r="F41" s="52" t="s">
        <v>1343</v>
      </c>
      <c r="G41" s="138">
        <v>11.7</v>
      </c>
      <c r="H41" s="145">
        <f>Glas!G8</f>
        <v>0</v>
      </c>
      <c r="I41" s="140"/>
      <c r="J41" s="145">
        <f>Glas!I8</f>
        <v>0</v>
      </c>
      <c r="K41" s="56">
        <f>IF(ISBLANK(G41),0,G41)*ROUND(J41,2)</f>
        <v>0</v>
      </c>
      <c r="L41" s="56">
        <f>C41*K41</f>
        <v>0</v>
      </c>
      <c r="M41" s="56">
        <f>L41/12</f>
        <v>0</v>
      </c>
    </row>
    <row r="42" spans="1:13" x14ac:dyDescent="0.2">
      <c r="A42" s="57" t="s">
        <v>1447</v>
      </c>
      <c r="B42" s="57" t="s">
        <v>30</v>
      </c>
      <c r="C42" s="58">
        <f>IF(ISBLANK(B42),0,IF(ISERROR(VALUE(B42)),VLOOKUP(B42,dagsoorttabel1,2,FALSE)*dagenperjaar1,VALUE(B42)))</f>
        <v>2</v>
      </c>
      <c r="D42" s="57" t="s">
        <v>1193</v>
      </c>
      <c r="E42" s="57" t="s">
        <v>1448</v>
      </c>
      <c r="F42" s="57" t="s">
        <v>1343</v>
      </c>
      <c r="G42" s="141">
        <v>19.2</v>
      </c>
      <c r="H42" s="146">
        <f>Glas!G10</f>
        <v>0</v>
      </c>
      <c r="I42" s="143"/>
      <c r="J42" s="146">
        <f>Glas!I10</f>
        <v>0</v>
      </c>
      <c r="K42" s="61">
        <f>IF(ISBLANK(G42),0,G42)*ROUND(J42,2)</f>
        <v>0</v>
      </c>
      <c r="L42" s="61">
        <f>C42*K42</f>
        <v>0</v>
      </c>
      <c r="M42" s="61">
        <f>L42/12</f>
        <v>0</v>
      </c>
    </row>
    <row r="43" spans="1:13" x14ac:dyDescent="0.2">
      <c r="A43" s="134" t="s">
        <v>1292</v>
      </c>
      <c r="B43" s="73"/>
      <c r="C43" s="73"/>
      <c r="D43" s="73"/>
      <c r="E43" s="73"/>
      <c r="F43" s="73"/>
      <c r="G43" s="73"/>
      <c r="H43" s="73"/>
      <c r="I43" s="73"/>
      <c r="J43" s="73"/>
      <c r="K43" s="75">
        <f>SUM(K40:K42)</f>
        <v>0</v>
      </c>
      <c r="L43" s="75">
        <f>SUM(L40:L42)</f>
        <v>0</v>
      </c>
      <c r="M43" s="129">
        <f>L43/12</f>
        <v>0</v>
      </c>
    </row>
    <row r="45" spans="1:13" x14ac:dyDescent="0.2">
      <c r="A45" s="130" t="s">
        <v>520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131"/>
    </row>
    <row r="46" spans="1:13" x14ac:dyDescent="0.2">
      <c r="A46" s="47" t="s">
        <v>1443</v>
      </c>
      <c r="B46" s="47" t="s">
        <v>30</v>
      </c>
      <c r="C46" s="48">
        <f>IF(ISBLANK(B46),0,IF(ISERROR(VALUE(B46)),VLOOKUP(B46,dagsoorttabel1,2,FALSE)*dagenperjaar1,VALUE(B46)))</f>
        <v>2</v>
      </c>
      <c r="D46" s="47" t="s">
        <v>1193</v>
      </c>
      <c r="E46" s="47" t="s">
        <v>1444</v>
      </c>
      <c r="F46" s="47" t="s">
        <v>1343</v>
      </c>
      <c r="G46" s="135">
        <v>7</v>
      </c>
      <c r="H46" s="144">
        <f>Glas!G6</f>
        <v>0</v>
      </c>
      <c r="I46" s="137"/>
      <c r="J46" s="144">
        <f>Glas!I6</f>
        <v>0</v>
      </c>
      <c r="K46" s="51">
        <f>IF(ISBLANK(G46),0,G46)*ROUND(J46,2)</f>
        <v>0</v>
      </c>
      <c r="L46" s="51">
        <f>C46*K46</f>
        <v>0</v>
      </c>
      <c r="M46" s="51">
        <f>L46/12</f>
        <v>0</v>
      </c>
    </row>
    <row r="47" spans="1:13" x14ac:dyDescent="0.2">
      <c r="A47" s="57" t="s">
        <v>1445</v>
      </c>
      <c r="B47" s="57" t="s">
        <v>30</v>
      </c>
      <c r="C47" s="58">
        <f>IF(ISBLANK(B47),0,IF(ISERROR(VALUE(B47)),VLOOKUP(B47,dagsoorttabel1,2,FALSE)*dagenperjaar1,VALUE(B47)))</f>
        <v>2</v>
      </c>
      <c r="D47" s="57" t="s">
        <v>1193</v>
      </c>
      <c r="E47" s="57" t="s">
        <v>1446</v>
      </c>
      <c r="F47" s="57" t="s">
        <v>1343</v>
      </c>
      <c r="G47" s="141">
        <v>7</v>
      </c>
      <c r="H47" s="146">
        <f>Glas!G8</f>
        <v>0</v>
      </c>
      <c r="I47" s="143"/>
      <c r="J47" s="146">
        <f>Glas!I8</f>
        <v>0</v>
      </c>
      <c r="K47" s="61">
        <f>IF(ISBLANK(G47),0,G47)*ROUND(J47,2)</f>
        <v>0</v>
      </c>
      <c r="L47" s="61">
        <f>C47*K47</f>
        <v>0</v>
      </c>
      <c r="M47" s="61">
        <f>L47/12</f>
        <v>0</v>
      </c>
    </row>
    <row r="48" spans="1:13" x14ac:dyDescent="0.2">
      <c r="A48" s="134" t="s">
        <v>1467</v>
      </c>
      <c r="B48" s="73"/>
      <c r="C48" s="73"/>
      <c r="D48" s="73"/>
      <c r="E48" s="73"/>
      <c r="F48" s="73"/>
      <c r="G48" s="73"/>
      <c r="H48" s="73"/>
      <c r="I48" s="73"/>
      <c r="J48" s="73"/>
      <c r="K48" s="75">
        <f>SUM(K46:K47)</f>
        <v>0</v>
      </c>
      <c r="L48" s="75">
        <f>SUM(L46:L47)</f>
        <v>0</v>
      </c>
      <c r="M48" s="129">
        <f>L48/12</f>
        <v>0</v>
      </c>
    </row>
    <row r="50" spans="1:13" x14ac:dyDescent="0.2">
      <c r="A50" s="130" t="s">
        <v>526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131"/>
    </row>
    <row r="51" spans="1:13" x14ac:dyDescent="0.2">
      <c r="A51" s="47" t="s">
        <v>1443</v>
      </c>
      <c r="B51" s="47" t="s">
        <v>30</v>
      </c>
      <c r="C51" s="48">
        <f>IF(ISBLANK(B51),0,IF(ISERROR(VALUE(B51)),VLOOKUP(B51,dagsoorttabel1,2,FALSE)*dagenperjaar1,VALUE(B51)))</f>
        <v>2</v>
      </c>
      <c r="D51" s="47" t="s">
        <v>1193</v>
      </c>
      <c r="E51" s="47" t="s">
        <v>1444</v>
      </c>
      <c r="F51" s="47" t="s">
        <v>1343</v>
      </c>
      <c r="G51" s="135">
        <v>1098</v>
      </c>
      <c r="H51" s="144">
        <f>Glas!G6</f>
        <v>0</v>
      </c>
      <c r="I51" s="137"/>
      <c r="J51" s="144">
        <f>Glas!I6</f>
        <v>0</v>
      </c>
      <c r="K51" s="51">
        <f>IF(ISBLANK(G51),0,G51)*ROUND(J51,2)</f>
        <v>0</v>
      </c>
      <c r="L51" s="51">
        <f>C51*K51</f>
        <v>0</v>
      </c>
      <c r="M51" s="51">
        <f>L51/12</f>
        <v>0</v>
      </c>
    </row>
    <row r="52" spans="1:13" x14ac:dyDescent="0.2">
      <c r="A52" s="52" t="s">
        <v>1445</v>
      </c>
      <c r="B52" s="52" t="s">
        <v>30</v>
      </c>
      <c r="C52" s="53">
        <f>IF(ISBLANK(B52),0,IF(ISERROR(VALUE(B52)),VLOOKUP(B52,dagsoorttabel1,2,FALSE)*dagenperjaar1,VALUE(B52)))</f>
        <v>2</v>
      </c>
      <c r="D52" s="52" t="s">
        <v>1193</v>
      </c>
      <c r="E52" s="52" t="s">
        <v>1446</v>
      </c>
      <c r="F52" s="52" t="s">
        <v>1343</v>
      </c>
      <c r="G52" s="138">
        <v>1098</v>
      </c>
      <c r="H52" s="145">
        <f>Glas!G8</f>
        <v>0</v>
      </c>
      <c r="I52" s="140"/>
      <c r="J52" s="145">
        <f>Glas!I8</f>
        <v>0</v>
      </c>
      <c r="K52" s="56">
        <f>IF(ISBLANK(G52),0,G52)*ROUND(J52,2)</f>
        <v>0</v>
      </c>
      <c r="L52" s="56">
        <f>C52*K52</f>
        <v>0</v>
      </c>
      <c r="M52" s="56">
        <f>L52/12</f>
        <v>0</v>
      </c>
    </row>
    <row r="53" spans="1:13" x14ac:dyDescent="0.2">
      <c r="A53" s="52" t="s">
        <v>1447</v>
      </c>
      <c r="B53" s="52" t="s">
        <v>30</v>
      </c>
      <c r="C53" s="53">
        <f>IF(ISBLANK(B53),0,IF(ISERROR(VALUE(B53)),VLOOKUP(B53,dagsoorttabel1,2,FALSE)*dagenperjaar1,VALUE(B53)))</f>
        <v>2</v>
      </c>
      <c r="D53" s="52" t="s">
        <v>1193</v>
      </c>
      <c r="E53" s="52" t="s">
        <v>1448</v>
      </c>
      <c r="F53" s="52" t="s">
        <v>1343</v>
      </c>
      <c r="G53" s="138">
        <v>762.2</v>
      </c>
      <c r="H53" s="145">
        <f>Glas!G10</f>
        <v>0</v>
      </c>
      <c r="I53" s="140"/>
      <c r="J53" s="145">
        <f>Glas!I10</f>
        <v>0</v>
      </c>
      <c r="K53" s="56">
        <f>IF(ISBLANK(G53),0,G53)*ROUND(J53,2)</f>
        <v>0</v>
      </c>
      <c r="L53" s="56">
        <f>C53*K53</f>
        <v>0</v>
      </c>
      <c r="M53" s="56">
        <f>L53/12</f>
        <v>0</v>
      </c>
    </row>
    <row r="54" spans="1:13" x14ac:dyDescent="0.2">
      <c r="A54" s="57" t="s">
        <v>1456</v>
      </c>
      <c r="B54" s="57" t="s">
        <v>30</v>
      </c>
      <c r="C54" s="58">
        <f>IF(ISBLANK(B54),0,IF(ISERROR(VALUE(B54)),VLOOKUP(B54,dagsoorttabel1,2,FALSE)*dagenperjaar1,VALUE(B54)))</f>
        <v>2</v>
      </c>
      <c r="D54" s="57" t="s">
        <v>1193</v>
      </c>
      <c r="E54" s="57" t="s">
        <v>1457</v>
      </c>
      <c r="F54" s="57" t="s">
        <v>1455</v>
      </c>
      <c r="G54" s="141">
        <v>1</v>
      </c>
      <c r="H54" s="146">
        <f>Glas!G15</f>
        <v>0</v>
      </c>
      <c r="I54" s="143"/>
      <c r="J54" s="146">
        <f>Glas!I15</f>
        <v>0</v>
      </c>
      <c r="K54" s="61">
        <f>IF(ISBLANK(G54),1,G54)*ROUND(J54,2)</f>
        <v>0</v>
      </c>
      <c r="L54" s="61">
        <f>C54*K54</f>
        <v>0</v>
      </c>
      <c r="M54" s="61">
        <f>L54/12</f>
        <v>0</v>
      </c>
    </row>
    <row r="55" spans="1:13" x14ac:dyDescent="0.2">
      <c r="A55" s="134" t="s">
        <v>1293</v>
      </c>
      <c r="B55" s="73"/>
      <c r="C55" s="73"/>
      <c r="D55" s="73"/>
      <c r="E55" s="73"/>
      <c r="F55" s="73"/>
      <c r="G55" s="73"/>
      <c r="H55" s="73"/>
      <c r="I55" s="73"/>
      <c r="J55" s="73"/>
      <c r="K55" s="75">
        <f>SUM(K51:K54)</f>
        <v>0</v>
      </c>
      <c r="L55" s="75">
        <f>SUM(L51:L54)</f>
        <v>0</v>
      </c>
      <c r="M55" s="129">
        <f>L55/12</f>
        <v>0</v>
      </c>
    </row>
    <row r="57" spans="1:13" x14ac:dyDescent="0.2">
      <c r="A57" s="130" t="s">
        <v>640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131"/>
    </row>
    <row r="58" spans="1:13" x14ac:dyDescent="0.2">
      <c r="A58" s="47" t="s">
        <v>1443</v>
      </c>
      <c r="B58" s="47" t="s">
        <v>30</v>
      </c>
      <c r="C58" s="48">
        <f>IF(ISBLANK(B58),0,IF(ISERROR(VALUE(B58)),VLOOKUP(B58,dagsoorttabel1,2,FALSE)*dagenperjaar1,VALUE(B58)))</f>
        <v>2</v>
      </c>
      <c r="D58" s="47" t="s">
        <v>1193</v>
      </c>
      <c r="E58" s="47" t="s">
        <v>1444</v>
      </c>
      <c r="F58" s="47" t="s">
        <v>1343</v>
      </c>
      <c r="G58" s="135">
        <v>460</v>
      </c>
      <c r="H58" s="144">
        <f>Glas!G6</f>
        <v>0</v>
      </c>
      <c r="I58" s="137"/>
      <c r="J58" s="144">
        <f>Glas!I6</f>
        <v>0</v>
      </c>
      <c r="K58" s="51">
        <f>IF(ISBLANK(G58),0,G58)*ROUND(J58,2)</f>
        <v>0</v>
      </c>
      <c r="L58" s="51">
        <f>C58*K58</f>
        <v>0</v>
      </c>
      <c r="M58" s="51">
        <f>L58/12</f>
        <v>0</v>
      </c>
    </row>
    <row r="59" spans="1:13" x14ac:dyDescent="0.2">
      <c r="A59" s="52" t="s">
        <v>1445</v>
      </c>
      <c r="B59" s="52" t="s">
        <v>30</v>
      </c>
      <c r="C59" s="53">
        <f>IF(ISBLANK(B59),0,IF(ISERROR(VALUE(B59)),VLOOKUP(B59,dagsoorttabel1,2,FALSE)*dagenperjaar1,VALUE(B59)))</f>
        <v>2</v>
      </c>
      <c r="D59" s="52" t="s">
        <v>1193</v>
      </c>
      <c r="E59" s="52" t="s">
        <v>1446</v>
      </c>
      <c r="F59" s="52" t="s">
        <v>1343</v>
      </c>
      <c r="G59" s="138">
        <v>460</v>
      </c>
      <c r="H59" s="145">
        <f>Glas!G8</f>
        <v>0</v>
      </c>
      <c r="I59" s="140"/>
      <c r="J59" s="145">
        <f>Glas!I8</f>
        <v>0</v>
      </c>
      <c r="K59" s="56">
        <f>IF(ISBLANK(G59),0,G59)*ROUND(J59,2)</f>
        <v>0</v>
      </c>
      <c r="L59" s="56">
        <f>C59*K59</f>
        <v>0</v>
      </c>
      <c r="M59" s="56">
        <f>L59/12</f>
        <v>0</v>
      </c>
    </row>
    <row r="60" spans="1:13" x14ac:dyDescent="0.2">
      <c r="A60" s="52" t="s">
        <v>1447</v>
      </c>
      <c r="B60" s="52" t="s">
        <v>30</v>
      </c>
      <c r="C60" s="53">
        <f>IF(ISBLANK(B60),0,IF(ISERROR(VALUE(B60)),VLOOKUP(B60,dagsoorttabel1,2,FALSE)*dagenperjaar1,VALUE(B60)))</f>
        <v>2</v>
      </c>
      <c r="D60" s="52" t="s">
        <v>1193</v>
      </c>
      <c r="E60" s="52" t="s">
        <v>1448</v>
      </c>
      <c r="F60" s="52" t="s">
        <v>1343</v>
      </c>
      <c r="G60" s="138">
        <v>754.2</v>
      </c>
      <c r="H60" s="145">
        <f>Glas!G10</f>
        <v>0</v>
      </c>
      <c r="I60" s="140"/>
      <c r="J60" s="145">
        <f>Glas!I10</f>
        <v>0</v>
      </c>
      <c r="K60" s="56">
        <f>IF(ISBLANK(G60),0,G60)*ROUND(J60,2)</f>
        <v>0</v>
      </c>
      <c r="L60" s="56">
        <f>C60*K60</f>
        <v>0</v>
      </c>
      <c r="M60" s="56">
        <f>L60/12</f>
        <v>0</v>
      </c>
    </row>
    <row r="61" spans="1:13" x14ac:dyDescent="0.2">
      <c r="A61" s="57" t="s">
        <v>1458</v>
      </c>
      <c r="B61" s="57" t="s">
        <v>30</v>
      </c>
      <c r="C61" s="58">
        <f>IF(ISBLANK(B61),0,IF(ISERROR(VALUE(B61)),VLOOKUP(B61,dagsoorttabel1,2,FALSE)*dagenperjaar1,VALUE(B61)))</f>
        <v>2</v>
      </c>
      <c r="D61" s="57" t="s">
        <v>1193</v>
      </c>
      <c r="E61" s="57" t="s">
        <v>1459</v>
      </c>
      <c r="F61" s="57" t="s">
        <v>1455</v>
      </c>
      <c r="G61" s="141">
        <v>1</v>
      </c>
      <c r="H61" s="146">
        <f>Glas!G16</f>
        <v>0</v>
      </c>
      <c r="I61" s="143"/>
      <c r="J61" s="146">
        <f>Glas!I16</f>
        <v>0</v>
      </c>
      <c r="K61" s="61">
        <f>IF(ISBLANK(G61),1,G61)*ROUND(J61,2)</f>
        <v>0</v>
      </c>
      <c r="L61" s="61">
        <f>C61*K61</f>
        <v>0</v>
      </c>
      <c r="M61" s="61">
        <f>L61/12</f>
        <v>0</v>
      </c>
    </row>
    <row r="62" spans="1:13" x14ac:dyDescent="0.2">
      <c r="A62" s="134" t="s">
        <v>1294</v>
      </c>
      <c r="B62" s="73"/>
      <c r="C62" s="73"/>
      <c r="D62" s="73"/>
      <c r="E62" s="73"/>
      <c r="F62" s="73"/>
      <c r="G62" s="73"/>
      <c r="H62" s="73"/>
      <c r="I62" s="73"/>
      <c r="J62" s="73"/>
      <c r="K62" s="75">
        <f>SUM(K58:K61)</f>
        <v>0</v>
      </c>
      <c r="L62" s="75">
        <f>SUM(L58:L61)</f>
        <v>0</v>
      </c>
      <c r="M62" s="129">
        <f>L62/12</f>
        <v>0</v>
      </c>
    </row>
    <row r="64" spans="1:13" x14ac:dyDescent="0.2">
      <c r="A64" s="130" t="s">
        <v>699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131"/>
    </row>
    <row r="65" spans="1:13" x14ac:dyDescent="0.2">
      <c r="A65" s="47" t="s">
        <v>1443</v>
      </c>
      <c r="B65" s="47" t="s">
        <v>30</v>
      </c>
      <c r="C65" s="48">
        <f>IF(ISBLANK(B65),0,IF(ISERROR(VALUE(B65)),VLOOKUP(B65,dagsoorttabel1,2,FALSE)*dagenperjaar1,VALUE(B65)))</f>
        <v>2</v>
      </c>
      <c r="D65" s="47" t="s">
        <v>1193</v>
      </c>
      <c r="E65" s="47" t="s">
        <v>1444</v>
      </c>
      <c r="F65" s="47" t="s">
        <v>1343</v>
      </c>
      <c r="G65" s="135">
        <v>447</v>
      </c>
      <c r="H65" s="144">
        <f>Glas!G6</f>
        <v>0</v>
      </c>
      <c r="I65" s="137"/>
      <c r="J65" s="144">
        <f>Glas!I6</f>
        <v>0</v>
      </c>
      <c r="K65" s="51">
        <f>IF(ISBLANK(G65),0,G65)*ROUND(J65,2)</f>
        <v>0</v>
      </c>
      <c r="L65" s="51">
        <f>C65*K65</f>
        <v>0</v>
      </c>
      <c r="M65" s="51">
        <f>L65/12</f>
        <v>0</v>
      </c>
    </row>
    <row r="66" spans="1:13" x14ac:dyDescent="0.2">
      <c r="A66" s="52" t="s">
        <v>1445</v>
      </c>
      <c r="B66" s="52" t="s">
        <v>30</v>
      </c>
      <c r="C66" s="53">
        <f>IF(ISBLANK(B66),0,IF(ISERROR(VALUE(B66)),VLOOKUP(B66,dagsoorttabel1,2,FALSE)*dagenperjaar1,VALUE(B66)))</f>
        <v>2</v>
      </c>
      <c r="D66" s="52" t="s">
        <v>1193</v>
      </c>
      <c r="E66" s="52" t="s">
        <v>1446</v>
      </c>
      <c r="F66" s="52" t="s">
        <v>1343</v>
      </c>
      <c r="G66" s="138">
        <v>447</v>
      </c>
      <c r="H66" s="145">
        <f>Glas!G8</f>
        <v>0</v>
      </c>
      <c r="I66" s="140"/>
      <c r="J66" s="145">
        <f>Glas!I8</f>
        <v>0</v>
      </c>
      <c r="K66" s="56">
        <f>IF(ISBLANK(G66),0,G66)*ROUND(J66,2)</f>
        <v>0</v>
      </c>
      <c r="L66" s="56">
        <f>C66*K66</f>
        <v>0</v>
      </c>
      <c r="M66" s="56">
        <f>L66/12</f>
        <v>0</v>
      </c>
    </row>
    <row r="67" spans="1:13" x14ac:dyDescent="0.2">
      <c r="A67" s="57" t="s">
        <v>1447</v>
      </c>
      <c r="B67" s="57" t="s">
        <v>30</v>
      </c>
      <c r="C67" s="58">
        <f>IF(ISBLANK(B67),0,IF(ISERROR(VALUE(B67)),VLOOKUP(B67,dagsoorttabel1,2,FALSE)*dagenperjaar1,VALUE(B67)))</f>
        <v>2</v>
      </c>
      <c r="D67" s="57" t="s">
        <v>1193</v>
      </c>
      <c r="E67" s="57" t="s">
        <v>1448</v>
      </c>
      <c r="F67" s="57" t="s">
        <v>1343</v>
      </c>
      <c r="G67" s="141">
        <v>314</v>
      </c>
      <c r="H67" s="146">
        <f>Glas!G10</f>
        <v>0</v>
      </c>
      <c r="I67" s="143"/>
      <c r="J67" s="146">
        <f>Glas!I10</f>
        <v>0</v>
      </c>
      <c r="K67" s="61">
        <f>IF(ISBLANK(G67),0,G67)*ROUND(J67,2)</f>
        <v>0</v>
      </c>
      <c r="L67" s="61">
        <f>C67*K67</f>
        <v>0</v>
      </c>
      <c r="M67" s="61">
        <f>L67/12</f>
        <v>0</v>
      </c>
    </row>
    <row r="68" spans="1:13" x14ac:dyDescent="0.2">
      <c r="A68" s="134" t="s">
        <v>1295</v>
      </c>
      <c r="B68" s="73"/>
      <c r="C68" s="73"/>
      <c r="D68" s="73"/>
      <c r="E68" s="73"/>
      <c r="F68" s="73"/>
      <c r="G68" s="73"/>
      <c r="H68" s="73"/>
      <c r="I68" s="73"/>
      <c r="J68" s="73"/>
      <c r="K68" s="75">
        <f>SUM(K65:K67)</f>
        <v>0</v>
      </c>
      <c r="L68" s="75">
        <f>SUM(L65:L67)</f>
        <v>0</v>
      </c>
      <c r="M68" s="129">
        <f>L68/12</f>
        <v>0</v>
      </c>
    </row>
    <row r="70" spans="1:13" x14ac:dyDescent="0.2">
      <c r="A70" s="130" t="s">
        <v>741</v>
      </c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131"/>
    </row>
    <row r="71" spans="1:13" x14ac:dyDescent="0.2">
      <c r="A71" s="47" t="s">
        <v>1443</v>
      </c>
      <c r="B71" s="47" t="s">
        <v>30</v>
      </c>
      <c r="C71" s="48">
        <f>IF(ISBLANK(B71),0,IF(ISERROR(VALUE(B71)),VLOOKUP(B71,dagsoorttabel1,2,FALSE)*dagenperjaar1,VALUE(B71)))</f>
        <v>2</v>
      </c>
      <c r="D71" s="47" t="s">
        <v>1193</v>
      </c>
      <c r="E71" s="47" t="s">
        <v>1444</v>
      </c>
      <c r="F71" s="47" t="s">
        <v>1343</v>
      </c>
      <c r="G71" s="135">
        <v>51.7</v>
      </c>
      <c r="H71" s="144">
        <f>Glas!G6</f>
        <v>0</v>
      </c>
      <c r="I71" s="137"/>
      <c r="J71" s="144">
        <f>Glas!I6</f>
        <v>0</v>
      </c>
      <c r="K71" s="51">
        <f>IF(ISBLANK(G71),0,G71)*ROUND(J71,2)</f>
        <v>0</v>
      </c>
      <c r="L71" s="51">
        <f>C71*K71</f>
        <v>0</v>
      </c>
      <c r="M71" s="51">
        <f>L71/12</f>
        <v>0</v>
      </c>
    </row>
    <row r="72" spans="1:13" x14ac:dyDescent="0.2">
      <c r="A72" s="57" t="s">
        <v>1445</v>
      </c>
      <c r="B72" s="57" t="s">
        <v>30</v>
      </c>
      <c r="C72" s="58">
        <f>IF(ISBLANK(B72),0,IF(ISERROR(VALUE(B72)),VLOOKUP(B72,dagsoorttabel1,2,FALSE)*dagenperjaar1,VALUE(B72)))</f>
        <v>2</v>
      </c>
      <c r="D72" s="57" t="s">
        <v>1193</v>
      </c>
      <c r="E72" s="57" t="s">
        <v>1446</v>
      </c>
      <c r="F72" s="57" t="s">
        <v>1343</v>
      </c>
      <c r="G72" s="141">
        <v>51.7</v>
      </c>
      <c r="H72" s="146">
        <f>Glas!G8</f>
        <v>0</v>
      </c>
      <c r="I72" s="143"/>
      <c r="J72" s="146">
        <f>Glas!I8</f>
        <v>0</v>
      </c>
      <c r="K72" s="61">
        <f>IF(ISBLANK(G72),0,G72)*ROUND(J72,2)</f>
        <v>0</v>
      </c>
      <c r="L72" s="61">
        <f>C72*K72</f>
        <v>0</v>
      </c>
      <c r="M72" s="61">
        <f>L72/12</f>
        <v>0</v>
      </c>
    </row>
    <row r="73" spans="1:13" x14ac:dyDescent="0.2">
      <c r="A73" s="134" t="s">
        <v>1296</v>
      </c>
      <c r="B73" s="73"/>
      <c r="C73" s="73"/>
      <c r="D73" s="73"/>
      <c r="E73" s="73"/>
      <c r="F73" s="73"/>
      <c r="G73" s="73"/>
      <c r="H73" s="73"/>
      <c r="I73" s="73"/>
      <c r="J73" s="73"/>
      <c r="K73" s="75">
        <f>SUM(K71:K72)</f>
        <v>0</v>
      </c>
      <c r="L73" s="75">
        <f>SUM(L71:L72)</f>
        <v>0</v>
      </c>
      <c r="M73" s="129">
        <f>L73/12</f>
        <v>0</v>
      </c>
    </row>
    <row r="75" spans="1:13" x14ac:dyDescent="0.2">
      <c r="A75" s="130" t="s">
        <v>756</v>
      </c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131"/>
    </row>
    <row r="76" spans="1:13" x14ac:dyDescent="0.2">
      <c r="A76" s="47" t="s">
        <v>1443</v>
      </c>
      <c r="B76" s="47" t="s">
        <v>30</v>
      </c>
      <c r="C76" s="48">
        <f>IF(ISBLANK(B76),0,IF(ISERROR(VALUE(B76)),VLOOKUP(B76,dagsoorttabel1,2,FALSE)*dagenperjaar1,VALUE(B76)))</f>
        <v>2</v>
      </c>
      <c r="D76" s="47" t="s">
        <v>1193</v>
      </c>
      <c r="E76" s="47" t="s">
        <v>1444</v>
      </c>
      <c r="F76" s="47" t="s">
        <v>1343</v>
      </c>
      <c r="G76" s="135">
        <v>401.1</v>
      </c>
      <c r="H76" s="144">
        <f>Glas!G6</f>
        <v>0</v>
      </c>
      <c r="I76" s="137"/>
      <c r="J76" s="144">
        <f>Glas!I6</f>
        <v>0</v>
      </c>
      <c r="K76" s="51">
        <f>IF(ISBLANK(G76),0,G76)*ROUND(J76,2)</f>
        <v>0</v>
      </c>
      <c r="L76" s="51">
        <f>C76*K76</f>
        <v>0</v>
      </c>
      <c r="M76" s="51">
        <f>L76/12</f>
        <v>0</v>
      </c>
    </row>
    <row r="77" spans="1:13" x14ac:dyDescent="0.2">
      <c r="A77" s="52" t="s">
        <v>1445</v>
      </c>
      <c r="B77" s="52" t="s">
        <v>30</v>
      </c>
      <c r="C77" s="53">
        <f>IF(ISBLANK(B77),0,IF(ISERROR(VALUE(B77)),VLOOKUP(B77,dagsoorttabel1,2,FALSE)*dagenperjaar1,VALUE(B77)))</f>
        <v>2</v>
      </c>
      <c r="D77" s="52" t="s">
        <v>1193</v>
      </c>
      <c r="E77" s="52" t="s">
        <v>1446</v>
      </c>
      <c r="F77" s="52" t="s">
        <v>1343</v>
      </c>
      <c r="G77" s="138">
        <v>401.1</v>
      </c>
      <c r="H77" s="145">
        <f>Glas!G8</f>
        <v>0</v>
      </c>
      <c r="I77" s="140"/>
      <c r="J77" s="145">
        <f>Glas!I8</f>
        <v>0</v>
      </c>
      <c r="K77" s="56">
        <f>IF(ISBLANK(G77),0,G77)*ROUND(J77,2)</f>
        <v>0</v>
      </c>
      <c r="L77" s="56">
        <f>C77*K77</f>
        <v>0</v>
      </c>
      <c r="M77" s="56">
        <f>L77/12</f>
        <v>0</v>
      </c>
    </row>
    <row r="78" spans="1:13" x14ac:dyDescent="0.2">
      <c r="A78" s="52" t="s">
        <v>1447</v>
      </c>
      <c r="B78" s="52" t="s">
        <v>30</v>
      </c>
      <c r="C78" s="53">
        <f>IF(ISBLANK(B78),0,IF(ISERROR(VALUE(B78)),VLOOKUP(B78,dagsoorttabel1,2,FALSE)*dagenperjaar1,VALUE(B78)))</f>
        <v>2</v>
      </c>
      <c r="D78" s="52" t="s">
        <v>1193</v>
      </c>
      <c r="E78" s="52" t="s">
        <v>1448</v>
      </c>
      <c r="F78" s="52" t="s">
        <v>1343</v>
      </c>
      <c r="G78" s="138">
        <v>425</v>
      </c>
      <c r="H78" s="145">
        <f>Glas!G10</f>
        <v>0</v>
      </c>
      <c r="I78" s="140"/>
      <c r="J78" s="145">
        <f>Glas!I10</f>
        <v>0</v>
      </c>
      <c r="K78" s="56">
        <f>IF(ISBLANK(G78),0,G78)*ROUND(J78,2)</f>
        <v>0</v>
      </c>
      <c r="L78" s="56">
        <f>C78*K78</f>
        <v>0</v>
      </c>
      <c r="M78" s="56">
        <f>L78/12</f>
        <v>0</v>
      </c>
    </row>
    <row r="79" spans="1:13" x14ac:dyDescent="0.2">
      <c r="A79" s="57" t="s">
        <v>1460</v>
      </c>
      <c r="B79" s="57" t="s">
        <v>30</v>
      </c>
      <c r="C79" s="58">
        <f>IF(ISBLANK(B79),0,IF(ISERROR(VALUE(B79)),VLOOKUP(B79,dagsoorttabel1,2,FALSE)*dagenperjaar1,VALUE(B79)))</f>
        <v>2</v>
      </c>
      <c r="D79" s="57" t="s">
        <v>1193</v>
      </c>
      <c r="E79" s="57" t="s">
        <v>1461</v>
      </c>
      <c r="F79" s="57" t="s">
        <v>1455</v>
      </c>
      <c r="G79" s="141">
        <v>1</v>
      </c>
      <c r="H79" s="146">
        <f>Glas!G17</f>
        <v>0</v>
      </c>
      <c r="I79" s="143"/>
      <c r="J79" s="146">
        <f>Glas!I17</f>
        <v>0</v>
      </c>
      <c r="K79" s="61">
        <f>IF(ISBLANK(G79),1,G79)*ROUND(J79,2)</f>
        <v>0</v>
      </c>
      <c r="L79" s="61">
        <f>C79*K79</f>
        <v>0</v>
      </c>
      <c r="M79" s="61">
        <f>L79/12</f>
        <v>0</v>
      </c>
    </row>
    <row r="80" spans="1:13" x14ac:dyDescent="0.2">
      <c r="A80" s="134" t="s">
        <v>1297</v>
      </c>
      <c r="B80" s="73"/>
      <c r="C80" s="73"/>
      <c r="D80" s="73"/>
      <c r="E80" s="73"/>
      <c r="F80" s="73"/>
      <c r="G80" s="73"/>
      <c r="H80" s="73"/>
      <c r="I80" s="73"/>
      <c r="J80" s="73"/>
      <c r="K80" s="75">
        <f>SUM(K76:K79)</f>
        <v>0</v>
      </c>
      <c r="L80" s="75">
        <f>SUM(L76:L79)</f>
        <v>0</v>
      </c>
      <c r="M80" s="129">
        <f>L80/12</f>
        <v>0</v>
      </c>
    </row>
    <row r="82" spans="1:13" x14ac:dyDescent="0.2">
      <c r="A82" s="130" t="s">
        <v>828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131"/>
    </row>
    <row r="83" spans="1:13" x14ac:dyDescent="0.2">
      <c r="A83" s="47" t="s">
        <v>1443</v>
      </c>
      <c r="B83" s="47" t="s">
        <v>30</v>
      </c>
      <c r="C83" s="48">
        <f>IF(ISBLANK(B83),0,IF(ISERROR(VALUE(B83)),VLOOKUP(B83,dagsoorttabel1,2,FALSE)*dagenperjaar1,VALUE(B83)))</f>
        <v>2</v>
      </c>
      <c r="D83" s="47" t="s">
        <v>1193</v>
      </c>
      <c r="E83" s="47" t="s">
        <v>1444</v>
      </c>
      <c r="F83" s="47" t="s">
        <v>1343</v>
      </c>
      <c r="G83" s="135">
        <v>49.4</v>
      </c>
      <c r="H83" s="144">
        <f>Glas!G6</f>
        <v>0</v>
      </c>
      <c r="I83" s="137"/>
      <c r="J83" s="144">
        <f>Glas!I6</f>
        <v>0</v>
      </c>
      <c r="K83" s="51">
        <f>IF(ISBLANK(G83),0,G83)*ROUND(J83,2)</f>
        <v>0</v>
      </c>
      <c r="L83" s="51">
        <f>C83*K83</f>
        <v>0</v>
      </c>
      <c r="M83" s="51">
        <f>L83/12</f>
        <v>0</v>
      </c>
    </row>
    <row r="84" spans="1:13" x14ac:dyDescent="0.2">
      <c r="A84" s="52" t="s">
        <v>1445</v>
      </c>
      <c r="B84" s="52" t="s">
        <v>30</v>
      </c>
      <c r="C84" s="53">
        <f>IF(ISBLANK(B84),0,IF(ISERROR(VALUE(B84)),VLOOKUP(B84,dagsoorttabel1,2,FALSE)*dagenperjaar1,VALUE(B84)))</f>
        <v>2</v>
      </c>
      <c r="D84" s="52" t="s">
        <v>1193</v>
      </c>
      <c r="E84" s="52" t="s">
        <v>1446</v>
      </c>
      <c r="F84" s="52" t="s">
        <v>1343</v>
      </c>
      <c r="G84" s="138">
        <v>49.4</v>
      </c>
      <c r="H84" s="145">
        <f>Glas!G8</f>
        <v>0</v>
      </c>
      <c r="I84" s="140"/>
      <c r="J84" s="145">
        <f>Glas!I8</f>
        <v>0</v>
      </c>
      <c r="K84" s="56">
        <f>IF(ISBLANK(G84),0,G84)*ROUND(J84,2)</f>
        <v>0</v>
      </c>
      <c r="L84" s="56">
        <f>C84*K84</f>
        <v>0</v>
      </c>
      <c r="M84" s="56">
        <f>L84/12</f>
        <v>0</v>
      </c>
    </row>
    <row r="85" spans="1:13" x14ac:dyDescent="0.2">
      <c r="A85" s="57" t="s">
        <v>1447</v>
      </c>
      <c r="B85" s="57" t="s">
        <v>30</v>
      </c>
      <c r="C85" s="58">
        <f>IF(ISBLANK(B85),0,IF(ISERROR(VALUE(B85)),VLOOKUP(B85,dagsoorttabel1,2,FALSE)*dagenperjaar1,VALUE(B85)))</f>
        <v>2</v>
      </c>
      <c r="D85" s="57" t="s">
        <v>1193</v>
      </c>
      <c r="E85" s="57" t="s">
        <v>1448</v>
      </c>
      <c r="F85" s="57" t="s">
        <v>1343</v>
      </c>
      <c r="G85" s="141">
        <v>12.8</v>
      </c>
      <c r="H85" s="146">
        <f>Glas!G10</f>
        <v>0</v>
      </c>
      <c r="I85" s="143"/>
      <c r="J85" s="146">
        <f>Glas!I10</f>
        <v>0</v>
      </c>
      <c r="K85" s="61">
        <f>IF(ISBLANK(G85),0,G85)*ROUND(J85,2)</f>
        <v>0</v>
      </c>
      <c r="L85" s="61">
        <f>C85*K85</f>
        <v>0</v>
      </c>
      <c r="M85" s="61">
        <f>L85/12</f>
        <v>0</v>
      </c>
    </row>
    <row r="86" spans="1:13" x14ac:dyDescent="0.2">
      <c r="A86" s="134" t="s">
        <v>1468</v>
      </c>
      <c r="B86" s="73"/>
      <c r="C86" s="73"/>
      <c r="D86" s="73"/>
      <c r="E86" s="73"/>
      <c r="F86" s="73"/>
      <c r="G86" s="73"/>
      <c r="H86" s="73"/>
      <c r="I86" s="73"/>
      <c r="J86" s="73"/>
      <c r="K86" s="75">
        <f>SUM(K83:K85)</f>
        <v>0</v>
      </c>
      <c r="L86" s="75">
        <f>SUM(L83:L85)</f>
        <v>0</v>
      </c>
      <c r="M86" s="129">
        <f>L86/12</f>
        <v>0</v>
      </c>
    </row>
    <row r="88" spans="1:13" x14ac:dyDescent="0.2">
      <c r="A88" s="130" t="s">
        <v>844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131"/>
    </row>
    <row r="89" spans="1:13" x14ac:dyDescent="0.2">
      <c r="A89" s="47" t="s">
        <v>1443</v>
      </c>
      <c r="B89" s="47" t="s">
        <v>30</v>
      </c>
      <c r="C89" s="48">
        <f>IF(ISBLANK(B89),0,IF(ISERROR(VALUE(B89)),VLOOKUP(B89,dagsoorttabel1,2,FALSE)*dagenperjaar1,VALUE(B89)))</f>
        <v>2</v>
      </c>
      <c r="D89" s="47" t="s">
        <v>1193</v>
      </c>
      <c r="E89" s="47" t="s">
        <v>1444</v>
      </c>
      <c r="F89" s="47" t="s">
        <v>1343</v>
      </c>
      <c r="G89" s="135">
        <v>14.1</v>
      </c>
      <c r="H89" s="144">
        <f>Glas!G6</f>
        <v>0</v>
      </c>
      <c r="I89" s="137"/>
      <c r="J89" s="144">
        <f>Glas!I6</f>
        <v>0</v>
      </c>
      <c r="K89" s="51">
        <f>IF(ISBLANK(G89),0,G89)*ROUND(J89,2)</f>
        <v>0</v>
      </c>
      <c r="L89" s="51">
        <f>C89*K89</f>
        <v>0</v>
      </c>
      <c r="M89" s="51">
        <f>L89/12</f>
        <v>0</v>
      </c>
    </row>
    <row r="90" spans="1:13" x14ac:dyDescent="0.2">
      <c r="A90" s="52" t="s">
        <v>1445</v>
      </c>
      <c r="B90" s="52" t="s">
        <v>30</v>
      </c>
      <c r="C90" s="53">
        <f>IF(ISBLANK(B90),0,IF(ISERROR(VALUE(B90)),VLOOKUP(B90,dagsoorttabel1,2,FALSE)*dagenperjaar1,VALUE(B90)))</f>
        <v>2</v>
      </c>
      <c r="D90" s="52" t="s">
        <v>1193</v>
      </c>
      <c r="E90" s="52" t="s">
        <v>1446</v>
      </c>
      <c r="F90" s="52" t="s">
        <v>1343</v>
      </c>
      <c r="G90" s="138">
        <v>14.1</v>
      </c>
      <c r="H90" s="145">
        <f>Glas!G8</f>
        <v>0</v>
      </c>
      <c r="I90" s="140"/>
      <c r="J90" s="145">
        <f>Glas!I8</f>
        <v>0</v>
      </c>
      <c r="K90" s="56">
        <f>IF(ISBLANK(G90),0,G90)*ROUND(J90,2)</f>
        <v>0</v>
      </c>
      <c r="L90" s="56">
        <f>C90*K90</f>
        <v>0</v>
      </c>
      <c r="M90" s="56">
        <f>L90/12</f>
        <v>0</v>
      </c>
    </row>
    <row r="91" spans="1:13" x14ac:dyDescent="0.2">
      <c r="A91" s="57" t="s">
        <v>1447</v>
      </c>
      <c r="B91" s="57" t="s">
        <v>30</v>
      </c>
      <c r="C91" s="58">
        <f>IF(ISBLANK(B91),0,IF(ISERROR(VALUE(B91)),VLOOKUP(B91,dagsoorttabel1,2,FALSE)*dagenperjaar1,VALUE(B91)))</f>
        <v>2</v>
      </c>
      <c r="D91" s="57" t="s">
        <v>1193</v>
      </c>
      <c r="E91" s="57" t="s">
        <v>1448</v>
      </c>
      <c r="F91" s="57" t="s">
        <v>1343</v>
      </c>
      <c r="G91" s="141">
        <v>6.6</v>
      </c>
      <c r="H91" s="146">
        <f>Glas!G10</f>
        <v>0</v>
      </c>
      <c r="I91" s="143"/>
      <c r="J91" s="146">
        <f>Glas!I10</f>
        <v>0</v>
      </c>
      <c r="K91" s="61">
        <f>IF(ISBLANK(G91),0,G91)*ROUND(J91,2)</f>
        <v>0</v>
      </c>
      <c r="L91" s="61">
        <f>C91*K91</f>
        <v>0</v>
      </c>
      <c r="M91" s="61">
        <f>L91/12</f>
        <v>0</v>
      </c>
    </row>
    <row r="92" spans="1:13" x14ac:dyDescent="0.2">
      <c r="A92" s="134" t="s">
        <v>1469</v>
      </c>
      <c r="B92" s="73"/>
      <c r="C92" s="73"/>
      <c r="D92" s="73"/>
      <c r="E92" s="73"/>
      <c r="F92" s="73"/>
      <c r="G92" s="73"/>
      <c r="H92" s="73"/>
      <c r="I92" s="73"/>
      <c r="J92" s="73"/>
      <c r="K92" s="75">
        <f>SUM(K89:K91)</f>
        <v>0</v>
      </c>
      <c r="L92" s="75">
        <f>SUM(L89:L91)</f>
        <v>0</v>
      </c>
      <c r="M92" s="129">
        <f>L92/12</f>
        <v>0</v>
      </c>
    </row>
    <row r="94" spans="1:13" x14ac:dyDescent="0.2">
      <c r="A94" s="130" t="s">
        <v>853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131"/>
    </row>
    <row r="95" spans="1:13" x14ac:dyDescent="0.2">
      <c r="A95" s="47" t="s">
        <v>1443</v>
      </c>
      <c r="B95" s="47" t="s">
        <v>30</v>
      </c>
      <c r="C95" s="48">
        <f>IF(ISBLANK(B95),0,IF(ISERROR(VALUE(B95)),VLOOKUP(B95,dagsoorttabel1,2,FALSE)*dagenperjaar1,VALUE(B95)))</f>
        <v>2</v>
      </c>
      <c r="D95" s="47" t="s">
        <v>1193</v>
      </c>
      <c r="E95" s="47" t="s">
        <v>1444</v>
      </c>
      <c r="F95" s="47" t="s">
        <v>1343</v>
      </c>
      <c r="G95" s="135">
        <v>48.5</v>
      </c>
      <c r="H95" s="144">
        <f>Glas!G6</f>
        <v>0</v>
      </c>
      <c r="I95" s="137"/>
      <c r="J95" s="144">
        <f>Glas!I6</f>
        <v>0</v>
      </c>
      <c r="K95" s="51">
        <f>IF(ISBLANK(G95),0,G95)*ROUND(J95,2)</f>
        <v>0</v>
      </c>
      <c r="L95" s="51">
        <f>C95*K95</f>
        <v>0</v>
      </c>
      <c r="M95" s="51">
        <f>L95/12</f>
        <v>0</v>
      </c>
    </row>
    <row r="96" spans="1:13" x14ac:dyDescent="0.2">
      <c r="A96" s="57" t="s">
        <v>1445</v>
      </c>
      <c r="B96" s="57" t="s">
        <v>30</v>
      </c>
      <c r="C96" s="58">
        <f>IF(ISBLANK(B96),0,IF(ISERROR(VALUE(B96)),VLOOKUP(B96,dagsoorttabel1,2,FALSE)*dagenperjaar1,VALUE(B96)))</f>
        <v>2</v>
      </c>
      <c r="D96" s="57" t="s">
        <v>1193</v>
      </c>
      <c r="E96" s="57" t="s">
        <v>1446</v>
      </c>
      <c r="F96" s="57" t="s">
        <v>1343</v>
      </c>
      <c r="G96" s="141">
        <v>48.5</v>
      </c>
      <c r="H96" s="146">
        <f>Glas!G8</f>
        <v>0</v>
      </c>
      <c r="I96" s="143"/>
      <c r="J96" s="146">
        <f>Glas!I8</f>
        <v>0</v>
      </c>
      <c r="K96" s="61">
        <f>IF(ISBLANK(G96),0,G96)*ROUND(J96,2)</f>
        <v>0</v>
      </c>
      <c r="L96" s="61">
        <f>C96*K96</f>
        <v>0</v>
      </c>
      <c r="M96" s="61">
        <f>L96/12</f>
        <v>0</v>
      </c>
    </row>
    <row r="97" spans="1:13" x14ac:dyDescent="0.2">
      <c r="A97" s="134" t="s">
        <v>1470</v>
      </c>
      <c r="B97" s="73"/>
      <c r="C97" s="73"/>
      <c r="D97" s="73"/>
      <c r="E97" s="73"/>
      <c r="F97" s="73"/>
      <c r="G97" s="73"/>
      <c r="H97" s="73"/>
      <c r="I97" s="73"/>
      <c r="J97" s="73"/>
      <c r="K97" s="75">
        <f>SUM(K95:K96)</f>
        <v>0</v>
      </c>
      <c r="L97" s="75">
        <f>SUM(L95:L96)</f>
        <v>0</v>
      </c>
      <c r="M97" s="129">
        <f>L97/12</f>
        <v>0</v>
      </c>
    </row>
    <row r="99" spans="1:13" x14ac:dyDescent="0.2">
      <c r="A99" s="130" t="s">
        <v>855</v>
      </c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131"/>
    </row>
    <row r="100" spans="1:13" x14ac:dyDescent="0.2">
      <c r="A100" s="47" t="s">
        <v>1443</v>
      </c>
      <c r="B100" s="47" t="s">
        <v>30</v>
      </c>
      <c r="C100" s="48">
        <f>IF(ISBLANK(B100),0,IF(ISERROR(VALUE(B100)),VLOOKUP(B100,dagsoorttabel1,2,FALSE)*dagenperjaar1,VALUE(B100)))</f>
        <v>2</v>
      </c>
      <c r="D100" s="47" t="s">
        <v>1193</v>
      </c>
      <c r="E100" s="47" t="s">
        <v>1444</v>
      </c>
      <c r="F100" s="47" t="s">
        <v>1343</v>
      </c>
      <c r="G100" s="135">
        <v>61.5</v>
      </c>
      <c r="H100" s="144">
        <f>Glas!G6</f>
        <v>0</v>
      </c>
      <c r="I100" s="137"/>
      <c r="J100" s="144">
        <f>Glas!I6</f>
        <v>0</v>
      </c>
      <c r="K100" s="51">
        <f>IF(ISBLANK(G100),0,G100)*ROUND(J100,2)</f>
        <v>0</v>
      </c>
      <c r="L100" s="51">
        <f>C100*K100</f>
        <v>0</v>
      </c>
      <c r="M100" s="51">
        <f>L100/12</f>
        <v>0</v>
      </c>
    </row>
    <row r="101" spans="1:13" x14ac:dyDescent="0.2">
      <c r="A101" s="52" t="s">
        <v>1445</v>
      </c>
      <c r="B101" s="52" t="s">
        <v>30</v>
      </c>
      <c r="C101" s="53">
        <f>IF(ISBLANK(B101),0,IF(ISERROR(VALUE(B101)),VLOOKUP(B101,dagsoorttabel1,2,FALSE)*dagenperjaar1,VALUE(B101)))</f>
        <v>2</v>
      </c>
      <c r="D101" s="52" t="s">
        <v>1193</v>
      </c>
      <c r="E101" s="52" t="s">
        <v>1446</v>
      </c>
      <c r="F101" s="52" t="s">
        <v>1343</v>
      </c>
      <c r="G101" s="138">
        <v>61.5</v>
      </c>
      <c r="H101" s="145">
        <f>Glas!G8</f>
        <v>0</v>
      </c>
      <c r="I101" s="140"/>
      <c r="J101" s="145">
        <f>Glas!I8</f>
        <v>0</v>
      </c>
      <c r="K101" s="56">
        <f>IF(ISBLANK(G101),0,G101)*ROUND(J101,2)</f>
        <v>0</v>
      </c>
      <c r="L101" s="56">
        <f>C101*K101</f>
        <v>0</v>
      </c>
      <c r="M101" s="56">
        <f>L101/12</f>
        <v>0</v>
      </c>
    </row>
    <row r="102" spans="1:13" x14ac:dyDescent="0.2">
      <c r="A102" s="57" t="s">
        <v>1447</v>
      </c>
      <c r="B102" s="57" t="s">
        <v>30</v>
      </c>
      <c r="C102" s="58">
        <f>IF(ISBLANK(B102),0,IF(ISERROR(VALUE(B102)),VLOOKUP(B102,dagsoorttabel1,2,FALSE)*dagenperjaar1,VALUE(B102)))</f>
        <v>2</v>
      </c>
      <c r="D102" s="57" t="s">
        <v>1193</v>
      </c>
      <c r="E102" s="57" t="s">
        <v>1448</v>
      </c>
      <c r="F102" s="57" t="s">
        <v>1343</v>
      </c>
      <c r="G102" s="141">
        <v>23.6</v>
      </c>
      <c r="H102" s="146">
        <f>Glas!G10</f>
        <v>0</v>
      </c>
      <c r="I102" s="143"/>
      <c r="J102" s="146">
        <f>Glas!I10</f>
        <v>0</v>
      </c>
      <c r="K102" s="61">
        <f>IF(ISBLANK(G102),0,G102)*ROUND(J102,2)</f>
        <v>0</v>
      </c>
      <c r="L102" s="61">
        <f>C102*K102</f>
        <v>0</v>
      </c>
      <c r="M102" s="61">
        <f>L102/12</f>
        <v>0</v>
      </c>
    </row>
    <row r="103" spans="1:13" x14ac:dyDescent="0.2">
      <c r="A103" s="134" t="s">
        <v>1471</v>
      </c>
      <c r="B103" s="73"/>
      <c r="C103" s="73"/>
      <c r="D103" s="73"/>
      <c r="E103" s="73"/>
      <c r="F103" s="73"/>
      <c r="G103" s="73"/>
      <c r="H103" s="73"/>
      <c r="I103" s="73"/>
      <c r="J103" s="73"/>
      <c r="K103" s="75">
        <f>SUM(K100:K102)</f>
        <v>0</v>
      </c>
      <c r="L103" s="75">
        <f>SUM(L100:L102)</f>
        <v>0</v>
      </c>
      <c r="M103" s="129">
        <f>L103/12</f>
        <v>0</v>
      </c>
    </row>
    <row r="105" spans="1:13" x14ac:dyDescent="0.2">
      <c r="A105" s="130" t="s">
        <v>866</v>
      </c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131"/>
    </row>
    <row r="106" spans="1:13" x14ac:dyDescent="0.2">
      <c r="A106" s="47" t="s">
        <v>1443</v>
      </c>
      <c r="B106" s="47" t="s">
        <v>30</v>
      </c>
      <c r="C106" s="48">
        <f>IF(ISBLANK(B106),0,IF(ISERROR(VALUE(B106)),VLOOKUP(B106,dagsoorttabel1,2,FALSE)*dagenperjaar1,VALUE(B106)))</f>
        <v>2</v>
      </c>
      <c r="D106" s="47" t="s">
        <v>1193</v>
      </c>
      <c r="E106" s="47" t="s">
        <v>1444</v>
      </c>
      <c r="F106" s="47" t="s">
        <v>1343</v>
      </c>
      <c r="G106" s="135">
        <v>75</v>
      </c>
      <c r="H106" s="144">
        <f>Glas!G6</f>
        <v>0</v>
      </c>
      <c r="I106" s="137"/>
      <c r="J106" s="144">
        <f>Glas!I6</f>
        <v>0</v>
      </c>
      <c r="K106" s="51">
        <f>IF(ISBLANK(G106),0,G106)*ROUND(J106,2)</f>
        <v>0</v>
      </c>
      <c r="L106" s="51">
        <f>C106*K106</f>
        <v>0</v>
      </c>
      <c r="M106" s="51">
        <f>L106/12</f>
        <v>0</v>
      </c>
    </row>
    <row r="107" spans="1:13" x14ac:dyDescent="0.2">
      <c r="A107" s="52" t="s">
        <v>1445</v>
      </c>
      <c r="B107" s="52" t="s">
        <v>30</v>
      </c>
      <c r="C107" s="53">
        <f>IF(ISBLANK(B107),0,IF(ISERROR(VALUE(B107)),VLOOKUP(B107,dagsoorttabel1,2,FALSE)*dagenperjaar1,VALUE(B107)))</f>
        <v>2</v>
      </c>
      <c r="D107" s="52" t="s">
        <v>1193</v>
      </c>
      <c r="E107" s="52" t="s">
        <v>1446</v>
      </c>
      <c r="F107" s="52" t="s">
        <v>1343</v>
      </c>
      <c r="G107" s="138">
        <v>75</v>
      </c>
      <c r="H107" s="145">
        <f>Glas!G8</f>
        <v>0</v>
      </c>
      <c r="I107" s="140"/>
      <c r="J107" s="145">
        <f>Glas!I8</f>
        <v>0</v>
      </c>
      <c r="K107" s="56">
        <f>IF(ISBLANK(G107),0,G107)*ROUND(J107,2)</f>
        <v>0</v>
      </c>
      <c r="L107" s="56">
        <f>C107*K107</f>
        <v>0</v>
      </c>
      <c r="M107" s="56">
        <f>L107/12</f>
        <v>0</v>
      </c>
    </row>
    <row r="108" spans="1:13" x14ac:dyDescent="0.2">
      <c r="A108" s="57" t="s">
        <v>1447</v>
      </c>
      <c r="B108" s="57" t="s">
        <v>30</v>
      </c>
      <c r="C108" s="58">
        <f>IF(ISBLANK(B108),0,IF(ISERROR(VALUE(B108)),VLOOKUP(B108,dagsoorttabel1,2,FALSE)*dagenperjaar1,VALUE(B108)))</f>
        <v>2</v>
      </c>
      <c r="D108" s="57" t="s">
        <v>1193</v>
      </c>
      <c r="E108" s="57" t="s">
        <v>1448</v>
      </c>
      <c r="F108" s="57" t="s">
        <v>1343</v>
      </c>
      <c r="G108" s="141">
        <v>36.4</v>
      </c>
      <c r="H108" s="146">
        <f>Glas!G10</f>
        <v>0</v>
      </c>
      <c r="I108" s="143"/>
      <c r="J108" s="146">
        <f>Glas!I10</f>
        <v>0</v>
      </c>
      <c r="K108" s="61">
        <f>IF(ISBLANK(G108),0,G108)*ROUND(J108,2)</f>
        <v>0</v>
      </c>
      <c r="L108" s="61">
        <f>C108*K108</f>
        <v>0</v>
      </c>
      <c r="M108" s="61">
        <f>L108/12</f>
        <v>0</v>
      </c>
    </row>
    <row r="109" spans="1:13" x14ac:dyDescent="0.2">
      <c r="A109" s="134" t="s">
        <v>1472</v>
      </c>
      <c r="B109" s="73"/>
      <c r="C109" s="73"/>
      <c r="D109" s="73"/>
      <c r="E109" s="73"/>
      <c r="F109" s="73"/>
      <c r="G109" s="73"/>
      <c r="H109" s="73"/>
      <c r="I109" s="73"/>
      <c r="J109" s="73"/>
      <c r="K109" s="75">
        <f>SUM(K106:K108)</f>
        <v>0</v>
      </c>
      <c r="L109" s="75">
        <f>SUM(L106:L108)</f>
        <v>0</v>
      </c>
      <c r="M109" s="129">
        <f>L109/12</f>
        <v>0</v>
      </c>
    </row>
    <row r="111" spans="1:13" x14ac:dyDescent="0.2">
      <c r="A111" s="130" t="s">
        <v>911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131"/>
    </row>
    <row r="112" spans="1:13" x14ac:dyDescent="0.2">
      <c r="A112" s="47" t="s">
        <v>1443</v>
      </c>
      <c r="B112" s="47" t="s">
        <v>30</v>
      </c>
      <c r="C112" s="48">
        <f>IF(ISBLANK(B112),0,IF(ISERROR(VALUE(B112)),VLOOKUP(B112,dagsoorttabel1,2,FALSE)*dagenperjaar1,VALUE(B112)))</f>
        <v>2</v>
      </c>
      <c r="D112" s="47" t="s">
        <v>1193</v>
      </c>
      <c r="E112" s="47" t="s">
        <v>1444</v>
      </c>
      <c r="F112" s="47" t="s">
        <v>1343</v>
      </c>
      <c r="G112" s="135">
        <v>136</v>
      </c>
      <c r="H112" s="144">
        <f>Glas!G6</f>
        <v>0</v>
      </c>
      <c r="I112" s="137"/>
      <c r="J112" s="144">
        <f>Glas!I6</f>
        <v>0</v>
      </c>
      <c r="K112" s="51">
        <f>IF(ISBLANK(G112),0,G112)*ROUND(J112,2)</f>
        <v>0</v>
      </c>
      <c r="L112" s="51">
        <f>C112*K112</f>
        <v>0</v>
      </c>
      <c r="M112" s="51">
        <f>L112/12</f>
        <v>0</v>
      </c>
    </row>
    <row r="113" spans="1:13" x14ac:dyDescent="0.2">
      <c r="A113" s="52" t="s">
        <v>1445</v>
      </c>
      <c r="B113" s="52" t="s">
        <v>30</v>
      </c>
      <c r="C113" s="53">
        <f>IF(ISBLANK(B113),0,IF(ISERROR(VALUE(B113)),VLOOKUP(B113,dagsoorttabel1,2,FALSE)*dagenperjaar1,VALUE(B113)))</f>
        <v>2</v>
      </c>
      <c r="D113" s="52" t="s">
        <v>1193</v>
      </c>
      <c r="E113" s="52" t="s">
        <v>1446</v>
      </c>
      <c r="F113" s="52" t="s">
        <v>1343</v>
      </c>
      <c r="G113" s="138">
        <v>136</v>
      </c>
      <c r="H113" s="145">
        <f>Glas!G8</f>
        <v>0</v>
      </c>
      <c r="I113" s="140"/>
      <c r="J113" s="145">
        <f>Glas!I8</f>
        <v>0</v>
      </c>
      <c r="K113" s="56">
        <f>IF(ISBLANK(G113),0,G113)*ROUND(J113,2)</f>
        <v>0</v>
      </c>
      <c r="L113" s="56">
        <f>C113*K113</f>
        <v>0</v>
      </c>
      <c r="M113" s="56">
        <f>L113/12</f>
        <v>0</v>
      </c>
    </row>
    <row r="114" spans="1:13" x14ac:dyDescent="0.2">
      <c r="A114" s="57" t="s">
        <v>1447</v>
      </c>
      <c r="B114" s="57" t="s">
        <v>30</v>
      </c>
      <c r="C114" s="58">
        <f>IF(ISBLANK(B114),0,IF(ISERROR(VALUE(B114)),VLOOKUP(B114,dagsoorttabel1,2,FALSE)*dagenperjaar1,VALUE(B114)))</f>
        <v>2</v>
      </c>
      <c r="D114" s="57" t="s">
        <v>1193</v>
      </c>
      <c r="E114" s="57" t="s">
        <v>1448</v>
      </c>
      <c r="F114" s="57" t="s">
        <v>1343</v>
      </c>
      <c r="G114" s="141">
        <v>101.2</v>
      </c>
      <c r="H114" s="146">
        <f>Glas!G10</f>
        <v>0</v>
      </c>
      <c r="I114" s="143"/>
      <c r="J114" s="146">
        <f>Glas!I10</f>
        <v>0</v>
      </c>
      <c r="K114" s="61">
        <f>IF(ISBLANK(G114),0,G114)*ROUND(J114,2)</f>
        <v>0</v>
      </c>
      <c r="L114" s="61">
        <f>C114*K114</f>
        <v>0</v>
      </c>
      <c r="M114" s="61">
        <f>L114/12</f>
        <v>0</v>
      </c>
    </row>
    <row r="115" spans="1:13" x14ac:dyDescent="0.2">
      <c r="A115" s="134" t="s">
        <v>1298</v>
      </c>
      <c r="B115" s="73"/>
      <c r="C115" s="73"/>
      <c r="D115" s="73"/>
      <c r="E115" s="73"/>
      <c r="F115" s="73"/>
      <c r="G115" s="73"/>
      <c r="H115" s="73"/>
      <c r="I115" s="73"/>
      <c r="J115" s="73"/>
      <c r="K115" s="75">
        <f>SUM(K112:K114)</f>
        <v>0</v>
      </c>
      <c r="L115" s="75">
        <f>SUM(L112:L114)</f>
        <v>0</v>
      </c>
      <c r="M115" s="129">
        <f>L115/12</f>
        <v>0</v>
      </c>
    </row>
    <row r="117" spans="1:13" x14ac:dyDescent="0.2">
      <c r="A117" s="130" t="s">
        <v>924</v>
      </c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131"/>
    </row>
    <row r="118" spans="1:13" x14ac:dyDescent="0.2">
      <c r="A118" s="47" t="s">
        <v>1443</v>
      </c>
      <c r="B118" s="47" t="s">
        <v>30</v>
      </c>
      <c r="C118" s="48">
        <f>IF(ISBLANK(B118),0,IF(ISERROR(VALUE(B118)),VLOOKUP(B118,dagsoorttabel1,2,FALSE)*dagenperjaar1,VALUE(B118)))</f>
        <v>2</v>
      </c>
      <c r="D118" s="47" t="s">
        <v>1193</v>
      </c>
      <c r="E118" s="47" t="s">
        <v>1444</v>
      </c>
      <c r="F118" s="47" t="s">
        <v>1343</v>
      </c>
      <c r="G118" s="135">
        <v>105.5</v>
      </c>
      <c r="H118" s="144">
        <f>Glas!G6</f>
        <v>0</v>
      </c>
      <c r="I118" s="137"/>
      <c r="J118" s="144">
        <f>Glas!I6</f>
        <v>0</v>
      </c>
      <c r="K118" s="51">
        <f>IF(ISBLANK(G118),0,G118)*ROUND(J118,2)</f>
        <v>0</v>
      </c>
      <c r="L118" s="51">
        <f>C118*K118</f>
        <v>0</v>
      </c>
      <c r="M118" s="51">
        <f>L118/12</f>
        <v>0</v>
      </c>
    </row>
    <row r="119" spans="1:13" x14ac:dyDescent="0.2">
      <c r="A119" s="57" t="s">
        <v>1445</v>
      </c>
      <c r="B119" s="57" t="s">
        <v>30</v>
      </c>
      <c r="C119" s="58">
        <f>IF(ISBLANK(B119),0,IF(ISERROR(VALUE(B119)),VLOOKUP(B119,dagsoorttabel1,2,FALSE)*dagenperjaar1,VALUE(B119)))</f>
        <v>2</v>
      </c>
      <c r="D119" s="57" t="s">
        <v>1193</v>
      </c>
      <c r="E119" s="57" t="s">
        <v>1446</v>
      </c>
      <c r="F119" s="57" t="s">
        <v>1343</v>
      </c>
      <c r="G119" s="141">
        <v>105.5</v>
      </c>
      <c r="H119" s="146">
        <f>Glas!G8</f>
        <v>0</v>
      </c>
      <c r="I119" s="143"/>
      <c r="J119" s="146">
        <f>Glas!I8</f>
        <v>0</v>
      </c>
      <c r="K119" s="61">
        <f>IF(ISBLANK(G119),0,G119)*ROUND(J119,2)</f>
        <v>0</v>
      </c>
      <c r="L119" s="61">
        <f>C119*K119</f>
        <v>0</v>
      </c>
      <c r="M119" s="61">
        <f>L119/12</f>
        <v>0</v>
      </c>
    </row>
    <row r="120" spans="1:13" x14ac:dyDescent="0.2">
      <c r="A120" s="134" t="s">
        <v>1473</v>
      </c>
      <c r="B120" s="73"/>
      <c r="C120" s="73"/>
      <c r="D120" s="73"/>
      <c r="E120" s="73"/>
      <c r="F120" s="73"/>
      <c r="G120" s="73"/>
      <c r="H120" s="73"/>
      <c r="I120" s="73"/>
      <c r="J120" s="73"/>
      <c r="K120" s="75">
        <f>SUM(K118:K119)</f>
        <v>0</v>
      </c>
      <c r="L120" s="75">
        <f>SUM(L118:L119)</f>
        <v>0</v>
      </c>
      <c r="M120" s="129">
        <f>L120/12</f>
        <v>0</v>
      </c>
    </row>
    <row r="122" spans="1:13" x14ac:dyDescent="0.2">
      <c r="A122" s="130" t="s">
        <v>939</v>
      </c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131"/>
    </row>
    <row r="123" spans="1:13" x14ac:dyDescent="0.2">
      <c r="A123" s="47" t="s">
        <v>1443</v>
      </c>
      <c r="B123" s="47" t="s">
        <v>30</v>
      </c>
      <c r="C123" s="48">
        <f>IF(ISBLANK(B123),0,IF(ISERROR(VALUE(B123)),VLOOKUP(B123,dagsoorttabel1,2,FALSE)*dagenperjaar1,VALUE(B123)))</f>
        <v>2</v>
      </c>
      <c r="D123" s="47" t="s">
        <v>1193</v>
      </c>
      <c r="E123" s="47" t="s">
        <v>1444</v>
      </c>
      <c r="F123" s="47" t="s">
        <v>1343</v>
      </c>
      <c r="G123" s="135">
        <v>47</v>
      </c>
      <c r="H123" s="144">
        <f>Glas!G6</f>
        <v>0</v>
      </c>
      <c r="I123" s="137"/>
      <c r="J123" s="144">
        <f>Glas!I6</f>
        <v>0</v>
      </c>
      <c r="K123" s="51">
        <f>IF(ISBLANK(G123),0,G123)*ROUND(J123,2)</f>
        <v>0</v>
      </c>
      <c r="L123" s="51">
        <f>C123*K123</f>
        <v>0</v>
      </c>
      <c r="M123" s="51">
        <f>L123/12</f>
        <v>0</v>
      </c>
    </row>
    <row r="124" spans="1:13" x14ac:dyDescent="0.2">
      <c r="A124" s="52" t="s">
        <v>1445</v>
      </c>
      <c r="B124" s="52" t="s">
        <v>30</v>
      </c>
      <c r="C124" s="53">
        <f>IF(ISBLANK(B124),0,IF(ISERROR(VALUE(B124)),VLOOKUP(B124,dagsoorttabel1,2,FALSE)*dagenperjaar1,VALUE(B124)))</f>
        <v>2</v>
      </c>
      <c r="D124" s="52" t="s">
        <v>1193</v>
      </c>
      <c r="E124" s="52" t="s">
        <v>1446</v>
      </c>
      <c r="F124" s="52" t="s">
        <v>1343</v>
      </c>
      <c r="G124" s="138">
        <v>47</v>
      </c>
      <c r="H124" s="145">
        <f>Glas!G8</f>
        <v>0</v>
      </c>
      <c r="I124" s="140"/>
      <c r="J124" s="145">
        <f>Glas!I8</f>
        <v>0</v>
      </c>
      <c r="K124" s="56">
        <f>IF(ISBLANK(G124),0,G124)*ROUND(J124,2)</f>
        <v>0</v>
      </c>
      <c r="L124" s="56">
        <f>C124*K124</f>
        <v>0</v>
      </c>
      <c r="M124" s="56">
        <f>L124/12</f>
        <v>0</v>
      </c>
    </row>
    <row r="125" spans="1:13" x14ac:dyDescent="0.2">
      <c r="A125" s="57" t="s">
        <v>1447</v>
      </c>
      <c r="B125" s="57" t="s">
        <v>30</v>
      </c>
      <c r="C125" s="58">
        <f>IF(ISBLANK(B125),0,IF(ISERROR(VALUE(B125)),VLOOKUP(B125,dagsoorttabel1,2,FALSE)*dagenperjaar1,VALUE(B125)))</f>
        <v>2</v>
      </c>
      <c r="D125" s="57" t="s">
        <v>1193</v>
      </c>
      <c r="E125" s="57" t="s">
        <v>1448</v>
      </c>
      <c r="F125" s="57" t="s">
        <v>1343</v>
      </c>
      <c r="G125" s="141">
        <v>2</v>
      </c>
      <c r="H125" s="146">
        <f>Glas!G10</f>
        <v>0</v>
      </c>
      <c r="I125" s="143"/>
      <c r="J125" s="146">
        <f>Glas!I10</f>
        <v>0</v>
      </c>
      <c r="K125" s="61">
        <f>IF(ISBLANK(G125),0,G125)*ROUND(J125,2)</f>
        <v>0</v>
      </c>
      <c r="L125" s="61">
        <f>C125*K125</f>
        <v>0</v>
      </c>
      <c r="M125" s="61">
        <f>L125/12</f>
        <v>0</v>
      </c>
    </row>
    <row r="126" spans="1:13" x14ac:dyDescent="0.2">
      <c r="A126" s="134" t="s">
        <v>1301</v>
      </c>
      <c r="B126" s="73"/>
      <c r="C126" s="73"/>
      <c r="D126" s="73"/>
      <c r="E126" s="73"/>
      <c r="F126" s="73"/>
      <c r="G126" s="73"/>
      <c r="H126" s="73"/>
      <c r="I126" s="73"/>
      <c r="J126" s="73"/>
      <c r="K126" s="75">
        <f>SUM(K123:K125)</f>
        <v>0</v>
      </c>
      <c r="L126" s="75">
        <f>SUM(L123:L125)</f>
        <v>0</v>
      </c>
      <c r="M126" s="129">
        <f>L126/12</f>
        <v>0</v>
      </c>
    </row>
    <row r="128" spans="1:13" x14ac:dyDescent="0.2">
      <c r="A128" s="130" t="s">
        <v>945</v>
      </c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131"/>
    </row>
    <row r="129" spans="1:13" x14ac:dyDescent="0.2">
      <c r="A129" s="47" t="s">
        <v>1443</v>
      </c>
      <c r="B129" s="47" t="s">
        <v>27</v>
      </c>
      <c r="C129" s="48">
        <f>IF(ISBLANK(B129),0,IF(ISERROR(VALUE(B129)),VLOOKUP(B129,dagsoorttabel1,2,FALSE)*dagenperjaar1,VALUE(B129)))</f>
        <v>6</v>
      </c>
      <c r="D129" s="47" t="s">
        <v>1193</v>
      </c>
      <c r="E129" s="47" t="s">
        <v>1444</v>
      </c>
      <c r="F129" s="47" t="s">
        <v>1343</v>
      </c>
      <c r="G129" s="135">
        <v>1334.8</v>
      </c>
      <c r="H129" s="144">
        <f>Glas!G7</f>
        <v>0</v>
      </c>
      <c r="I129" s="137"/>
      <c r="J129" s="144">
        <f>Glas!I7</f>
        <v>0</v>
      </c>
      <c r="K129" s="51">
        <f>IF(ISBLANK(G129),0,G129)*ROUND(J129,2)</f>
        <v>0</v>
      </c>
      <c r="L129" s="51">
        <f>C129*K129</f>
        <v>0</v>
      </c>
      <c r="M129" s="51">
        <f>L129/12</f>
        <v>0</v>
      </c>
    </row>
    <row r="130" spans="1:13" x14ac:dyDescent="0.2">
      <c r="A130" s="52" t="s">
        <v>1445</v>
      </c>
      <c r="B130" s="52" t="s">
        <v>29</v>
      </c>
      <c r="C130" s="53">
        <f>IF(ISBLANK(B130),0,IF(ISERROR(VALUE(B130)),VLOOKUP(B130,dagsoorttabel1,2,FALSE)*dagenperjaar1,VALUE(B130)))</f>
        <v>3</v>
      </c>
      <c r="D130" s="52" t="s">
        <v>1193</v>
      </c>
      <c r="E130" s="52" t="s">
        <v>1446</v>
      </c>
      <c r="F130" s="52" t="s">
        <v>1343</v>
      </c>
      <c r="G130" s="138">
        <v>1334.8</v>
      </c>
      <c r="H130" s="145">
        <f>Glas!G9</f>
        <v>0</v>
      </c>
      <c r="I130" s="140"/>
      <c r="J130" s="145">
        <f>Glas!I9</f>
        <v>0</v>
      </c>
      <c r="K130" s="56">
        <f>IF(ISBLANK(G130),0,G130)*ROUND(J130,2)</f>
        <v>0</v>
      </c>
      <c r="L130" s="56">
        <f>C130*K130</f>
        <v>0</v>
      </c>
      <c r="M130" s="56">
        <f>L130/12</f>
        <v>0</v>
      </c>
    </row>
    <row r="131" spans="1:13" x14ac:dyDescent="0.2">
      <c r="A131" s="52" t="s">
        <v>1447</v>
      </c>
      <c r="B131" s="52" t="s">
        <v>27</v>
      </c>
      <c r="C131" s="53">
        <f>IF(ISBLANK(B131),0,IF(ISERROR(VALUE(B131)),VLOOKUP(B131,dagsoorttabel1,2,FALSE)*dagenperjaar1,VALUE(B131)))</f>
        <v>6</v>
      </c>
      <c r="D131" s="52" t="s">
        <v>1193</v>
      </c>
      <c r="E131" s="52" t="s">
        <v>1448</v>
      </c>
      <c r="F131" s="52" t="s">
        <v>1343</v>
      </c>
      <c r="G131" s="138">
        <v>1588.3</v>
      </c>
      <c r="H131" s="145">
        <f>Glas!G11</f>
        <v>0</v>
      </c>
      <c r="I131" s="140"/>
      <c r="J131" s="145">
        <f>Glas!I11</f>
        <v>0</v>
      </c>
      <c r="K131" s="56">
        <f>IF(ISBLANK(G131),0,G131)*ROUND(J131,2)</f>
        <v>0</v>
      </c>
      <c r="L131" s="56">
        <f>C131*K131</f>
        <v>0</v>
      </c>
      <c r="M131" s="56">
        <f>L131/12</f>
        <v>0</v>
      </c>
    </row>
    <row r="132" spans="1:13" x14ac:dyDescent="0.2">
      <c r="A132" s="52" t="s">
        <v>1449</v>
      </c>
      <c r="B132" s="52" t="s">
        <v>27</v>
      </c>
      <c r="C132" s="53">
        <f>IF(ISBLANK(B132),0,IF(ISERROR(VALUE(B132)),VLOOKUP(B132,dagsoorttabel1,2,FALSE)*dagenperjaar1,VALUE(B132)))</f>
        <v>6</v>
      </c>
      <c r="D132" s="52" t="s">
        <v>1193</v>
      </c>
      <c r="E132" s="52" t="s">
        <v>1450</v>
      </c>
      <c r="F132" s="52" t="s">
        <v>1343</v>
      </c>
      <c r="G132" s="138">
        <v>452.4</v>
      </c>
      <c r="H132" s="145">
        <f>Glas!G12</f>
        <v>0</v>
      </c>
      <c r="I132" s="140"/>
      <c r="J132" s="145">
        <f>Glas!I12</f>
        <v>0</v>
      </c>
      <c r="K132" s="56">
        <f>IF(ISBLANK(G132),0,G132)*ROUND(J132,2)</f>
        <v>0</v>
      </c>
      <c r="L132" s="56">
        <f>C132*K132</f>
        <v>0</v>
      </c>
      <c r="M132" s="56">
        <f>L132/12</f>
        <v>0</v>
      </c>
    </row>
    <row r="133" spans="1:13" x14ac:dyDescent="0.2">
      <c r="A133" s="52" t="s">
        <v>1451</v>
      </c>
      <c r="B133" s="52" t="s">
        <v>24</v>
      </c>
      <c r="C133" s="53">
        <f>IF(ISBLANK(B133),0,IF(ISERROR(VALUE(B133)),VLOOKUP(B133,dagsoorttabel1,2,FALSE)*dagenperjaar1,VALUE(B133)))</f>
        <v>12</v>
      </c>
      <c r="D133" s="52" t="s">
        <v>1193</v>
      </c>
      <c r="E133" s="52" t="s">
        <v>1452</v>
      </c>
      <c r="F133" s="52" t="s">
        <v>1343</v>
      </c>
      <c r="G133" s="138">
        <v>1073</v>
      </c>
      <c r="H133" s="145">
        <f>Glas!G13</f>
        <v>0</v>
      </c>
      <c r="I133" s="140"/>
      <c r="J133" s="145">
        <f>Glas!I13</f>
        <v>0</v>
      </c>
      <c r="K133" s="56">
        <f>IF(ISBLANK(G133),0,G133)*ROUND(J133,2)</f>
        <v>0</v>
      </c>
      <c r="L133" s="56">
        <f>C133*K133</f>
        <v>0</v>
      </c>
      <c r="M133" s="56">
        <f>L133/12</f>
        <v>0</v>
      </c>
    </row>
    <row r="134" spans="1:13" x14ac:dyDescent="0.2">
      <c r="A134" s="57" t="s">
        <v>1453</v>
      </c>
      <c r="B134" s="57" t="s">
        <v>27</v>
      </c>
      <c r="C134" s="58">
        <f>IF(ISBLANK(B134),0,IF(ISERROR(VALUE(B134)),VLOOKUP(B134,dagsoorttabel1,2,FALSE)*dagenperjaar1,VALUE(B134)))</f>
        <v>6</v>
      </c>
      <c r="D134" s="57" t="s">
        <v>1193</v>
      </c>
      <c r="E134" s="57" t="s">
        <v>1454</v>
      </c>
      <c r="F134" s="57" t="s">
        <v>1455</v>
      </c>
      <c r="G134" s="141">
        <v>1</v>
      </c>
      <c r="H134" s="146">
        <f>Glas!G14</f>
        <v>0</v>
      </c>
      <c r="I134" s="143"/>
      <c r="J134" s="146">
        <f>Glas!I14</f>
        <v>0</v>
      </c>
      <c r="K134" s="61">
        <f>IF(ISBLANK(G134),1,G134)*ROUND(J134,2)</f>
        <v>0</v>
      </c>
      <c r="L134" s="61">
        <f>C134*K134</f>
        <v>0</v>
      </c>
      <c r="M134" s="61">
        <f>L134/12</f>
        <v>0</v>
      </c>
    </row>
    <row r="135" spans="1:13" x14ac:dyDescent="0.2">
      <c r="A135" s="134" t="s">
        <v>1474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5">
        <f>SUM(K129:K134)</f>
        <v>0</v>
      </c>
      <c r="L135" s="75">
        <f>SUM(L129:L134)</f>
        <v>0</v>
      </c>
      <c r="M135" s="129">
        <f>L135/12</f>
        <v>0</v>
      </c>
    </row>
    <row r="137" spans="1:13" x14ac:dyDescent="0.2">
      <c r="A137" s="130" t="s">
        <v>1145</v>
      </c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131"/>
    </row>
    <row r="138" spans="1:13" x14ac:dyDescent="0.2">
      <c r="A138" s="47" t="s">
        <v>1443</v>
      </c>
      <c r="B138" s="47" t="s">
        <v>30</v>
      </c>
      <c r="C138" s="48">
        <f>IF(ISBLANK(B138),0,IF(ISERROR(VALUE(B138)),VLOOKUP(B138,dagsoorttabel1,2,FALSE)*dagenperjaar1,VALUE(B138)))</f>
        <v>2</v>
      </c>
      <c r="D138" s="47" t="s">
        <v>1193</v>
      </c>
      <c r="E138" s="47" t="s">
        <v>1444</v>
      </c>
      <c r="F138" s="47" t="s">
        <v>1343</v>
      </c>
      <c r="G138" s="135">
        <v>6</v>
      </c>
      <c r="H138" s="144">
        <f>Glas!G6</f>
        <v>0</v>
      </c>
      <c r="I138" s="137"/>
      <c r="J138" s="144">
        <f>Glas!I6</f>
        <v>0</v>
      </c>
      <c r="K138" s="51">
        <f>IF(ISBLANK(G138),0,G138)*ROUND(J138,2)</f>
        <v>0</v>
      </c>
      <c r="L138" s="51">
        <f>C138*K138</f>
        <v>0</v>
      </c>
      <c r="M138" s="51">
        <f>L138/12</f>
        <v>0</v>
      </c>
    </row>
    <row r="139" spans="1:13" x14ac:dyDescent="0.2">
      <c r="A139" s="52" t="s">
        <v>1445</v>
      </c>
      <c r="B139" s="52" t="s">
        <v>30</v>
      </c>
      <c r="C139" s="53">
        <f>IF(ISBLANK(B139),0,IF(ISERROR(VALUE(B139)),VLOOKUP(B139,dagsoorttabel1,2,FALSE)*dagenperjaar1,VALUE(B139)))</f>
        <v>2</v>
      </c>
      <c r="D139" s="52" t="s">
        <v>1193</v>
      </c>
      <c r="E139" s="52" t="s">
        <v>1446</v>
      </c>
      <c r="F139" s="52" t="s">
        <v>1343</v>
      </c>
      <c r="G139" s="138">
        <v>6</v>
      </c>
      <c r="H139" s="145">
        <f>Glas!G8</f>
        <v>0</v>
      </c>
      <c r="I139" s="140"/>
      <c r="J139" s="145">
        <f>Glas!I8</f>
        <v>0</v>
      </c>
      <c r="K139" s="56">
        <f>IF(ISBLANK(G139),0,G139)*ROUND(J139,2)</f>
        <v>0</v>
      </c>
      <c r="L139" s="56">
        <f>C139*K139</f>
        <v>0</v>
      </c>
      <c r="M139" s="56">
        <f>L139/12</f>
        <v>0</v>
      </c>
    </row>
    <row r="140" spans="1:13" x14ac:dyDescent="0.2">
      <c r="A140" s="57" t="s">
        <v>1447</v>
      </c>
      <c r="B140" s="57" t="s">
        <v>30</v>
      </c>
      <c r="C140" s="58">
        <f>IF(ISBLANK(B140),0,IF(ISERROR(VALUE(B140)),VLOOKUP(B140,dagsoorttabel1,2,FALSE)*dagenperjaar1,VALUE(B140)))</f>
        <v>2</v>
      </c>
      <c r="D140" s="57" t="s">
        <v>1193</v>
      </c>
      <c r="E140" s="57" t="s">
        <v>1448</v>
      </c>
      <c r="F140" s="57" t="s">
        <v>1343</v>
      </c>
      <c r="G140" s="141">
        <v>68.400000000000006</v>
      </c>
      <c r="H140" s="146">
        <f>Glas!G10</f>
        <v>0</v>
      </c>
      <c r="I140" s="143"/>
      <c r="J140" s="146">
        <f>Glas!I10</f>
        <v>0</v>
      </c>
      <c r="K140" s="61">
        <f>IF(ISBLANK(G140),0,G140)*ROUND(J140,2)</f>
        <v>0</v>
      </c>
      <c r="L140" s="61">
        <f>C140*K140</f>
        <v>0</v>
      </c>
      <c r="M140" s="61">
        <f>L140/12</f>
        <v>0</v>
      </c>
    </row>
    <row r="141" spans="1:13" x14ac:dyDescent="0.2">
      <c r="A141" s="134" t="s">
        <v>1475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5">
        <f>SUM(K138:K140)</f>
        <v>0</v>
      </c>
      <c r="L141" s="75">
        <f>SUM(L138:L140)</f>
        <v>0</v>
      </c>
      <c r="M141" s="129">
        <f>L141/12</f>
        <v>0</v>
      </c>
    </row>
  </sheetData>
  <sheetProtection algorithmName="SHA-512" hashValue="xos5Dsc0YsGgAEQ2ilOFBGNXyGNB2wb0I7Ch/0p53fisY5s7Vbd59Kanov/G4AoW6OdfRAkb9W2hPlAP6Av9gg==" saltValue="RsVUmRDcuB4837n0MCha5A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EBF02-5882-42C1-A4A1-8E21E67709AF}">
  <dimension ref="A1:D9"/>
  <sheetViews>
    <sheetView tabSelected="1" workbookViewId="0"/>
  </sheetViews>
  <sheetFormatPr defaultRowHeight="12.6" x14ac:dyDescent="0.2"/>
  <cols>
    <col min="1" max="1" width="30.6328125" customWidth="1"/>
    <col min="2" max="4" width="20.6328125" customWidth="1"/>
  </cols>
  <sheetData>
    <row r="1" spans="1:4" x14ac:dyDescent="0.2">
      <c r="A1" s="1" t="str">
        <f>CONCATENATE("Bijlage F.1.13: ",tabeltype," totaalblad schoonmaakwerk")</f>
        <v>Bijlage F.1.13: Invultabel totaalblad schoonmaakwerk</v>
      </c>
    </row>
    <row r="3" spans="1:4" ht="25.2" x14ac:dyDescent="0.2">
      <c r="A3" s="40" t="s">
        <v>1476</v>
      </c>
      <c r="B3" s="40" t="s">
        <v>1477</v>
      </c>
      <c r="C3" s="40" t="s">
        <v>1478</v>
      </c>
      <c r="D3" s="40" t="s">
        <v>1479</v>
      </c>
    </row>
    <row r="4" spans="1:4" x14ac:dyDescent="0.2">
      <c r="A4" s="147" t="s">
        <v>1480</v>
      </c>
      <c r="B4" s="62">
        <f>urenjaartotaaloverzicht</f>
        <v>765</v>
      </c>
      <c r="C4" s="62">
        <f>urenjaartotaaloverzichthf</f>
        <v>0</v>
      </c>
      <c r="D4" s="51">
        <f>prijsjaartotaaloverzicht</f>
        <v>0</v>
      </c>
    </row>
    <row r="5" spans="1:4" x14ac:dyDescent="0.2">
      <c r="A5" s="148" t="s">
        <v>1481</v>
      </c>
      <c r="B5" s="149"/>
      <c r="C5" s="149"/>
      <c r="D5" s="56">
        <f>prijsjaaradditioneel</f>
        <v>0</v>
      </c>
    </row>
    <row r="6" spans="1:4" x14ac:dyDescent="0.2">
      <c r="A6" s="148" t="s">
        <v>1482</v>
      </c>
      <c r="B6" s="149"/>
      <c r="C6" s="149"/>
      <c r="D6" s="56">
        <f>prijsjaarafroep</f>
        <v>0</v>
      </c>
    </row>
    <row r="7" spans="1:4" x14ac:dyDescent="0.2">
      <c r="A7" s="150" t="s">
        <v>1483</v>
      </c>
      <c r="B7" s="151"/>
      <c r="C7" s="151"/>
      <c r="D7" s="61">
        <f>prijsjaarglas</f>
        <v>0</v>
      </c>
    </row>
    <row r="9" spans="1:4" x14ac:dyDescent="0.2">
      <c r="A9" s="40" t="s">
        <v>1484</v>
      </c>
      <c r="B9" s="74">
        <f>SUM(B4:B7)</f>
        <v>765</v>
      </c>
      <c r="C9" s="74">
        <f>SUM(C4:C7)</f>
        <v>0</v>
      </c>
      <c r="D9" s="75">
        <f>SUM(D4:D7)</f>
        <v>0</v>
      </c>
    </row>
  </sheetData>
  <sheetProtection algorithmName="SHA-512" hashValue="BzYBoGKZ6uNHdpJpoRAz+HQfMOns3tsmuCQsuN3WlpRZA6S9SUqGij6N1b2NSHwfL/hPbNoosdzm8d+7WWlrsQ==" saltValue="4wzoXviIoJyrRPrbVWbOhw==" spinCount="100000" sheet="1" objects="1" scenarios="1" autoFilter="0"/>
  <pageMargins left="0.7" right="0.7" top="0.75" bottom="0.75" header="0.3" footer="0.3"/>
  <pageSetup scale="70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89740-01E8-443A-BEF3-B5852F4B179D}">
  <dimension ref="A1:O53"/>
  <sheetViews>
    <sheetView workbookViewId="0"/>
  </sheetViews>
  <sheetFormatPr defaultRowHeight="12.6" x14ac:dyDescent="0.2"/>
  <cols>
    <col min="1" max="1" width="40.6328125" customWidth="1"/>
    <col min="2" max="2" width="8.1796875" customWidth="1"/>
    <col min="3" max="3" width="10.6328125" customWidth="1"/>
    <col min="4" max="4" width="8.1796875" customWidth="1"/>
    <col min="5" max="5" width="10.6328125" customWidth="1"/>
    <col min="6" max="6" width="8.1796875" customWidth="1"/>
    <col min="7" max="7" width="10.6328125" customWidth="1"/>
    <col min="8" max="8" width="8.1796875" customWidth="1"/>
    <col min="9" max="9" width="10.6328125" customWidth="1"/>
    <col min="10" max="10" width="8.1796875" customWidth="1"/>
    <col min="11" max="11" width="10.6328125" customWidth="1"/>
    <col min="12" max="12" width="8.1796875" customWidth="1"/>
    <col min="13" max="13" width="10.6328125" customWidth="1"/>
    <col min="14" max="14" width="8.1796875" customWidth="1"/>
    <col min="15" max="15" width="10.6328125" customWidth="1"/>
  </cols>
  <sheetData>
    <row r="1" spans="1:15" x14ac:dyDescent="0.2">
      <c r="A1" s="1" t="s">
        <v>34</v>
      </c>
    </row>
    <row r="3" spans="1:15" x14ac:dyDescent="0.2">
      <c r="A3" s="8"/>
      <c r="B3" s="9" t="s">
        <v>35</v>
      </c>
      <c r="C3" s="9"/>
      <c r="D3" s="9" t="s">
        <v>35</v>
      </c>
      <c r="E3" s="9"/>
      <c r="F3" s="9" t="s">
        <v>35</v>
      </c>
      <c r="G3" s="9"/>
      <c r="H3" s="9" t="s">
        <v>35</v>
      </c>
      <c r="I3" s="9"/>
      <c r="J3" s="9" t="s">
        <v>35</v>
      </c>
      <c r="K3" s="9"/>
      <c r="L3" s="9" t="s">
        <v>36</v>
      </c>
      <c r="M3" s="9"/>
      <c r="N3" s="9" t="s">
        <v>36</v>
      </c>
      <c r="O3" s="10"/>
    </row>
    <row r="4" spans="1:15" x14ac:dyDescent="0.2">
      <c r="A4" s="11"/>
      <c r="B4" s="12" t="s">
        <v>37</v>
      </c>
      <c r="C4" s="12"/>
      <c r="D4" s="12" t="s">
        <v>37</v>
      </c>
      <c r="E4" s="12"/>
      <c r="F4" s="12" t="s">
        <v>37</v>
      </c>
      <c r="G4" s="12"/>
      <c r="H4" s="12" t="s">
        <v>38</v>
      </c>
      <c r="I4" s="12"/>
      <c r="J4" s="12" t="s">
        <v>38</v>
      </c>
      <c r="K4" s="12"/>
      <c r="L4" s="12" t="s">
        <v>37</v>
      </c>
      <c r="M4" s="12"/>
      <c r="N4" s="12" t="s">
        <v>38</v>
      </c>
      <c r="O4" s="13"/>
    </row>
    <row r="5" spans="1:15" ht="25.2" customHeight="1" x14ac:dyDescent="0.2">
      <c r="A5" s="14" t="s">
        <v>39</v>
      </c>
      <c r="B5" s="15" t="s">
        <v>40</v>
      </c>
      <c r="C5" s="15"/>
      <c r="D5" s="15" t="s">
        <v>40</v>
      </c>
      <c r="E5" s="15"/>
      <c r="F5" s="15" t="s">
        <v>41</v>
      </c>
      <c r="G5" s="15"/>
      <c r="H5" s="15" t="s">
        <v>42</v>
      </c>
      <c r="I5" s="15"/>
      <c r="J5" s="15" t="s">
        <v>42</v>
      </c>
      <c r="K5" s="15"/>
      <c r="L5" s="15" t="s">
        <v>43</v>
      </c>
      <c r="M5" s="15"/>
      <c r="N5" s="15" t="s">
        <v>44</v>
      </c>
      <c r="O5" s="16"/>
    </row>
    <row r="6" spans="1:15" ht="37.799999999999997" customHeight="1" x14ac:dyDescent="0.2">
      <c r="A6" s="17" t="s">
        <v>45</v>
      </c>
      <c r="B6" s="15" t="s">
        <v>46</v>
      </c>
      <c r="C6" s="15"/>
      <c r="D6" s="15" t="s">
        <v>47</v>
      </c>
      <c r="E6" s="15"/>
      <c r="F6" s="15" t="s">
        <v>48</v>
      </c>
      <c r="G6" s="15"/>
      <c r="H6" s="15" t="s">
        <v>48</v>
      </c>
      <c r="I6" s="15"/>
      <c r="J6" s="15" t="s">
        <v>49</v>
      </c>
      <c r="K6" s="15"/>
      <c r="L6" s="15" t="s">
        <v>47</v>
      </c>
      <c r="M6" s="15"/>
      <c r="N6" s="15" t="s">
        <v>47</v>
      </c>
      <c r="O6" s="16"/>
    </row>
    <row r="7" spans="1:15" x14ac:dyDescent="0.2">
      <c r="A7" s="18" t="s">
        <v>50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</row>
    <row r="8" spans="1:15" x14ac:dyDescent="0.2">
      <c r="A8" s="18" t="s">
        <v>51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</row>
    <row r="9" spans="1:15" x14ac:dyDescent="0.2">
      <c r="A9" s="11" t="s">
        <v>52</v>
      </c>
      <c r="B9" s="21">
        <f>SUM(B7:B8)</f>
        <v>0</v>
      </c>
      <c r="C9" s="21"/>
      <c r="D9" s="21">
        <f>SUM(D7:D8)</f>
        <v>0</v>
      </c>
      <c r="E9" s="21"/>
      <c r="F9" s="21">
        <f>SUM(F7:F8)</f>
        <v>0</v>
      </c>
      <c r="G9" s="21"/>
      <c r="H9" s="21">
        <f>SUM(H7:H8)</f>
        <v>0</v>
      </c>
      <c r="I9" s="21"/>
      <c r="J9" s="21">
        <f>SUM(J7:J8)</f>
        <v>0</v>
      </c>
      <c r="K9" s="21"/>
      <c r="L9" s="21">
        <f>SUM(L7:L8)</f>
        <v>0</v>
      </c>
      <c r="M9" s="21"/>
      <c r="N9" s="21">
        <f>SUM(N7:N8)</f>
        <v>0</v>
      </c>
      <c r="O9" s="22"/>
    </row>
    <row r="10" spans="1:15" x14ac:dyDescent="0.2">
      <c r="A10" s="18" t="s">
        <v>53</v>
      </c>
      <c r="B10" s="23"/>
      <c r="C10" s="24">
        <f>TariefOpbouwBasisloon1*B10</f>
        <v>0</v>
      </c>
      <c r="D10" s="23"/>
      <c r="E10" s="24">
        <f>TariefOpbouwBasisloon2*D10</f>
        <v>0</v>
      </c>
      <c r="F10" s="23"/>
      <c r="G10" s="24">
        <f>TariefOpbouwBasisloon3*F10</f>
        <v>0</v>
      </c>
      <c r="H10" s="23"/>
      <c r="I10" s="24">
        <f>TariefOpbouwBasisloon4*H10</f>
        <v>0</v>
      </c>
      <c r="J10" s="23"/>
      <c r="K10" s="24">
        <f>TariefOpbouwBasisloon5*J10</f>
        <v>0</v>
      </c>
      <c r="L10" s="23"/>
      <c r="M10" s="24">
        <f>TariefOpbouwBasisloon6*L10</f>
        <v>0</v>
      </c>
      <c r="N10" s="23"/>
      <c r="O10" s="25">
        <f>TariefOpbouwBasisloon7*N10</f>
        <v>0</v>
      </c>
    </row>
    <row r="11" spans="1:15" x14ac:dyDescent="0.2">
      <c r="A11" s="18" t="s">
        <v>54</v>
      </c>
      <c r="B11" s="23"/>
      <c r="C11" s="24">
        <f>TariefOpbouwBasisloon1*B11</f>
        <v>0</v>
      </c>
      <c r="D11" s="23"/>
      <c r="E11" s="24">
        <f>TariefOpbouwBasisloon2*D11</f>
        <v>0</v>
      </c>
      <c r="F11" s="23"/>
      <c r="G11" s="24">
        <f>TariefOpbouwBasisloon3*F11</f>
        <v>0</v>
      </c>
      <c r="H11" s="23"/>
      <c r="I11" s="24">
        <f>TariefOpbouwBasisloon4*H11</f>
        <v>0</v>
      </c>
      <c r="J11" s="23"/>
      <c r="K11" s="24">
        <f>TariefOpbouwBasisloon5*J11</f>
        <v>0</v>
      </c>
      <c r="L11" s="23"/>
      <c r="M11" s="24">
        <f>TariefOpbouwBasisloon6*L11</f>
        <v>0</v>
      </c>
      <c r="N11" s="23"/>
      <c r="O11" s="25">
        <f>TariefOpbouwBasisloon7*N11</f>
        <v>0</v>
      </c>
    </row>
    <row r="12" spans="1:15" x14ac:dyDescent="0.2">
      <c r="A12" s="11" t="s">
        <v>55</v>
      </c>
      <c r="B12" s="21">
        <f>SUM(TariefOpbouwBasisloon1,C10:C11)</f>
        <v>0</v>
      </c>
      <c r="C12" s="21"/>
      <c r="D12" s="21">
        <f>SUM(TariefOpbouwBasisloon2,E10:E11)</f>
        <v>0</v>
      </c>
      <c r="E12" s="21"/>
      <c r="F12" s="21">
        <f>SUM(TariefOpbouwBasisloon3,G10:G11)</f>
        <v>0</v>
      </c>
      <c r="G12" s="21"/>
      <c r="H12" s="21">
        <f>SUM(TariefOpbouwBasisloon4,I10:I11)</f>
        <v>0</v>
      </c>
      <c r="I12" s="21"/>
      <c r="J12" s="21">
        <f>SUM(TariefOpbouwBasisloon5,K10:K11)</f>
        <v>0</v>
      </c>
      <c r="K12" s="21"/>
      <c r="L12" s="21">
        <f>SUM(TariefOpbouwBasisloon6,M10:M11)</f>
        <v>0</v>
      </c>
      <c r="M12" s="21"/>
      <c r="N12" s="21">
        <f>SUM(TariefOpbouwBasisloon7,O10:O11)</f>
        <v>0</v>
      </c>
      <c r="O12" s="22"/>
    </row>
    <row r="13" spans="1:15" x14ac:dyDescent="0.2">
      <c r="A13" s="18" t="s">
        <v>56</v>
      </c>
      <c r="B13" s="23"/>
      <c r="C13" s="24">
        <f>TariefOpbouwUurloon1*B13</f>
        <v>0</v>
      </c>
      <c r="D13" s="23"/>
      <c r="E13" s="24">
        <f>TariefOpbouwUurloon2*D13</f>
        <v>0</v>
      </c>
      <c r="F13" s="23"/>
      <c r="G13" s="24">
        <f>TariefOpbouwUurloon3*F13</f>
        <v>0</v>
      </c>
      <c r="H13" s="23"/>
      <c r="I13" s="24">
        <f>TariefOpbouwUurloon4*H13</f>
        <v>0</v>
      </c>
      <c r="J13" s="23"/>
      <c r="K13" s="24">
        <f>TariefOpbouwUurloon5*J13</f>
        <v>0</v>
      </c>
      <c r="L13" s="23"/>
      <c r="M13" s="24">
        <f>TariefOpbouwUurloon6*L13</f>
        <v>0</v>
      </c>
      <c r="N13" s="23"/>
      <c r="O13" s="25">
        <f>TariefOpbouwUurloon7*N13</f>
        <v>0</v>
      </c>
    </row>
    <row r="14" spans="1:15" x14ac:dyDescent="0.2">
      <c r="A14" s="11" t="s">
        <v>57</v>
      </c>
      <c r="B14" s="21">
        <f>SUM(TariefOpbouwUurloon1,C13:C13)</f>
        <v>0</v>
      </c>
      <c r="C14" s="21"/>
      <c r="D14" s="21">
        <f>SUM(TariefOpbouwUurloon2,E13:E13)</f>
        <v>0</v>
      </c>
      <c r="E14" s="21"/>
      <c r="F14" s="21">
        <f>SUM(TariefOpbouwUurloon3,G13:G13)</f>
        <v>0</v>
      </c>
      <c r="G14" s="21"/>
      <c r="H14" s="21">
        <f>SUM(TariefOpbouwUurloon4,I13:I13)</f>
        <v>0</v>
      </c>
      <c r="I14" s="21"/>
      <c r="J14" s="21">
        <f>SUM(TariefOpbouwUurloon5,K13:K13)</f>
        <v>0</v>
      </c>
      <c r="K14" s="21"/>
      <c r="L14" s="21">
        <f>SUM(TariefOpbouwUurloon6,M13:M13)</f>
        <v>0</v>
      </c>
      <c r="M14" s="21"/>
      <c r="N14" s="21">
        <f>SUM(TariefOpbouwUurloon7,O13:O13)</f>
        <v>0</v>
      </c>
      <c r="O14" s="22"/>
    </row>
    <row r="15" spans="1:15" x14ac:dyDescent="0.2">
      <c r="A15" s="18" t="s">
        <v>58</v>
      </c>
      <c r="B15" s="23"/>
      <c r="C15" s="24">
        <f>TariefOpbouwUurloonkosten1*B15</f>
        <v>0</v>
      </c>
      <c r="D15" s="23"/>
      <c r="E15" s="24">
        <f>TariefOpbouwUurloonkosten2*D15</f>
        <v>0</v>
      </c>
      <c r="F15" s="23"/>
      <c r="G15" s="24">
        <f>TariefOpbouwUurloonkosten3*F15</f>
        <v>0</v>
      </c>
      <c r="H15" s="23"/>
      <c r="I15" s="24">
        <f>TariefOpbouwUurloonkosten4*H15</f>
        <v>0</v>
      </c>
      <c r="J15" s="23"/>
      <c r="K15" s="24">
        <f>TariefOpbouwUurloonkosten5*J15</f>
        <v>0</v>
      </c>
      <c r="L15" s="23"/>
      <c r="M15" s="24">
        <f>TariefOpbouwUurloonkosten6*L15</f>
        <v>0</v>
      </c>
      <c r="N15" s="23"/>
      <c r="O15" s="25">
        <f>TariefOpbouwUurloonkosten7*N15</f>
        <v>0</v>
      </c>
    </row>
    <row r="16" spans="1:15" x14ac:dyDescent="0.2">
      <c r="A16" s="18" t="s">
        <v>59</v>
      </c>
      <c r="B16" s="23"/>
      <c r="C16" s="24">
        <f>TariefOpbouwUurloonkosten1*B16</f>
        <v>0</v>
      </c>
      <c r="D16" s="23"/>
      <c r="E16" s="24">
        <f>TariefOpbouwUurloonkosten2*D16</f>
        <v>0</v>
      </c>
      <c r="F16" s="23"/>
      <c r="G16" s="24">
        <f>TariefOpbouwUurloonkosten3*F16</f>
        <v>0</v>
      </c>
      <c r="H16" s="23"/>
      <c r="I16" s="24">
        <f>TariefOpbouwUurloonkosten4*H16</f>
        <v>0</v>
      </c>
      <c r="J16" s="23"/>
      <c r="K16" s="24">
        <f>TariefOpbouwUurloonkosten5*J16</f>
        <v>0</v>
      </c>
      <c r="L16" s="23"/>
      <c r="M16" s="24">
        <f>TariefOpbouwUurloonkosten6*L16</f>
        <v>0</v>
      </c>
      <c r="N16" s="23"/>
      <c r="O16" s="25">
        <f>TariefOpbouwUurloonkosten7*N16</f>
        <v>0</v>
      </c>
    </row>
    <row r="17" spans="1:15" x14ac:dyDescent="0.2">
      <c r="A17" s="18" t="s">
        <v>60</v>
      </c>
      <c r="B17" s="23"/>
      <c r="C17" s="24">
        <f>TariefOpbouwUurloonkosten1*B17</f>
        <v>0</v>
      </c>
      <c r="D17" s="23"/>
      <c r="E17" s="24">
        <f>TariefOpbouwUurloonkosten2*D17</f>
        <v>0</v>
      </c>
      <c r="F17" s="23"/>
      <c r="G17" s="24">
        <f>TariefOpbouwUurloonkosten3*F17</f>
        <v>0</v>
      </c>
      <c r="H17" s="23"/>
      <c r="I17" s="24">
        <f>TariefOpbouwUurloonkosten4*H17</f>
        <v>0</v>
      </c>
      <c r="J17" s="23"/>
      <c r="K17" s="24">
        <f>TariefOpbouwUurloonkosten5*J17</f>
        <v>0</v>
      </c>
      <c r="L17" s="23"/>
      <c r="M17" s="24">
        <f>TariefOpbouwUurloonkosten6*L17</f>
        <v>0</v>
      </c>
      <c r="N17" s="23"/>
      <c r="O17" s="25">
        <f>TariefOpbouwUurloonkosten7*N17</f>
        <v>0</v>
      </c>
    </row>
    <row r="18" spans="1:15" x14ac:dyDescent="0.2">
      <c r="A18" s="18" t="s">
        <v>61</v>
      </c>
      <c r="B18" s="23"/>
      <c r="C18" s="24">
        <f>TariefOpbouwUurloonkosten1*B18</f>
        <v>0</v>
      </c>
      <c r="D18" s="23"/>
      <c r="E18" s="24">
        <f>TariefOpbouwUurloonkosten2*D18</f>
        <v>0</v>
      </c>
      <c r="F18" s="23"/>
      <c r="G18" s="24">
        <f>TariefOpbouwUurloonkosten3*F18</f>
        <v>0</v>
      </c>
      <c r="H18" s="23"/>
      <c r="I18" s="24">
        <f>TariefOpbouwUurloonkosten4*H18</f>
        <v>0</v>
      </c>
      <c r="J18" s="23"/>
      <c r="K18" s="24">
        <f>TariefOpbouwUurloonkosten5*J18</f>
        <v>0</v>
      </c>
      <c r="L18" s="23"/>
      <c r="M18" s="24">
        <f>TariefOpbouwUurloonkosten6*L18</f>
        <v>0</v>
      </c>
      <c r="N18" s="23"/>
      <c r="O18" s="25">
        <f>TariefOpbouwUurloonkosten7*N18</f>
        <v>0</v>
      </c>
    </row>
    <row r="19" spans="1:15" x14ac:dyDescent="0.2">
      <c r="A19" s="11" t="s">
        <v>62</v>
      </c>
      <c r="B19" s="21">
        <f>SUM(TariefOpbouwUurloonkosten1,C15:C18)</f>
        <v>0</v>
      </c>
      <c r="C19" s="21"/>
      <c r="D19" s="21">
        <f>SUM(TariefOpbouwUurloonkosten2,E15:E18)</f>
        <v>0</v>
      </c>
      <c r="E19" s="21"/>
      <c r="F19" s="21">
        <f>SUM(TariefOpbouwUurloonkosten3,G15:G18)</f>
        <v>0</v>
      </c>
      <c r="G19" s="21"/>
      <c r="H19" s="21">
        <f>SUM(TariefOpbouwUurloonkosten4,I15:I18)</f>
        <v>0</v>
      </c>
      <c r="I19" s="21"/>
      <c r="J19" s="21">
        <f>SUM(TariefOpbouwUurloonkosten5,K15:K18)</f>
        <v>0</v>
      </c>
      <c r="K19" s="21"/>
      <c r="L19" s="21">
        <f>SUM(TariefOpbouwUurloonkosten6,M15:M18)</f>
        <v>0</v>
      </c>
      <c r="M19" s="21"/>
      <c r="N19" s="21">
        <f>SUM(TariefOpbouwUurloonkosten7,O15:O18)</f>
        <v>0</v>
      </c>
      <c r="O19" s="22"/>
    </row>
    <row r="20" spans="1:15" x14ac:dyDescent="0.2">
      <c r="A20" s="18" t="s">
        <v>63</v>
      </c>
      <c r="B20" s="23"/>
      <c r="C20" s="24">
        <f>TariefOpbouwTotaalLoonkosten1*B20</f>
        <v>0</v>
      </c>
      <c r="D20" s="23"/>
      <c r="E20" s="24">
        <f>TariefOpbouwTotaalLoonkosten2*D20</f>
        <v>0</v>
      </c>
      <c r="F20" s="23"/>
      <c r="G20" s="24">
        <f>TariefOpbouwTotaalLoonkosten3*F20</f>
        <v>0</v>
      </c>
      <c r="H20" s="23"/>
      <c r="I20" s="24">
        <f>TariefOpbouwTotaalLoonkosten4*H20</f>
        <v>0</v>
      </c>
      <c r="J20" s="23"/>
      <c r="K20" s="24">
        <f>TariefOpbouwTotaalLoonkosten5*J20</f>
        <v>0</v>
      </c>
      <c r="L20" s="23"/>
      <c r="M20" s="24">
        <f>TariefOpbouwTotaalLoonkosten6*L20</f>
        <v>0</v>
      </c>
      <c r="N20" s="23"/>
      <c r="O20" s="25">
        <f>TariefOpbouwTotaalLoonkosten7*N20</f>
        <v>0</v>
      </c>
    </row>
    <row r="21" spans="1:15" x14ac:dyDescent="0.2">
      <c r="A21" s="18" t="s">
        <v>64</v>
      </c>
      <c r="B21" s="23"/>
      <c r="C21" s="24">
        <f>TariefOpbouwTotaalLoonkosten1*B21</f>
        <v>0</v>
      </c>
      <c r="D21" s="23"/>
      <c r="E21" s="24">
        <f>TariefOpbouwTotaalLoonkosten2*D21</f>
        <v>0</v>
      </c>
      <c r="F21" s="23"/>
      <c r="G21" s="24">
        <f>TariefOpbouwTotaalLoonkosten3*F21</f>
        <v>0</v>
      </c>
      <c r="H21" s="23"/>
      <c r="I21" s="24">
        <f>TariefOpbouwTotaalLoonkosten4*H21</f>
        <v>0</v>
      </c>
      <c r="J21" s="23"/>
      <c r="K21" s="24">
        <f>TariefOpbouwTotaalLoonkosten5*J21</f>
        <v>0</v>
      </c>
      <c r="L21" s="23"/>
      <c r="M21" s="24">
        <f>TariefOpbouwTotaalLoonkosten6*L21</f>
        <v>0</v>
      </c>
      <c r="N21" s="23"/>
      <c r="O21" s="25">
        <f>TariefOpbouwTotaalLoonkosten7*N21</f>
        <v>0</v>
      </c>
    </row>
    <row r="22" spans="1:15" x14ac:dyDescent="0.2">
      <c r="A22" s="18" t="s">
        <v>65</v>
      </c>
      <c r="B22" s="23"/>
      <c r="C22" s="24">
        <f>TariefOpbouwTotaalLoonkosten1*B22</f>
        <v>0</v>
      </c>
      <c r="D22" s="23"/>
      <c r="E22" s="24">
        <f>TariefOpbouwTotaalLoonkosten2*D22</f>
        <v>0</v>
      </c>
      <c r="F22" s="23"/>
      <c r="G22" s="24">
        <f>TariefOpbouwTotaalLoonkosten3*F22</f>
        <v>0</v>
      </c>
      <c r="H22" s="23"/>
      <c r="I22" s="24">
        <f>TariefOpbouwTotaalLoonkosten4*H22</f>
        <v>0</v>
      </c>
      <c r="J22" s="23"/>
      <c r="K22" s="24">
        <f>TariefOpbouwTotaalLoonkosten5*J22</f>
        <v>0</v>
      </c>
      <c r="L22" s="23"/>
      <c r="M22" s="24">
        <f>TariefOpbouwTotaalLoonkosten6*L22</f>
        <v>0</v>
      </c>
      <c r="N22" s="23"/>
      <c r="O22" s="25">
        <f>TariefOpbouwTotaalLoonkosten7*N22</f>
        <v>0</v>
      </c>
    </row>
    <row r="23" spans="1:15" x14ac:dyDescent="0.2">
      <c r="A23" s="18" t="s">
        <v>66</v>
      </c>
      <c r="B23" s="23"/>
      <c r="C23" s="24">
        <f>TariefOpbouwTotaalLoonkosten1*B23</f>
        <v>0</v>
      </c>
      <c r="D23" s="23"/>
      <c r="E23" s="24">
        <f>TariefOpbouwTotaalLoonkosten2*D23</f>
        <v>0</v>
      </c>
      <c r="F23" s="23"/>
      <c r="G23" s="24">
        <f>TariefOpbouwTotaalLoonkosten3*F23</f>
        <v>0</v>
      </c>
      <c r="H23" s="23"/>
      <c r="I23" s="24">
        <f>TariefOpbouwTotaalLoonkosten4*H23</f>
        <v>0</v>
      </c>
      <c r="J23" s="23"/>
      <c r="K23" s="24">
        <f>TariefOpbouwTotaalLoonkosten5*J23</f>
        <v>0</v>
      </c>
      <c r="L23" s="23"/>
      <c r="M23" s="24">
        <f>TariefOpbouwTotaalLoonkosten6*L23</f>
        <v>0</v>
      </c>
      <c r="N23" s="23"/>
      <c r="O23" s="25">
        <f>TariefOpbouwTotaalLoonkosten7*N23</f>
        <v>0</v>
      </c>
    </row>
    <row r="24" spans="1:15" x14ac:dyDescent="0.2">
      <c r="A24" s="18" t="s">
        <v>67</v>
      </c>
      <c r="B24" s="23"/>
      <c r="C24" s="24">
        <f>TariefOpbouwTotaalLoonkosten1*B24</f>
        <v>0</v>
      </c>
      <c r="D24" s="23"/>
      <c r="E24" s="24">
        <f>TariefOpbouwTotaalLoonkosten2*D24</f>
        <v>0</v>
      </c>
      <c r="F24" s="23"/>
      <c r="G24" s="24">
        <f>TariefOpbouwTotaalLoonkosten3*F24</f>
        <v>0</v>
      </c>
      <c r="H24" s="23"/>
      <c r="I24" s="24">
        <f>TariefOpbouwTotaalLoonkosten4*H24</f>
        <v>0</v>
      </c>
      <c r="J24" s="23"/>
      <c r="K24" s="24">
        <f>TariefOpbouwTotaalLoonkosten5*J24</f>
        <v>0</v>
      </c>
      <c r="L24" s="23"/>
      <c r="M24" s="24">
        <f>TariefOpbouwTotaalLoonkosten6*L24</f>
        <v>0</v>
      </c>
      <c r="N24" s="23"/>
      <c r="O24" s="25">
        <f>TariefOpbouwTotaalLoonkosten7*N24</f>
        <v>0</v>
      </c>
    </row>
    <row r="25" spans="1:15" x14ac:dyDescent="0.2">
      <c r="A25" s="18" t="s">
        <v>68</v>
      </c>
      <c r="B25" s="23"/>
      <c r="C25" s="24">
        <f>TariefOpbouwTotaalLoonkosten1*B25</f>
        <v>0</v>
      </c>
      <c r="D25" s="23"/>
      <c r="E25" s="24">
        <f>TariefOpbouwTotaalLoonkosten2*D25</f>
        <v>0</v>
      </c>
      <c r="F25" s="23"/>
      <c r="G25" s="24">
        <f>TariefOpbouwTotaalLoonkosten3*F25</f>
        <v>0</v>
      </c>
      <c r="H25" s="23"/>
      <c r="I25" s="24">
        <f>TariefOpbouwTotaalLoonkosten4*H25</f>
        <v>0</v>
      </c>
      <c r="J25" s="23"/>
      <c r="K25" s="24">
        <f>TariefOpbouwTotaalLoonkosten5*J25</f>
        <v>0</v>
      </c>
      <c r="L25" s="23"/>
      <c r="M25" s="24">
        <f>TariefOpbouwTotaalLoonkosten6*L25</f>
        <v>0</v>
      </c>
      <c r="N25" s="23"/>
      <c r="O25" s="25">
        <f>TariefOpbouwTotaalLoonkosten7*N25</f>
        <v>0</v>
      </c>
    </row>
    <row r="26" spans="1:15" x14ac:dyDescent="0.2">
      <c r="A26" s="11" t="s">
        <v>69</v>
      </c>
      <c r="B26" s="21">
        <f>SUM(TariefOpbouwTotaalLoonkosten1,C20:C25)</f>
        <v>0</v>
      </c>
      <c r="C26" s="21"/>
      <c r="D26" s="21">
        <f>SUM(TariefOpbouwTotaalLoonkosten2,E20:E25)</f>
        <v>0</v>
      </c>
      <c r="E26" s="21"/>
      <c r="F26" s="21">
        <f>SUM(TariefOpbouwTotaalLoonkosten3,G20:G25)</f>
        <v>0</v>
      </c>
      <c r="G26" s="21"/>
      <c r="H26" s="21">
        <f>SUM(TariefOpbouwTotaalLoonkosten4,I20:I25)</f>
        <v>0</v>
      </c>
      <c r="I26" s="21"/>
      <c r="J26" s="21">
        <f>SUM(TariefOpbouwTotaalLoonkosten5,K20:K25)</f>
        <v>0</v>
      </c>
      <c r="K26" s="21"/>
      <c r="L26" s="21">
        <f>SUM(TariefOpbouwTotaalLoonkosten6,M20:M25)</f>
        <v>0</v>
      </c>
      <c r="M26" s="21"/>
      <c r="N26" s="21">
        <f>SUM(TariefOpbouwTotaalLoonkosten7,O20:O25)</f>
        <v>0</v>
      </c>
      <c r="O26" s="22"/>
    </row>
    <row r="27" spans="1:15" x14ac:dyDescent="0.2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</row>
    <row r="28" spans="1:15" x14ac:dyDescent="0.2">
      <c r="A28" s="18" t="s">
        <v>70</v>
      </c>
      <c r="B28" s="23"/>
      <c r="C28" s="24">
        <f>TariefOpbouwDirecteKosten1*B28</f>
        <v>0</v>
      </c>
      <c r="D28" s="23"/>
      <c r="E28" s="24">
        <f>TariefOpbouwDirecteKosten2*D28</f>
        <v>0</v>
      </c>
      <c r="F28" s="23"/>
      <c r="G28" s="24">
        <f>TariefOpbouwDirecteKosten3*F28</f>
        <v>0</v>
      </c>
      <c r="H28" s="23"/>
      <c r="I28" s="24">
        <f>TariefOpbouwDirecteKosten4*H28</f>
        <v>0</v>
      </c>
      <c r="J28" s="23"/>
      <c r="K28" s="24">
        <f>TariefOpbouwDirecteKosten5*J28</f>
        <v>0</v>
      </c>
      <c r="L28" s="23"/>
      <c r="M28" s="24">
        <f>TariefOpbouwDirecteKosten6*L28</f>
        <v>0</v>
      </c>
      <c r="N28" s="23"/>
      <c r="O28" s="25">
        <f>TariefOpbouwDirecteKosten7*N28</f>
        <v>0</v>
      </c>
    </row>
    <row r="29" spans="1:15" x14ac:dyDescent="0.2">
      <c r="A29" s="18" t="s">
        <v>71</v>
      </c>
      <c r="B29" s="23"/>
      <c r="C29" s="24">
        <f>TariefOpbouwDirecteKosten1*B29</f>
        <v>0</v>
      </c>
      <c r="D29" s="23"/>
      <c r="E29" s="24">
        <f>TariefOpbouwDirecteKosten2*D29</f>
        <v>0</v>
      </c>
      <c r="F29" s="23"/>
      <c r="G29" s="24">
        <f>TariefOpbouwDirecteKosten3*F29</f>
        <v>0</v>
      </c>
      <c r="H29" s="23"/>
      <c r="I29" s="24">
        <f>TariefOpbouwDirecteKosten4*H29</f>
        <v>0</v>
      </c>
      <c r="J29" s="23"/>
      <c r="K29" s="24">
        <f>TariefOpbouwDirecteKosten5*J29</f>
        <v>0</v>
      </c>
      <c r="L29" s="23"/>
      <c r="M29" s="24">
        <f>TariefOpbouwDirecteKosten6*L29</f>
        <v>0</v>
      </c>
      <c r="N29" s="23"/>
      <c r="O29" s="25">
        <f>TariefOpbouwDirecteKosten7*N29</f>
        <v>0</v>
      </c>
    </row>
    <row r="30" spans="1:15" x14ac:dyDescent="0.2">
      <c r="A30" s="18" t="s">
        <v>72</v>
      </c>
      <c r="B30" s="23"/>
      <c r="C30" s="24">
        <f>TariefOpbouwDirecteKosten1*B30</f>
        <v>0</v>
      </c>
      <c r="D30" s="23"/>
      <c r="E30" s="24">
        <f>TariefOpbouwDirecteKosten2*D30</f>
        <v>0</v>
      </c>
      <c r="F30" s="23"/>
      <c r="G30" s="24">
        <f>TariefOpbouwDirecteKosten3*F30</f>
        <v>0</v>
      </c>
      <c r="H30" s="23"/>
      <c r="I30" s="24">
        <f>TariefOpbouwDirecteKosten4*H30</f>
        <v>0</v>
      </c>
      <c r="J30" s="23"/>
      <c r="K30" s="24">
        <f>TariefOpbouwDirecteKosten5*J30</f>
        <v>0</v>
      </c>
      <c r="L30" s="23"/>
      <c r="M30" s="24">
        <f>TariefOpbouwDirecteKosten6*L30</f>
        <v>0</v>
      </c>
      <c r="N30" s="23"/>
      <c r="O30" s="25">
        <f>TariefOpbouwDirecteKosten7*N30</f>
        <v>0</v>
      </c>
    </row>
    <row r="31" spans="1:15" x14ac:dyDescent="0.2">
      <c r="A31" s="18" t="s">
        <v>73</v>
      </c>
      <c r="B31" s="23"/>
      <c r="C31" s="24">
        <f>TariefOpbouwDirecteKosten1*B31</f>
        <v>0</v>
      </c>
      <c r="D31" s="23"/>
      <c r="E31" s="24">
        <f>TariefOpbouwDirecteKosten2*D31</f>
        <v>0</v>
      </c>
      <c r="F31" s="23"/>
      <c r="G31" s="24">
        <f>TariefOpbouwDirecteKosten3*F31</f>
        <v>0</v>
      </c>
      <c r="H31" s="23"/>
      <c r="I31" s="24">
        <f>TariefOpbouwDirecteKosten4*H31</f>
        <v>0</v>
      </c>
      <c r="J31" s="23"/>
      <c r="K31" s="24">
        <f>TariefOpbouwDirecteKosten5*J31</f>
        <v>0</v>
      </c>
      <c r="L31" s="23"/>
      <c r="M31" s="24">
        <f>TariefOpbouwDirecteKosten6*L31</f>
        <v>0</v>
      </c>
      <c r="N31" s="23"/>
      <c r="O31" s="25">
        <f>TariefOpbouwDirecteKosten7*N31</f>
        <v>0</v>
      </c>
    </row>
    <row r="32" spans="1:15" x14ac:dyDescent="0.2">
      <c r="A32" s="18" t="s">
        <v>74</v>
      </c>
      <c r="B32" s="23"/>
      <c r="C32" s="24">
        <f>TariefOpbouwDirecteKosten1*B32</f>
        <v>0</v>
      </c>
      <c r="D32" s="23"/>
      <c r="E32" s="24">
        <f>TariefOpbouwDirecteKosten2*D32</f>
        <v>0</v>
      </c>
      <c r="F32" s="23"/>
      <c r="G32" s="24">
        <f>TariefOpbouwDirecteKosten3*F32</f>
        <v>0</v>
      </c>
      <c r="H32" s="23"/>
      <c r="I32" s="24">
        <f>TariefOpbouwDirecteKosten4*H32</f>
        <v>0</v>
      </c>
      <c r="J32" s="23"/>
      <c r="K32" s="24">
        <f>TariefOpbouwDirecteKosten5*J32</f>
        <v>0</v>
      </c>
      <c r="L32" s="23"/>
      <c r="M32" s="24">
        <f>TariefOpbouwDirecteKosten6*L32</f>
        <v>0</v>
      </c>
      <c r="N32" s="23"/>
      <c r="O32" s="25">
        <f>TariefOpbouwDirecteKosten7*N32</f>
        <v>0</v>
      </c>
    </row>
    <row r="33" spans="1:15" x14ac:dyDescent="0.2">
      <c r="A33" s="18" t="s">
        <v>75</v>
      </c>
      <c r="B33" s="23"/>
      <c r="C33" s="24">
        <f>TariefOpbouwDirecteKosten1*B33</f>
        <v>0</v>
      </c>
      <c r="D33" s="23"/>
      <c r="E33" s="24">
        <f>TariefOpbouwDirecteKosten2*D33</f>
        <v>0</v>
      </c>
      <c r="F33" s="23"/>
      <c r="G33" s="24">
        <f>TariefOpbouwDirecteKosten3*F33</f>
        <v>0</v>
      </c>
      <c r="H33" s="23"/>
      <c r="I33" s="24">
        <f>TariefOpbouwDirecteKosten4*H33</f>
        <v>0</v>
      </c>
      <c r="J33" s="23"/>
      <c r="K33" s="24">
        <f>TariefOpbouwDirecteKosten5*J33</f>
        <v>0</v>
      </c>
      <c r="L33" s="23"/>
      <c r="M33" s="24">
        <f>TariefOpbouwDirecteKosten6*L33</f>
        <v>0</v>
      </c>
      <c r="N33" s="23"/>
      <c r="O33" s="25">
        <f>TariefOpbouwDirecteKosten7*N33</f>
        <v>0</v>
      </c>
    </row>
    <row r="34" spans="1:15" x14ac:dyDescent="0.2">
      <c r="A34" s="18" t="s">
        <v>76</v>
      </c>
      <c r="B34" s="23"/>
      <c r="C34" s="24">
        <f>TariefOpbouwDirecteKosten1*B34</f>
        <v>0</v>
      </c>
      <c r="D34" s="23"/>
      <c r="E34" s="24">
        <f>TariefOpbouwDirecteKosten2*D34</f>
        <v>0</v>
      </c>
      <c r="F34" s="23"/>
      <c r="G34" s="24">
        <f>TariefOpbouwDirecteKosten3*F34</f>
        <v>0</v>
      </c>
      <c r="H34" s="23"/>
      <c r="I34" s="24">
        <f>TariefOpbouwDirecteKosten4*H34</f>
        <v>0</v>
      </c>
      <c r="J34" s="23"/>
      <c r="K34" s="24">
        <f>TariefOpbouwDirecteKosten5*J34</f>
        <v>0</v>
      </c>
      <c r="L34" s="23"/>
      <c r="M34" s="24">
        <f>TariefOpbouwDirecteKosten6*L34</f>
        <v>0</v>
      </c>
      <c r="N34" s="23"/>
      <c r="O34" s="25">
        <f>TariefOpbouwDirecteKosten7*N34</f>
        <v>0</v>
      </c>
    </row>
    <row r="35" spans="1:15" x14ac:dyDescent="0.2">
      <c r="A35" s="11" t="s">
        <v>77</v>
      </c>
      <c r="B35" s="21">
        <f>SUM(C28:C34)</f>
        <v>0</v>
      </c>
      <c r="C35" s="21"/>
      <c r="D35" s="21">
        <f>SUM(E28:E34)</f>
        <v>0</v>
      </c>
      <c r="E35" s="21"/>
      <c r="F35" s="21">
        <f>SUM(G28:G34)</f>
        <v>0</v>
      </c>
      <c r="G35" s="21"/>
      <c r="H35" s="21">
        <f>SUM(I28:I34)</f>
        <v>0</v>
      </c>
      <c r="I35" s="21"/>
      <c r="J35" s="21">
        <f>SUM(K28:K34)</f>
        <v>0</v>
      </c>
      <c r="K35" s="21"/>
      <c r="L35" s="21">
        <f>SUM(M28:M34)</f>
        <v>0</v>
      </c>
      <c r="M35" s="21"/>
      <c r="N35" s="21">
        <f>SUM(O28:O34)</f>
        <v>0</v>
      </c>
      <c r="O35" s="22"/>
    </row>
    <row r="36" spans="1:15" x14ac:dyDescent="0.2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1:15" x14ac:dyDescent="0.2">
      <c r="A37" s="11" t="s">
        <v>78</v>
      </c>
      <c r="B37" s="23"/>
      <c r="C37" s="24">
        <f>(TariefOpbouwDirecteKosten1+TariefOpbouwIndirecteKosten1)*B37</f>
        <v>0</v>
      </c>
      <c r="D37" s="23"/>
      <c r="E37" s="24">
        <f>(TariefOpbouwDirecteKosten2+TariefOpbouwIndirecteKosten2)*D37</f>
        <v>0</v>
      </c>
      <c r="F37" s="23"/>
      <c r="G37" s="24">
        <f>(TariefOpbouwDirecteKosten3+TariefOpbouwIndirecteKosten3)*F37</f>
        <v>0</v>
      </c>
      <c r="H37" s="23"/>
      <c r="I37" s="24">
        <f>(TariefOpbouwDirecteKosten4+TariefOpbouwIndirecteKosten4)*H37</f>
        <v>0</v>
      </c>
      <c r="J37" s="23"/>
      <c r="K37" s="24">
        <f>(TariefOpbouwDirecteKosten5+TariefOpbouwIndirecteKosten5)*J37</f>
        <v>0</v>
      </c>
      <c r="L37" s="23"/>
      <c r="M37" s="24">
        <f>(TariefOpbouwDirecteKosten6+TariefOpbouwIndirecteKosten6)*L37</f>
        <v>0</v>
      </c>
      <c r="N37" s="23"/>
      <c r="O37" s="25">
        <f>(TariefOpbouwDirecteKosten7+TariefOpbouwIndirecteKosten7)*N37</f>
        <v>0</v>
      </c>
    </row>
    <row r="38" spans="1:15" x14ac:dyDescent="0.2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8"/>
    </row>
    <row r="39" spans="1:15" x14ac:dyDescent="0.2">
      <c r="A39" s="11" t="s">
        <v>79</v>
      </c>
      <c r="B39" s="21">
        <f>TariefOpbouwDirecteKosten1+TariefOpbouwIndirecteKosten1+TariefOpbouwRisicoWinst1</f>
        <v>0</v>
      </c>
      <c r="C39" s="21"/>
      <c r="D39" s="21">
        <f>TariefOpbouwDirecteKosten2+TariefOpbouwIndirecteKosten2+TariefOpbouwRisicoWinst2</f>
        <v>0</v>
      </c>
      <c r="E39" s="21"/>
      <c r="F39" s="21">
        <f>TariefOpbouwDirecteKosten3+TariefOpbouwIndirecteKosten3+TariefOpbouwRisicoWinst3</f>
        <v>0</v>
      </c>
      <c r="G39" s="21"/>
      <c r="H39" s="21">
        <f>TariefOpbouwDirecteKosten4+TariefOpbouwIndirecteKosten4+TariefOpbouwRisicoWinst4</f>
        <v>0</v>
      </c>
      <c r="I39" s="21"/>
      <c r="J39" s="21">
        <f>TariefOpbouwDirecteKosten5+TariefOpbouwIndirecteKosten5+TariefOpbouwRisicoWinst5</f>
        <v>0</v>
      </c>
      <c r="K39" s="21"/>
      <c r="L39" s="21">
        <f>TariefOpbouwDirecteKosten6+TariefOpbouwIndirecteKosten6+TariefOpbouwRisicoWinst6</f>
        <v>0</v>
      </c>
      <c r="M39" s="21"/>
      <c r="N39" s="21">
        <f>TariefOpbouwDirecteKosten7+TariefOpbouwIndirecteKosten7+TariefOpbouwRisicoWinst7</f>
        <v>0</v>
      </c>
      <c r="O39" s="22"/>
    </row>
    <row r="40" spans="1:15" x14ac:dyDescent="0.2">
      <c r="A40" s="11" t="s">
        <v>80</v>
      </c>
      <c r="B40" s="29" t="s">
        <v>81</v>
      </c>
      <c r="C40" s="29" t="s">
        <v>82</v>
      </c>
      <c r="D40" s="29" t="s">
        <v>81</v>
      </c>
      <c r="E40" s="29" t="s">
        <v>82</v>
      </c>
      <c r="F40" s="29" t="s">
        <v>81</v>
      </c>
      <c r="G40" s="29" t="s">
        <v>82</v>
      </c>
      <c r="H40" s="29" t="s">
        <v>81</v>
      </c>
      <c r="I40" s="29" t="s">
        <v>82</v>
      </c>
      <c r="J40" s="29" t="s">
        <v>81</v>
      </c>
      <c r="K40" s="29" t="s">
        <v>82</v>
      </c>
      <c r="L40" s="29" t="s">
        <v>81</v>
      </c>
      <c r="M40" s="29" t="s">
        <v>82</v>
      </c>
      <c r="N40" s="29" t="s">
        <v>81</v>
      </c>
      <c r="O40" s="30" t="s">
        <v>82</v>
      </c>
    </row>
    <row r="41" spans="1:15" x14ac:dyDescent="0.2">
      <c r="A41" s="11" t="s">
        <v>83</v>
      </c>
      <c r="B41" s="31">
        <v>0.3</v>
      </c>
      <c r="C41" s="24">
        <f>((1+B41)*TariefOpbouwTotaalLoonkosten1+TariefOpbouwDirecteKosten1-TariefOpbouwTotaalLoonkosten1+TariefOpbouwIndirecteKosten1)*(1+TariefOpbouwRisicoWinstPercentage1)</f>
        <v>0</v>
      </c>
      <c r="D41" s="31">
        <v>0.3</v>
      </c>
      <c r="E41" s="24">
        <f>((1+D41)*TariefOpbouwTotaalLoonkosten2+TariefOpbouwDirecteKosten2-TariefOpbouwTotaalLoonkosten2+TariefOpbouwIndirecteKosten2)*(1+TariefOpbouwRisicoWinstPercentage2)</f>
        <v>0</v>
      </c>
      <c r="F41" s="31">
        <v>0.3</v>
      </c>
      <c r="G41" s="24">
        <f>((1+F41)*TariefOpbouwTotaalLoonkosten3+TariefOpbouwDirecteKosten3-TariefOpbouwTotaalLoonkosten3+TariefOpbouwIndirecteKosten3)*(1+TariefOpbouwRisicoWinstPercentage3)</f>
        <v>0</v>
      </c>
      <c r="H41" s="31">
        <v>0.3</v>
      </c>
      <c r="I41" s="24">
        <f>((1+H41)*TariefOpbouwTotaalLoonkosten4+TariefOpbouwDirecteKosten4-TariefOpbouwTotaalLoonkosten4+TariefOpbouwIndirecteKosten4)*(1+TariefOpbouwRisicoWinstPercentage4)</f>
        <v>0</v>
      </c>
      <c r="J41" s="31">
        <v>0.3</v>
      </c>
      <c r="K41" s="24">
        <f>((1+J41)*TariefOpbouwTotaalLoonkosten5+TariefOpbouwDirecteKosten5-TariefOpbouwTotaalLoonkosten5+TariefOpbouwIndirecteKosten5)*(1+TariefOpbouwRisicoWinstPercentage5)</f>
        <v>0</v>
      </c>
      <c r="L41" s="31">
        <v>0.3</v>
      </c>
      <c r="M41" s="24">
        <f>((1+L41)*TariefOpbouwTotaalLoonkosten6+TariefOpbouwDirecteKosten6-TariefOpbouwTotaalLoonkosten6+TariefOpbouwIndirecteKosten6)*(1+TariefOpbouwRisicoWinstPercentage6)</f>
        <v>0</v>
      </c>
      <c r="N41" s="31">
        <v>0.3</v>
      </c>
      <c r="O41" s="25">
        <f>((1+N41)*TariefOpbouwTotaalLoonkosten7+TariefOpbouwDirecteKosten7-TariefOpbouwTotaalLoonkosten7+TariefOpbouwIndirecteKosten7)*(1+TariefOpbouwRisicoWinstPercentage7)</f>
        <v>0</v>
      </c>
    </row>
    <row r="42" spans="1:15" x14ac:dyDescent="0.2">
      <c r="A42" s="11" t="s">
        <v>84</v>
      </c>
      <c r="B42" s="31">
        <v>0.5</v>
      </c>
      <c r="C42" s="24">
        <f>((1+B42)*TariefOpbouwTotaalLoonkosten1+TariefOpbouwDirecteKosten1-TariefOpbouwTotaalLoonkosten1+TariefOpbouwIndirecteKosten1)*(1+TariefOpbouwRisicoWinstPercentage1)</f>
        <v>0</v>
      </c>
      <c r="D42" s="31">
        <v>0.5</v>
      </c>
      <c r="E42" s="24">
        <f>((1+D42)*TariefOpbouwTotaalLoonkosten2+TariefOpbouwDirecteKosten2-TariefOpbouwTotaalLoonkosten2+TariefOpbouwIndirecteKosten2)*(1+TariefOpbouwRisicoWinstPercentage2)</f>
        <v>0</v>
      </c>
      <c r="F42" s="31">
        <v>0.5</v>
      </c>
      <c r="G42" s="24">
        <f>((1+F42)*TariefOpbouwTotaalLoonkosten3+TariefOpbouwDirecteKosten3-TariefOpbouwTotaalLoonkosten3+TariefOpbouwIndirecteKosten3)*(1+TariefOpbouwRisicoWinstPercentage3)</f>
        <v>0</v>
      </c>
      <c r="H42" s="31">
        <v>0.5</v>
      </c>
      <c r="I42" s="24">
        <f>((1+H42)*TariefOpbouwTotaalLoonkosten4+TariefOpbouwDirecteKosten4-TariefOpbouwTotaalLoonkosten4+TariefOpbouwIndirecteKosten4)*(1+TariefOpbouwRisicoWinstPercentage4)</f>
        <v>0</v>
      </c>
      <c r="J42" s="31">
        <v>0.5</v>
      </c>
      <c r="K42" s="24">
        <f>((1+J42)*TariefOpbouwTotaalLoonkosten5+TariefOpbouwDirecteKosten5-TariefOpbouwTotaalLoonkosten5+TariefOpbouwIndirecteKosten5)*(1+TariefOpbouwRisicoWinstPercentage5)</f>
        <v>0</v>
      </c>
      <c r="L42" s="31">
        <v>0.5</v>
      </c>
      <c r="M42" s="24">
        <f>((1+L42)*TariefOpbouwTotaalLoonkosten6+TariefOpbouwDirecteKosten6-TariefOpbouwTotaalLoonkosten6+TariefOpbouwIndirecteKosten6)*(1+TariefOpbouwRisicoWinstPercentage6)</f>
        <v>0</v>
      </c>
      <c r="N42" s="31">
        <v>0.5</v>
      </c>
      <c r="O42" s="25">
        <f>((1+N42)*TariefOpbouwTotaalLoonkosten7+TariefOpbouwDirecteKosten7-TariefOpbouwTotaalLoonkosten7+TariefOpbouwIndirecteKosten7)*(1+TariefOpbouwRisicoWinstPercentage7)</f>
        <v>0</v>
      </c>
    </row>
    <row r="43" spans="1:15" x14ac:dyDescent="0.2">
      <c r="A43" s="32" t="s">
        <v>85</v>
      </c>
      <c r="B43" s="33">
        <v>1.5</v>
      </c>
      <c r="C43" s="34">
        <f>((1+B43)*TariefOpbouwTotaalLoonkosten1+TariefOpbouwDirecteKosten1-TariefOpbouwTotaalLoonkosten1+TariefOpbouwIndirecteKosten1)*(1+TariefOpbouwRisicoWinstPercentage1)</f>
        <v>0</v>
      </c>
      <c r="D43" s="33">
        <v>1.5</v>
      </c>
      <c r="E43" s="34">
        <f>((1+D43)*TariefOpbouwTotaalLoonkosten2+TariefOpbouwDirecteKosten2-TariefOpbouwTotaalLoonkosten2+TariefOpbouwIndirecteKosten2)*(1+TariefOpbouwRisicoWinstPercentage2)</f>
        <v>0</v>
      </c>
      <c r="F43" s="33">
        <v>1.5</v>
      </c>
      <c r="G43" s="34">
        <f>((1+F43)*TariefOpbouwTotaalLoonkosten3+TariefOpbouwDirecteKosten3-TariefOpbouwTotaalLoonkosten3+TariefOpbouwIndirecteKosten3)*(1+TariefOpbouwRisicoWinstPercentage3)</f>
        <v>0</v>
      </c>
      <c r="H43" s="33">
        <v>1.5</v>
      </c>
      <c r="I43" s="34">
        <f>((1+H43)*TariefOpbouwTotaalLoonkosten4+TariefOpbouwDirecteKosten4-TariefOpbouwTotaalLoonkosten4+TariefOpbouwIndirecteKosten4)*(1+TariefOpbouwRisicoWinstPercentage4)</f>
        <v>0</v>
      </c>
      <c r="J43" s="33">
        <v>1.5</v>
      </c>
      <c r="K43" s="34">
        <f>((1+J43)*TariefOpbouwTotaalLoonkosten5+TariefOpbouwDirecteKosten5-TariefOpbouwTotaalLoonkosten5+TariefOpbouwIndirecteKosten5)*(1+TariefOpbouwRisicoWinstPercentage5)</f>
        <v>0</v>
      </c>
      <c r="L43" s="33">
        <v>1.5</v>
      </c>
      <c r="M43" s="34">
        <f>((1+L43)*TariefOpbouwTotaalLoonkosten6+TariefOpbouwDirecteKosten6-TariefOpbouwTotaalLoonkosten6+TariefOpbouwIndirecteKosten6)*(1+TariefOpbouwRisicoWinstPercentage6)</f>
        <v>0</v>
      </c>
      <c r="N43" s="33">
        <v>1.5</v>
      </c>
      <c r="O43" s="35">
        <f>((1+N43)*TariefOpbouwTotaalLoonkosten7+TariefOpbouwDirecteKosten7-TariefOpbouwTotaalLoonkosten7+TariefOpbouwIndirecteKosten7)*(1+TariefOpbouwRisicoWinstPercentage7)</f>
        <v>0</v>
      </c>
    </row>
    <row r="45" spans="1:15" x14ac:dyDescent="0.2">
      <c r="A45" s="8" t="s">
        <v>86</v>
      </c>
      <c r="B45" s="9" t="s">
        <v>87</v>
      </c>
      <c r="C45" s="9"/>
      <c r="D45" s="9" t="s">
        <v>88</v>
      </c>
      <c r="E45" s="9"/>
      <c r="F45" s="9" t="s">
        <v>89</v>
      </c>
      <c r="G45" s="10"/>
    </row>
    <row r="46" spans="1:15" x14ac:dyDescent="0.2">
      <c r="A46" s="26"/>
      <c r="B46" s="29" t="s">
        <v>90</v>
      </c>
      <c r="C46" s="29" t="s">
        <v>91</v>
      </c>
      <c r="D46" s="29" t="s">
        <v>90</v>
      </c>
      <c r="E46" s="29" t="s">
        <v>91</v>
      </c>
      <c r="F46" s="29" t="s">
        <v>90</v>
      </c>
      <c r="G46" s="30" t="s">
        <v>91</v>
      </c>
    </row>
    <row r="47" spans="1:15" x14ac:dyDescent="0.2">
      <c r="A47" s="36" t="str">
        <f>TariefOpbouwNaam1&amp;" "&amp;TariefOpbouwErvaring1</f>
        <v>Vakvolwassene &gt;3 dienstjaren</v>
      </c>
      <c r="B47" s="23"/>
      <c r="C47" s="24">
        <f>TariefOpbouwTarief1</f>
        <v>0</v>
      </c>
      <c r="D47" s="23"/>
      <c r="E47" s="24">
        <f>TariefOpbouwTarief1W</f>
        <v>0</v>
      </c>
      <c r="F47" s="23"/>
      <c r="G47" s="25">
        <f>TariefOpbouwTarief1X</f>
        <v>0</v>
      </c>
    </row>
    <row r="48" spans="1:15" x14ac:dyDescent="0.2">
      <c r="A48" s="36" t="str">
        <f>TariefOpbouwNaam2&amp;" "&amp;TariefOpbouwErvaring2</f>
        <v xml:space="preserve">Vakvolwassene </v>
      </c>
      <c r="B48" s="23"/>
      <c r="C48" s="24">
        <f>TariefOpbouwTarief2</f>
        <v>0</v>
      </c>
      <c r="D48" s="23"/>
      <c r="E48" s="24">
        <f>TariefOpbouwTarief2W</f>
        <v>0</v>
      </c>
      <c r="F48" s="23"/>
      <c r="G48" s="25">
        <f>TariefOpbouwTarief2X</f>
        <v>0</v>
      </c>
    </row>
    <row r="49" spans="1:7" x14ac:dyDescent="0.2">
      <c r="A49" s="36" t="str">
        <f>TariefOpbouwNaam3&amp;" "&amp;TariefOpbouwErvaring3</f>
        <v>Leiding (meewerkend) voorman/vrouw</v>
      </c>
      <c r="B49" s="23"/>
      <c r="C49" s="24">
        <f>TariefOpbouwTarief3</f>
        <v>0</v>
      </c>
      <c r="D49" s="23"/>
      <c r="E49" s="24">
        <f>TariefOpbouwTarief3W</f>
        <v>0</v>
      </c>
      <c r="F49" s="23"/>
      <c r="G49" s="25">
        <f>TariefOpbouwTarief3X</f>
        <v>0</v>
      </c>
    </row>
    <row r="50" spans="1:7" x14ac:dyDescent="0.2">
      <c r="A50" s="11" t="s">
        <v>92</v>
      </c>
      <c r="B50" s="37" t="str">
        <f>IF(SUM(B47:B49)=1,SUM(B47:B49),"ongeldig")</f>
        <v>ongeldig</v>
      </c>
      <c r="C50" s="24">
        <f>SUMPRODUCT(B47:B49,C47:C49)</f>
        <v>0</v>
      </c>
      <c r="D50" s="37" t="str">
        <f>IF(SUM(D47:D49)=1,SUM(D47:D49),"ongeldig")</f>
        <v>ongeldig</v>
      </c>
      <c r="E50" s="24">
        <f>SUMPRODUCT(D47:D49,E47:E49)</f>
        <v>0</v>
      </c>
      <c r="F50" s="37" t="str">
        <f>IF(SUM(F47:F49)=1,SUM(F47:F49),"ongeldig")</f>
        <v>ongeldig</v>
      </c>
      <c r="G50" s="25">
        <f>SUMPRODUCT(F47:F49,G47:G49)</f>
        <v>0</v>
      </c>
    </row>
    <row r="51" spans="1:7" x14ac:dyDescent="0.2">
      <c r="A51" s="36" t="str">
        <f>TariefOpbouwNaam4&amp;" "&amp;TariefOpbouwErvaring4</f>
        <v>Leiding (niet-meewerkend) voorman/vrouw</v>
      </c>
      <c r="B51" s="23"/>
      <c r="C51" s="24">
        <f>TariefOpbouwTarief4</f>
        <v>0</v>
      </c>
      <c r="D51" s="23"/>
      <c r="E51" s="24">
        <f>TariefOpbouwTarief4W</f>
        <v>0</v>
      </c>
      <c r="F51" s="23"/>
      <c r="G51" s="25">
        <f>TariefOpbouwTarief4X</f>
        <v>0</v>
      </c>
    </row>
    <row r="52" spans="1:7" x14ac:dyDescent="0.2">
      <c r="A52" s="36" t="str">
        <f>TariefOpbouwNaam5&amp;" "&amp;TariefOpbouwErvaring5</f>
        <v>Leiding (niet-meewerkend) objectleider</v>
      </c>
      <c r="B52" s="23"/>
      <c r="C52" s="24">
        <f>TariefOpbouwTarief5</f>
        <v>0</v>
      </c>
      <c r="D52" s="23"/>
      <c r="E52" s="24">
        <f>TariefOpbouwTarief5W</f>
        <v>0</v>
      </c>
      <c r="F52" s="23"/>
      <c r="G52" s="25">
        <f>TariefOpbouwTarief5X</f>
        <v>0</v>
      </c>
    </row>
    <row r="53" spans="1:7" x14ac:dyDescent="0.2">
      <c r="A53" s="32" t="s">
        <v>93</v>
      </c>
      <c r="B53" s="38">
        <f>TariefUitvoering1+SUMPRODUCT(B51:B52,C51:C52)</f>
        <v>0</v>
      </c>
      <c r="C53" s="38"/>
      <c r="D53" s="38">
        <f>TariefUitvoering2+SUMPRODUCT(D51:D52,E51:E52)</f>
        <v>0</v>
      </c>
      <c r="E53" s="38"/>
      <c r="F53" s="38">
        <f>TariefUitvoering3+SUMPRODUCT(F51:F52,G51:G52)</f>
        <v>0</v>
      </c>
      <c r="G53" s="39"/>
    </row>
  </sheetData>
  <sheetProtection algorithmName="SHA-512" hashValue="S0xA2oZnZdxTEq9MB7QH7ANMQwKcP4McNjWn3aeOZAfyw66/K2sdmQdmhAEqERg8/YqxB8nLC3poUcl/Csq9KQ==" saltValue="EG0zdAuUVrckAjh20sdyew==" spinCount="100000" sheet="1" objects="1" scenarios="1" autoFilter="0"/>
  <mergeCells count="97">
    <mergeCell ref="N39:O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B35:C35"/>
    <mergeCell ref="D35:E35"/>
    <mergeCell ref="F35:G35"/>
    <mergeCell ref="H35:I35"/>
    <mergeCell ref="J35:K35"/>
    <mergeCell ref="L35:M35"/>
    <mergeCell ref="N35:O35"/>
    <mergeCell ref="B26:C26"/>
    <mergeCell ref="D26:E26"/>
    <mergeCell ref="F26:G26"/>
    <mergeCell ref="H26:I26"/>
    <mergeCell ref="J26:K26"/>
    <mergeCell ref="L26:M26"/>
    <mergeCell ref="N14:O14"/>
    <mergeCell ref="B19:C19"/>
    <mergeCell ref="D19:E19"/>
    <mergeCell ref="F19:G19"/>
    <mergeCell ref="H19:I19"/>
    <mergeCell ref="J19:K19"/>
    <mergeCell ref="L19:M19"/>
    <mergeCell ref="N19:O19"/>
    <mergeCell ref="B14:C14"/>
    <mergeCell ref="D14:E14"/>
    <mergeCell ref="F14:G14"/>
    <mergeCell ref="H14:I14"/>
    <mergeCell ref="J14:K14"/>
    <mergeCell ref="L14:M14"/>
    <mergeCell ref="N9:O9"/>
    <mergeCell ref="B12:C12"/>
    <mergeCell ref="D12:E12"/>
    <mergeCell ref="F12:G12"/>
    <mergeCell ref="H12:I12"/>
    <mergeCell ref="J12:K12"/>
    <mergeCell ref="L12:M12"/>
    <mergeCell ref="N12:O12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5:O5"/>
    <mergeCell ref="B6:C6"/>
    <mergeCell ref="D6:E6"/>
    <mergeCell ref="F6:G6"/>
    <mergeCell ref="H6:I6"/>
    <mergeCell ref="J6:K6"/>
    <mergeCell ref="L6:M6"/>
    <mergeCell ref="N6:O6"/>
    <mergeCell ref="B5:C5"/>
    <mergeCell ref="D5:E5"/>
    <mergeCell ref="F5:G5"/>
    <mergeCell ref="H5:I5"/>
    <mergeCell ref="J5:K5"/>
    <mergeCell ref="L5:M5"/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347CA-1C4B-4E01-9730-DEF57A869A81}">
  <dimension ref="A1:H100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2">
      <c r="A1" s="1" t="str">
        <f>CONCATENATE("Bijlage F.1.1: ",tabeltype," categorienormen")</f>
        <v>Bijlage F.1.1: Invultabel categorienormen</v>
      </c>
    </row>
    <row r="3" spans="1:8" ht="37.799999999999997" x14ac:dyDescent="0.2">
      <c r="A3" s="40" t="s">
        <v>94</v>
      </c>
      <c r="B3" s="40" t="s">
        <v>95</v>
      </c>
      <c r="C3" s="40" t="s">
        <v>96</v>
      </c>
      <c r="D3" s="40" t="s">
        <v>97</v>
      </c>
      <c r="E3" s="40" t="s">
        <v>98</v>
      </c>
      <c r="F3" s="40" t="s">
        <v>99</v>
      </c>
      <c r="G3" s="40" t="s">
        <v>100</v>
      </c>
      <c r="H3" s="40" t="s">
        <v>101</v>
      </c>
    </row>
    <row r="4" spans="1:8" x14ac:dyDescent="0.2">
      <c r="A4" s="41"/>
      <c r="B4" s="42"/>
      <c r="C4" s="42"/>
      <c r="D4" s="42"/>
      <c r="E4" s="42"/>
      <c r="F4" s="42"/>
      <c r="G4" s="42"/>
      <c r="H4" s="43"/>
    </row>
    <row r="5" spans="1:8" x14ac:dyDescent="0.2">
      <c r="A5" s="44" t="s">
        <v>102</v>
      </c>
      <c r="B5" s="45"/>
      <c r="C5" s="45"/>
      <c r="D5" s="45"/>
      <c r="E5" s="45"/>
      <c r="F5" s="45"/>
      <c r="G5" s="45"/>
      <c r="H5" s="46"/>
    </row>
    <row r="6" spans="1:8" x14ac:dyDescent="0.2">
      <c r="A6" s="47" t="s">
        <v>103</v>
      </c>
      <c r="B6" s="48">
        <v>1</v>
      </c>
      <c r="C6" s="47">
        <v>1</v>
      </c>
      <c r="D6" s="47" t="s">
        <v>104</v>
      </c>
      <c r="E6" s="49"/>
      <c r="F6" s="50"/>
      <c r="G6" s="47" t="s">
        <v>105</v>
      </c>
      <c r="H6" s="51">
        <f>Tariefopbouw1</f>
        <v>0</v>
      </c>
    </row>
    <row r="7" spans="1:8" x14ac:dyDescent="0.2">
      <c r="A7" s="52" t="s">
        <v>106</v>
      </c>
      <c r="B7" s="53">
        <v>1</v>
      </c>
      <c r="C7" s="52">
        <v>12</v>
      </c>
      <c r="D7" s="52" t="s">
        <v>107</v>
      </c>
      <c r="E7" s="54"/>
      <c r="F7" s="55"/>
      <c r="G7" s="52" t="s">
        <v>105</v>
      </c>
      <c r="H7" s="56">
        <f>Tariefopbouw1</f>
        <v>0</v>
      </c>
    </row>
    <row r="8" spans="1:8" x14ac:dyDescent="0.2">
      <c r="A8" s="52" t="s">
        <v>106</v>
      </c>
      <c r="B8" s="53">
        <v>1</v>
      </c>
      <c r="C8" s="52">
        <v>40</v>
      </c>
      <c r="D8" s="52" t="s">
        <v>107</v>
      </c>
      <c r="E8" s="54"/>
      <c r="F8" s="55"/>
      <c r="G8" s="52" t="s">
        <v>105</v>
      </c>
      <c r="H8" s="56">
        <f>Tariefopbouw1</f>
        <v>0</v>
      </c>
    </row>
    <row r="9" spans="1:8" x14ac:dyDescent="0.2">
      <c r="A9" s="52" t="s">
        <v>106</v>
      </c>
      <c r="B9" s="53">
        <v>1</v>
      </c>
      <c r="C9" s="52">
        <v>51</v>
      </c>
      <c r="D9" s="52" t="s">
        <v>107</v>
      </c>
      <c r="E9" s="54"/>
      <c r="F9" s="55"/>
      <c r="G9" s="52" t="s">
        <v>105</v>
      </c>
      <c r="H9" s="56">
        <f>Tariefopbouw1</f>
        <v>0</v>
      </c>
    </row>
    <row r="10" spans="1:8" x14ac:dyDescent="0.2">
      <c r="A10" s="52" t="s">
        <v>108</v>
      </c>
      <c r="B10" s="53">
        <v>1</v>
      </c>
      <c r="C10" s="52">
        <v>1</v>
      </c>
      <c r="D10" s="52" t="s">
        <v>109</v>
      </c>
      <c r="E10" s="54"/>
      <c r="F10" s="55"/>
      <c r="G10" s="52" t="s">
        <v>105</v>
      </c>
      <c r="H10" s="56">
        <f>Tariefopbouw1</f>
        <v>0</v>
      </c>
    </row>
    <row r="11" spans="1:8" x14ac:dyDescent="0.2">
      <c r="A11" s="52" t="s">
        <v>110</v>
      </c>
      <c r="B11" s="53">
        <v>1</v>
      </c>
      <c r="C11" s="52">
        <v>51</v>
      </c>
      <c r="D11" s="52" t="s">
        <v>111</v>
      </c>
      <c r="E11" s="54"/>
      <c r="F11" s="55"/>
      <c r="G11" s="52" t="s">
        <v>105</v>
      </c>
      <c r="H11" s="56">
        <f>Tariefopbouw1</f>
        <v>0</v>
      </c>
    </row>
    <row r="12" spans="1:8" x14ac:dyDescent="0.2">
      <c r="A12" s="52" t="s">
        <v>112</v>
      </c>
      <c r="B12" s="53">
        <v>1</v>
      </c>
      <c r="C12" s="52">
        <v>1</v>
      </c>
      <c r="D12" s="52" t="s">
        <v>113</v>
      </c>
      <c r="E12" s="54"/>
      <c r="F12" s="55"/>
      <c r="G12" s="52" t="s">
        <v>105</v>
      </c>
      <c r="H12" s="56">
        <f>Tariefopbouw1</f>
        <v>0</v>
      </c>
    </row>
    <row r="13" spans="1:8" x14ac:dyDescent="0.2">
      <c r="A13" s="52" t="s">
        <v>114</v>
      </c>
      <c r="B13" s="53">
        <v>1</v>
      </c>
      <c r="C13" s="52">
        <v>40</v>
      </c>
      <c r="D13" s="52" t="s">
        <v>115</v>
      </c>
      <c r="E13" s="54"/>
      <c r="F13" s="55"/>
      <c r="G13" s="52" t="s">
        <v>105</v>
      </c>
      <c r="H13" s="56">
        <f>Tariefopbouw1</f>
        <v>0</v>
      </c>
    </row>
    <row r="14" spans="1:8" x14ac:dyDescent="0.2">
      <c r="A14" s="52" t="s">
        <v>114</v>
      </c>
      <c r="B14" s="53">
        <v>1</v>
      </c>
      <c r="C14" s="52">
        <v>51</v>
      </c>
      <c r="D14" s="52" t="s">
        <v>115</v>
      </c>
      <c r="E14" s="54"/>
      <c r="F14" s="55"/>
      <c r="G14" s="52" t="s">
        <v>105</v>
      </c>
      <c r="H14" s="56">
        <f>Tariefopbouw1</f>
        <v>0</v>
      </c>
    </row>
    <row r="15" spans="1:8" x14ac:dyDescent="0.2">
      <c r="A15" s="52" t="s">
        <v>116</v>
      </c>
      <c r="B15" s="53">
        <v>1</v>
      </c>
      <c r="C15" s="52">
        <v>1</v>
      </c>
      <c r="D15" s="52" t="s">
        <v>117</v>
      </c>
      <c r="E15" s="54"/>
      <c r="F15" s="55"/>
      <c r="G15" s="52" t="s">
        <v>105</v>
      </c>
      <c r="H15" s="56">
        <f>Tariefopbouw1</f>
        <v>0</v>
      </c>
    </row>
    <row r="16" spans="1:8" x14ac:dyDescent="0.2">
      <c r="A16" s="52" t="s">
        <v>118</v>
      </c>
      <c r="B16" s="53">
        <v>1</v>
      </c>
      <c r="C16" s="52">
        <v>40</v>
      </c>
      <c r="D16" s="52" t="s">
        <v>119</v>
      </c>
      <c r="E16" s="54"/>
      <c r="F16" s="55"/>
      <c r="G16" s="52" t="s">
        <v>105</v>
      </c>
      <c r="H16" s="56">
        <f>Tariefopbouw1</f>
        <v>0</v>
      </c>
    </row>
    <row r="17" spans="1:8" x14ac:dyDescent="0.2">
      <c r="A17" s="52" t="s">
        <v>118</v>
      </c>
      <c r="B17" s="53">
        <v>1</v>
      </c>
      <c r="C17" s="52">
        <v>51</v>
      </c>
      <c r="D17" s="52" t="s">
        <v>119</v>
      </c>
      <c r="E17" s="54"/>
      <c r="F17" s="55"/>
      <c r="G17" s="52" t="s">
        <v>105</v>
      </c>
      <c r="H17" s="56">
        <f>Tariefopbouw1</f>
        <v>0</v>
      </c>
    </row>
    <row r="18" spans="1:8" x14ac:dyDescent="0.2">
      <c r="A18" s="52" t="s">
        <v>120</v>
      </c>
      <c r="B18" s="53">
        <v>1</v>
      </c>
      <c r="C18" s="52">
        <v>1</v>
      </c>
      <c r="D18" s="52" t="s">
        <v>121</v>
      </c>
      <c r="E18" s="54"/>
      <c r="F18" s="55"/>
      <c r="G18" s="52" t="s">
        <v>105</v>
      </c>
      <c r="H18" s="56">
        <f>Tariefopbouw1</f>
        <v>0</v>
      </c>
    </row>
    <row r="19" spans="1:8" x14ac:dyDescent="0.2">
      <c r="A19" s="52" t="s">
        <v>122</v>
      </c>
      <c r="B19" s="53">
        <v>1</v>
      </c>
      <c r="C19" s="52">
        <v>51</v>
      </c>
      <c r="D19" s="52" t="s">
        <v>123</v>
      </c>
      <c r="E19" s="54"/>
      <c r="F19" s="55"/>
      <c r="G19" s="52" t="s">
        <v>105</v>
      </c>
      <c r="H19" s="56">
        <f>Tariefopbouw1</f>
        <v>0</v>
      </c>
    </row>
    <row r="20" spans="1:8" x14ac:dyDescent="0.2">
      <c r="A20" s="52" t="s">
        <v>124</v>
      </c>
      <c r="B20" s="53">
        <v>1</v>
      </c>
      <c r="C20" s="52">
        <v>1</v>
      </c>
      <c r="D20" s="52" t="s">
        <v>125</v>
      </c>
      <c r="E20" s="54"/>
      <c r="F20" s="55"/>
      <c r="G20" s="52" t="s">
        <v>105</v>
      </c>
      <c r="H20" s="56">
        <f>Tariefopbouw1</f>
        <v>0</v>
      </c>
    </row>
    <row r="21" spans="1:8" x14ac:dyDescent="0.2">
      <c r="A21" s="52" t="s">
        <v>126</v>
      </c>
      <c r="B21" s="53">
        <v>1</v>
      </c>
      <c r="C21" s="52">
        <v>51</v>
      </c>
      <c r="D21" s="52" t="s">
        <v>127</v>
      </c>
      <c r="E21" s="54"/>
      <c r="F21" s="55"/>
      <c r="G21" s="52" t="s">
        <v>105</v>
      </c>
      <c r="H21" s="56">
        <f>Tariefopbouw1</f>
        <v>0</v>
      </c>
    </row>
    <row r="22" spans="1:8" x14ac:dyDescent="0.2">
      <c r="A22" s="52" t="s">
        <v>128</v>
      </c>
      <c r="B22" s="53">
        <v>1</v>
      </c>
      <c r="C22" s="52">
        <v>1</v>
      </c>
      <c r="D22" s="52" t="s">
        <v>129</v>
      </c>
      <c r="E22" s="54"/>
      <c r="F22" s="55"/>
      <c r="G22" s="52" t="s">
        <v>105</v>
      </c>
      <c r="H22" s="56">
        <f>Tariefopbouw1</f>
        <v>0</v>
      </c>
    </row>
    <row r="23" spans="1:8" x14ac:dyDescent="0.2">
      <c r="A23" s="52" t="s">
        <v>130</v>
      </c>
      <c r="B23" s="53">
        <v>1</v>
      </c>
      <c r="C23" s="52">
        <v>40</v>
      </c>
      <c r="D23" s="52" t="s">
        <v>131</v>
      </c>
      <c r="E23" s="54"/>
      <c r="F23" s="55"/>
      <c r="G23" s="52" t="s">
        <v>105</v>
      </c>
      <c r="H23" s="56">
        <f>Tariefopbouw1</f>
        <v>0</v>
      </c>
    </row>
    <row r="24" spans="1:8" x14ac:dyDescent="0.2">
      <c r="A24" s="52" t="s">
        <v>130</v>
      </c>
      <c r="B24" s="53">
        <v>1</v>
      </c>
      <c r="C24" s="52">
        <v>51</v>
      </c>
      <c r="D24" s="52" t="s">
        <v>131</v>
      </c>
      <c r="E24" s="54"/>
      <c r="F24" s="55"/>
      <c r="G24" s="52" t="s">
        <v>105</v>
      </c>
      <c r="H24" s="56">
        <f>Tariefopbouw1</f>
        <v>0</v>
      </c>
    </row>
    <row r="25" spans="1:8" x14ac:dyDescent="0.2">
      <c r="A25" s="52" t="s">
        <v>132</v>
      </c>
      <c r="B25" s="53">
        <v>1</v>
      </c>
      <c r="C25" s="52">
        <v>1</v>
      </c>
      <c r="D25" s="52" t="s">
        <v>133</v>
      </c>
      <c r="E25" s="54"/>
      <c r="F25" s="55"/>
      <c r="G25" s="52" t="s">
        <v>105</v>
      </c>
      <c r="H25" s="56">
        <f>Tariefopbouw1</f>
        <v>0</v>
      </c>
    </row>
    <row r="26" spans="1:8" x14ac:dyDescent="0.2">
      <c r="A26" s="52" t="s">
        <v>134</v>
      </c>
      <c r="B26" s="53">
        <v>1</v>
      </c>
      <c r="C26" s="52">
        <v>12</v>
      </c>
      <c r="D26" s="52" t="s">
        <v>135</v>
      </c>
      <c r="E26" s="54"/>
      <c r="F26" s="55"/>
      <c r="G26" s="52" t="s">
        <v>105</v>
      </c>
      <c r="H26" s="56">
        <f>Tariefopbouw1</f>
        <v>0</v>
      </c>
    </row>
    <row r="27" spans="1:8" x14ac:dyDescent="0.2">
      <c r="A27" s="52" t="s">
        <v>134</v>
      </c>
      <c r="B27" s="53">
        <v>1</v>
      </c>
      <c r="C27" s="52">
        <v>40</v>
      </c>
      <c r="D27" s="52" t="s">
        <v>135</v>
      </c>
      <c r="E27" s="54"/>
      <c r="F27" s="55"/>
      <c r="G27" s="52" t="s">
        <v>105</v>
      </c>
      <c r="H27" s="56">
        <f>Tariefopbouw1</f>
        <v>0</v>
      </c>
    </row>
    <row r="28" spans="1:8" x14ac:dyDescent="0.2">
      <c r="A28" s="52" t="s">
        <v>134</v>
      </c>
      <c r="B28" s="53">
        <v>1</v>
      </c>
      <c r="C28" s="52">
        <v>51</v>
      </c>
      <c r="D28" s="52" t="s">
        <v>135</v>
      </c>
      <c r="E28" s="54"/>
      <c r="F28" s="55"/>
      <c r="G28" s="52" t="s">
        <v>105</v>
      </c>
      <c r="H28" s="56">
        <f>Tariefopbouw1</f>
        <v>0</v>
      </c>
    </row>
    <row r="29" spans="1:8" x14ac:dyDescent="0.2">
      <c r="A29" s="52" t="s">
        <v>136</v>
      </c>
      <c r="B29" s="53">
        <v>1</v>
      </c>
      <c r="C29" s="52">
        <v>1</v>
      </c>
      <c r="D29" s="52" t="s">
        <v>137</v>
      </c>
      <c r="E29" s="54"/>
      <c r="F29" s="55"/>
      <c r="G29" s="52" t="s">
        <v>105</v>
      </c>
      <c r="H29" s="56">
        <f>Tariefopbouw1</f>
        <v>0</v>
      </c>
    </row>
    <row r="30" spans="1:8" x14ac:dyDescent="0.2">
      <c r="A30" s="52" t="s">
        <v>138</v>
      </c>
      <c r="B30" s="53">
        <v>1</v>
      </c>
      <c r="C30" s="52">
        <v>51</v>
      </c>
      <c r="D30" s="52" t="s">
        <v>139</v>
      </c>
      <c r="E30" s="54"/>
      <c r="F30" s="55"/>
      <c r="G30" s="52" t="s">
        <v>105</v>
      </c>
      <c r="H30" s="56">
        <f>Tariefopbouw1</f>
        <v>0</v>
      </c>
    </row>
    <row r="31" spans="1:8" x14ac:dyDescent="0.2">
      <c r="A31" s="52" t="s">
        <v>140</v>
      </c>
      <c r="B31" s="53">
        <v>1</v>
      </c>
      <c r="C31" s="52">
        <v>1</v>
      </c>
      <c r="D31" s="52" t="s">
        <v>141</v>
      </c>
      <c r="E31" s="54"/>
      <c r="F31" s="55"/>
      <c r="G31" s="52" t="s">
        <v>105</v>
      </c>
      <c r="H31" s="56">
        <f>Tariefopbouw1</f>
        <v>0</v>
      </c>
    </row>
    <row r="32" spans="1:8" x14ac:dyDescent="0.2">
      <c r="A32" s="52" t="s">
        <v>142</v>
      </c>
      <c r="B32" s="53">
        <v>1</v>
      </c>
      <c r="C32" s="52">
        <v>6</v>
      </c>
      <c r="D32" s="52" t="s">
        <v>143</v>
      </c>
      <c r="E32" s="54"/>
      <c r="F32" s="55"/>
      <c r="G32" s="52" t="s">
        <v>105</v>
      </c>
      <c r="H32" s="56">
        <f>Tariefopbouw1</f>
        <v>0</v>
      </c>
    </row>
    <row r="33" spans="1:8" x14ac:dyDescent="0.2">
      <c r="A33" s="52" t="s">
        <v>142</v>
      </c>
      <c r="B33" s="53">
        <v>1</v>
      </c>
      <c r="C33" s="52">
        <v>40</v>
      </c>
      <c r="D33" s="52" t="s">
        <v>143</v>
      </c>
      <c r="E33" s="54"/>
      <c r="F33" s="55"/>
      <c r="G33" s="52" t="s">
        <v>105</v>
      </c>
      <c r="H33" s="56">
        <f>Tariefopbouw1</f>
        <v>0</v>
      </c>
    </row>
    <row r="34" spans="1:8" x14ac:dyDescent="0.2">
      <c r="A34" s="52" t="s">
        <v>142</v>
      </c>
      <c r="B34" s="53">
        <v>1</v>
      </c>
      <c r="C34" s="52">
        <v>51</v>
      </c>
      <c r="D34" s="52" t="s">
        <v>143</v>
      </c>
      <c r="E34" s="54"/>
      <c r="F34" s="55"/>
      <c r="G34" s="52" t="s">
        <v>105</v>
      </c>
      <c r="H34" s="56">
        <f>Tariefopbouw1</f>
        <v>0</v>
      </c>
    </row>
    <row r="35" spans="1:8" x14ac:dyDescent="0.2">
      <c r="A35" s="52" t="s">
        <v>144</v>
      </c>
      <c r="B35" s="53">
        <v>1</v>
      </c>
      <c r="C35" s="52">
        <v>1</v>
      </c>
      <c r="D35" s="52" t="s">
        <v>145</v>
      </c>
      <c r="E35" s="54"/>
      <c r="F35" s="55"/>
      <c r="G35" s="52" t="s">
        <v>105</v>
      </c>
      <c r="H35" s="56">
        <f>Tariefopbouw1</f>
        <v>0</v>
      </c>
    </row>
    <row r="36" spans="1:8" x14ac:dyDescent="0.2">
      <c r="A36" s="52" t="s">
        <v>146</v>
      </c>
      <c r="B36" s="53">
        <v>1</v>
      </c>
      <c r="C36" s="52">
        <v>51</v>
      </c>
      <c r="D36" s="52" t="s">
        <v>147</v>
      </c>
      <c r="E36" s="54"/>
      <c r="F36" s="55"/>
      <c r="G36" s="52" t="s">
        <v>105</v>
      </c>
      <c r="H36" s="56">
        <f>Tariefopbouw1</f>
        <v>0</v>
      </c>
    </row>
    <row r="37" spans="1:8" x14ac:dyDescent="0.2">
      <c r="A37" s="52" t="s">
        <v>148</v>
      </c>
      <c r="B37" s="53">
        <v>1</v>
      </c>
      <c r="C37" s="52">
        <v>1</v>
      </c>
      <c r="D37" s="52" t="s">
        <v>149</v>
      </c>
      <c r="E37" s="54"/>
      <c r="F37" s="55"/>
      <c r="G37" s="52" t="s">
        <v>105</v>
      </c>
      <c r="H37" s="56">
        <f>Tariefopbouw1</f>
        <v>0</v>
      </c>
    </row>
    <row r="38" spans="1:8" x14ac:dyDescent="0.2">
      <c r="A38" s="52" t="s">
        <v>150</v>
      </c>
      <c r="B38" s="53">
        <v>1</v>
      </c>
      <c r="C38" s="52">
        <v>51</v>
      </c>
      <c r="D38" s="52" t="s">
        <v>151</v>
      </c>
      <c r="E38" s="54"/>
      <c r="F38" s="55"/>
      <c r="G38" s="52" t="s">
        <v>105</v>
      </c>
      <c r="H38" s="56">
        <f>Tariefopbouw1</f>
        <v>0</v>
      </c>
    </row>
    <row r="39" spans="1:8" x14ac:dyDescent="0.2">
      <c r="A39" s="52" t="s">
        <v>152</v>
      </c>
      <c r="B39" s="53">
        <v>1</v>
      </c>
      <c r="C39" s="52">
        <v>1</v>
      </c>
      <c r="D39" s="52" t="s">
        <v>153</v>
      </c>
      <c r="E39" s="54"/>
      <c r="F39" s="55"/>
      <c r="G39" s="52" t="s">
        <v>105</v>
      </c>
      <c r="H39" s="56">
        <f>Tariefopbouw1</f>
        <v>0</v>
      </c>
    </row>
    <row r="40" spans="1:8" x14ac:dyDescent="0.2">
      <c r="A40" s="52" t="s">
        <v>154</v>
      </c>
      <c r="B40" s="53">
        <v>1</v>
      </c>
      <c r="C40" s="52">
        <v>51</v>
      </c>
      <c r="D40" s="52" t="s">
        <v>155</v>
      </c>
      <c r="E40" s="54"/>
      <c r="F40" s="55"/>
      <c r="G40" s="52" t="s">
        <v>105</v>
      </c>
      <c r="H40" s="56">
        <f>Tariefopbouw1</f>
        <v>0</v>
      </c>
    </row>
    <row r="41" spans="1:8" x14ac:dyDescent="0.2">
      <c r="A41" s="52" t="s">
        <v>156</v>
      </c>
      <c r="B41" s="53">
        <v>1</v>
      </c>
      <c r="C41" s="52">
        <v>1</v>
      </c>
      <c r="D41" s="52" t="s">
        <v>157</v>
      </c>
      <c r="E41" s="54"/>
      <c r="F41" s="55"/>
      <c r="G41" s="52" t="s">
        <v>105</v>
      </c>
      <c r="H41" s="56">
        <f>Tariefopbouw1</f>
        <v>0</v>
      </c>
    </row>
    <row r="42" spans="1:8" x14ac:dyDescent="0.2">
      <c r="A42" s="52" t="s">
        <v>158</v>
      </c>
      <c r="B42" s="53">
        <v>1</v>
      </c>
      <c r="C42" s="52">
        <v>51</v>
      </c>
      <c r="D42" s="52" t="s">
        <v>159</v>
      </c>
      <c r="E42" s="54"/>
      <c r="F42" s="55"/>
      <c r="G42" s="52" t="s">
        <v>105</v>
      </c>
      <c r="H42" s="56">
        <f>Tariefopbouw1</f>
        <v>0</v>
      </c>
    </row>
    <row r="43" spans="1:8" x14ac:dyDescent="0.2">
      <c r="A43" s="52" t="s">
        <v>160</v>
      </c>
      <c r="B43" s="53">
        <v>2</v>
      </c>
      <c r="C43" s="52">
        <v>1</v>
      </c>
      <c r="D43" s="52" t="s">
        <v>161</v>
      </c>
      <c r="E43" s="54"/>
      <c r="F43" s="55"/>
      <c r="G43" s="52" t="s">
        <v>105</v>
      </c>
      <c r="H43" s="56">
        <f>Tariefopbouw1</f>
        <v>0</v>
      </c>
    </row>
    <row r="44" spans="1:8" x14ac:dyDescent="0.2">
      <c r="A44" s="52" t="s">
        <v>162</v>
      </c>
      <c r="B44" s="53">
        <v>2</v>
      </c>
      <c r="C44" s="52">
        <v>40</v>
      </c>
      <c r="D44" s="52" t="s">
        <v>163</v>
      </c>
      <c r="E44" s="54"/>
      <c r="F44" s="55"/>
      <c r="G44" s="52" t="s">
        <v>105</v>
      </c>
      <c r="H44" s="56">
        <f>Tariefopbouw1</f>
        <v>0</v>
      </c>
    </row>
    <row r="45" spans="1:8" x14ac:dyDescent="0.2">
      <c r="A45" s="52" t="s">
        <v>162</v>
      </c>
      <c r="B45" s="53">
        <v>2</v>
      </c>
      <c r="C45" s="52">
        <v>51</v>
      </c>
      <c r="D45" s="52" t="s">
        <v>163</v>
      </c>
      <c r="E45" s="54"/>
      <c r="F45" s="55"/>
      <c r="G45" s="52" t="s">
        <v>105</v>
      </c>
      <c r="H45" s="56">
        <f>Tariefopbouw1</f>
        <v>0</v>
      </c>
    </row>
    <row r="46" spans="1:8" x14ac:dyDescent="0.2">
      <c r="A46" s="52" t="s">
        <v>164</v>
      </c>
      <c r="B46" s="53">
        <v>2</v>
      </c>
      <c r="C46" s="52">
        <v>1</v>
      </c>
      <c r="D46" s="52" t="s">
        <v>165</v>
      </c>
      <c r="E46" s="54"/>
      <c r="F46" s="55"/>
      <c r="G46" s="52" t="s">
        <v>105</v>
      </c>
      <c r="H46" s="56">
        <f>Tariefopbouw1</f>
        <v>0</v>
      </c>
    </row>
    <row r="47" spans="1:8" x14ac:dyDescent="0.2">
      <c r="A47" s="52" t="s">
        <v>166</v>
      </c>
      <c r="B47" s="53">
        <v>2</v>
      </c>
      <c r="C47" s="52">
        <v>40</v>
      </c>
      <c r="D47" s="52" t="s">
        <v>167</v>
      </c>
      <c r="E47" s="54"/>
      <c r="F47" s="55"/>
      <c r="G47" s="52" t="s">
        <v>105</v>
      </c>
      <c r="H47" s="56">
        <f>Tariefopbouw1</f>
        <v>0</v>
      </c>
    </row>
    <row r="48" spans="1:8" x14ac:dyDescent="0.2">
      <c r="A48" s="52" t="s">
        <v>166</v>
      </c>
      <c r="B48" s="53">
        <v>2</v>
      </c>
      <c r="C48" s="52">
        <v>46</v>
      </c>
      <c r="D48" s="52" t="s">
        <v>167</v>
      </c>
      <c r="E48" s="54"/>
      <c r="F48" s="55"/>
      <c r="G48" s="52" t="s">
        <v>105</v>
      </c>
      <c r="H48" s="56">
        <f>Tariefopbouw1</f>
        <v>0</v>
      </c>
    </row>
    <row r="49" spans="1:8" x14ac:dyDescent="0.2">
      <c r="A49" s="52" t="s">
        <v>166</v>
      </c>
      <c r="B49" s="53">
        <v>2</v>
      </c>
      <c r="C49" s="52">
        <v>51</v>
      </c>
      <c r="D49" s="52" t="s">
        <v>167</v>
      </c>
      <c r="E49" s="54"/>
      <c r="F49" s="55"/>
      <c r="G49" s="52" t="s">
        <v>105</v>
      </c>
      <c r="H49" s="56">
        <f>Tariefopbouw1</f>
        <v>0</v>
      </c>
    </row>
    <row r="50" spans="1:8" x14ac:dyDescent="0.2">
      <c r="A50" s="52" t="s">
        <v>168</v>
      </c>
      <c r="B50" s="53">
        <v>2</v>
      </c>
      <c r="C50" s="52">
        <v>1</v>
      </c>
      <c r="D50" s="52" t="s">
        <v>169</v>
      </c>
      <c r="E50" s="54"/>
      <c r="F50" s="55"/>
      <c r="G50" s="52" t="s">
        <v>105</v>
      </c>
      <c r="H50" s="56">
        <f>Tariefopbouw1</f>
        <v>0</v>
      </c>
    </row>
    <row r="51" spans="1:8" x14ac:dyDescent="0.2">
      <c r="A51" s="52" t="s">
        <v>170</v>
      </c>
      <c r="B51" s="53">
        <v>2</v>
      </c>
      <c r="C51" s="52">
        <v>51</v>
      </c>
      <c r="D51" s="52" t="s">
        <v>171</v>
      </c>
      <c r="E51" s="54"/>
      <c r="F51" s="55"/>
      <c r="G51" s="52" t="s">
        <v>105</v>
      </c>
      <c r="H51" s="56">
        <f>Tariefopbouw1</f>
        <v>0</v>
      </c>
    </row>
    <row r="52" spans="1:8" x14ac:dyDescent="0.2">
      <c r="A52" s="52" t="s">
        <v>172</v>
      </c>
      <c r="B52" s="53">
        <v>2</v>
      </c>
      <c r="C52" s="52">
        <v>1</v>
      </c>
      <c r="D52" s="52" t="s">
        <v>173</v>
      </c>
      <c r="E52" s="54"/>
      <c r="F52" s="55"/>
      <c r="G52" s="52" t="s">
        <v>105</v>
      </c>
      <c r="H52" s="56">
        <f>Tariefopbouw1</f>
        <v>0</v>
      </c>
    </row>
    <row r="53" spans="1:8" x14ac:dyDescent="0.2">
      <c r="A53" s="52" t="s">
        <v>174</v>
      </c>
      <c r="B53" s="53">
        <v>2</v>
      </c>
      <c r="C53" s="52">
        <v>51</v>
      </c>
      <c r="D53" s="52" t="s">
        <v>175</v>
      </c>
      <c r="E53" s="54"/>
      <c r="F53" s="55"/>
      <c r="G53" s="52" t="s">
        <v>105</v>
      </c>
      <c r="H53" s="56">
        <f>Tariefopbouw1</f>
        <v>0</v>
      </c>
    </row>
    <row r="54" spans="1:8" x14ac:dyDescent="0.2">
      <c r="A54" s="52" t="s">
        <v>176</v>
      </c>
      <c r="B54" s="53">
        <v>2</v>
      </c>
      <c r="C54" s="52">
        <v>1</v>
      </c>
      <c r="D54" s="52" t="s">
        <v>177</v>
      </c>
      <c r="E54" s="54"/>
      <c r="F54" s="55"/>
      <c r="G54" s="52" t="s">
        <v>105</v>
      </c>
      <c r="H54" s="56">
        <f>Tariefopbouw1</f>
        <v>0</v>
      </c>
    </row>
    <row r="55" spans="1:8" x14ac:dyDescent="0.2">
      <c r="A55" s="52" t="s">
        <v>178</v>
      </c>
      <c r="B55" s="53">
        <v>2</v>
      </c>
      <c r="C55" s="52">
        <v>51</v>
      </c>
      <c r="D55" s="52" t="s">
        <v>179</v>
      </c>
      <c r="E55" s="54"/>
      <c r="F55" s="55"/>
      <c r="G55" s="52" t="s">
        <v>105</v>
      </c>
      <c r="H55" s="56">
        <f>Tariefopbouw1</f>
        <v>0</v>
      </c>
    </row>
    <row r="56" spans="1:8" x14ac:dyDescent="0.2">
      <c r="A56" s="52" t="s">
        <v>180</v>
      </c>
      <c r="B56" s="53">
        <v>3</v>
      </c>
      <c r="C56" s="52">
        <v>1</v>
      </c>
      <c r="D56" s="52" t="s">
        <v>181</v>
      </c>
      <c r="E56" s="54"/>
      <c r="F56" s="55"/>
      <c r="G56" s="52" t="s">
        <v>105</v>
      </c>
      <c r="H56" s="56">
        <f>Tariefopbouw1</f>
        <v>0</v>
      </c>
    </row>
    <row r="57" spans="1:8" x14ac:dyDescent="0.2">
      <c r="A57" s="52" t="s">
        <v>182</v>
      </c>
      <c r="B57" s="53">
        <v>3</v>
      </c>
      <c r="C57" s="52">
        <v>51</v>
      </c>
      <c r="D57" s="52" t="s">
        <v>183</v>
      </c>
      <c r="E57" s="54"/>
      <c r="F57" s="55"/>
      <c r="G57" s="52" t="s">
        <v>105</v>
      </c>
      <c r="H57" s="56">
        <f>Tariefopbouw1</f>
        <v>0</v>
      </c>
    </row>
    <row r="58" spans="1:8" x14ac:dyDescent="0.2">
      <c r="A58" s="52" t="s">
        <v>184</v>
      </c>
      <c r="B58" s="53">
        <v>4</v>
      </c>
      <c r="C58" s="52">
        <v>1</v>
      </c>
      <c r="D58" s="52" t="s">
        <v>185</v>
      </c>
      <c r="E58" s="54"/>
      <c r="F58" s="55"/>
      <c r="G58" s="52" t="s">
        <v>105</v>
      </c>
      <c r="H58" s="56">
        <f>Tariefopbouw1</f>
        <v>0</v>
      </c>
    </row>
    <row r="59" spans="1:8" x14ac:dyDescent="0.2">
      <c r="A59" s="52" t="s">
        <v>186</v>
      </c>
      <c r="B59" s="53">
        <v>4</v>
      </c>
      <c r="C59" s="52">
        <v>40</v>
      </c>
      <c r="D59" s="52" t="s">
        <v>187</v>
      </c>
      <c r="E59" s="54"/>
      <c r="F59" s="55"/>
      <c r="G59" s="52" t="s">
        <v>105</v>
      </c>
      <c r="H59" s="56">
        <f>Tariefopbouw1</f>
        <v>0</v>
      </c>
    </row>
    <row r="60" spans="1:8" x14ac:dyDescent="0.2">
      <c r="A60" s="52" t="s">
        <v>186</v>
      </c>
      <c r="B60" s="53">
        <v>4</v>
      </c>
      <c r="C60" s="52">
        <v>46</v>
      </c>
      <c r="D60" s="52" t="s">
        <v>187</v>
      </c>
      <c r="E60" s="54"/>
      <c r="F60" s="55"/>
      <c r="G60" s="52" t="s">
        <v>105</v>
      </c>
      <c r="H60" s="56">
        <f>Tariefopbouw1</f>
        <v>0</v>
      </c>
    </row>
    <row r="61" spans="1:8" x14ac:dyDescent="0.2">
      <c r="A61" s="52" t="s">
        <v>188</v>
      </c>
      <c r="B61" s="53">
        <v>5</v>
      </c>
      <c r="C61" s="52">
        <v>1</v>
      </c>
      <c r="D61" s="52" t="s">
        <v>189</v>
      </c>
      <c r="E61" s="54"/>
      <c r="F61" s="55"/>
      <c r="G61" s="52" t="s">
        <v>105</v>
      </c>
      <c r="H61" s="56">
        <f>Tariefopbouw1</f>
        <v>0</v>
      </c>
    </row>
    <row r="62" spans="1:8" x14ac:dyDescent="0.2">
      <c r="A62" s="52" t="s">
        <v>190</v>
      </c>
      <c r="B62" s="53">
        <v>5</v>
      </c>
      <c r="C62" s="52">
        <v>12</v>
      </c>
      <c r="D62" s="52" t="s">
        <v>191</v>
      </c>
      <c r="E62" s="54"/>
      <c r="F62" s="55"/>
      <c r="G62" s="52" t="s">
        <v>105</v>
      </c>
      <c r="H62" s="56">
        <f>Tariefopbouw1</f>
        <v>0</v>
      </c>
    </row>
    <row r="63" spans="1:8" x14ac:dyDescent="0.2">
      <c r="A63" s="52" t="s">
        <v>190</v>
      </c>
      <c r="B63" s="53">
        <v>5</v>
      </c>
      <c r="C63" s="52">
        <v>40</v>
      </c>
      <c r="D63" s="52" t="s">
        <v>191</v>
      </c>
      <c r="E63" s="54"/>
      <c r="F63" s="55"/>
      <c r="G63" s="52" t="s">
        <v>105</v>
      </c>
      <c r="H63" s="56">
        <f>Tariefopbouw1</f>
        <v>0</v>
      </c>
    </row>
    <row r="64" spans="1:8" x14ac:dyDescent="0.2">
      <c r="A64" s="52" t="s">
        <v>190</v>
      </c>
      <c r="B64" s="53">
        <v>5</v>
      </c>
      <c r="C64" s="52">
        <v>51</v>
      </c>
      <c r="D64" s="52" t="s">
        <v>191</v>
      </c>
      <c r="E64" s="54"/>
      <c r="F64" s="55"/>
      <c r="G64" s="52" t="s">
        <v>105</v>
      </c>
      <c r="H64" s="56">
        <f>Tariefopbouw1</f>
        <v>0</v>
      </c>
    </row>
    <row r="65" spans="1:8" x14ac:dyDescent="0.2">
      <c r="A65" s="52" t="s">
        <v>192</v>
      </c>
      <c r="B65" s="53">
        <v>5</v>
      </c>
      <c r="C65" s="52">
        <v>1</v>
      </c>
      <c r="D65" s="52" t="s">
        <v>193</v>
      </c>
      <c r="E65" s="54"/>
      <c r="F65" s="55"/>
      <c r="G65" s="52" t="s">
        <v>105</v>
      </c>
      <c r="H65" s="56">
        <f>Tariefopbouw1</f>
        <v>0</v>
      </c>
    </row>
    <row r="66" spans="1:8" x14ac:dyDescent="0.2">
      <c r="A66" s="52" t="s">
        <v>194</v>
      </c>
      <c r="B66" s="53">
        <v>5</v>
      </c>
      <c r="C66" s="52">
        <v>40</v>
      </c>
      <c r="D66" s="52" t="s">
        <v>195</v>
      </c>
      <c r="E66" s="54"/>
      <c r="F66" s="55"/>
      <c r="G66" s="52" t="s">
        <v>105</v>
      </c>
      <c r="H66" s="56">
        <f>Tariefopbouw1</f>
        <v>0</v>
      </c>
    </row>
    <row r="67" spans="1:8" x14ac:dyDescent="0.2">
      <c r="A67" s="52" t="s">
        <v>194</v>
      </c>
      <c r="B67" s="53">
        <v>5</v>
      </c>
      <c r="C67" s="52">
        <v>51</v>
      </c>
      <c r="D67" s="52" t="s">
        <v>195</v>
      </c>
      <c r="E67" s="54"/>
      <c r="F67" s="55"/>
      <c r="G67" s="52" t="s">
        <v>105</v>
      </c>
      <c r="H67" s="56">
        <f>Tariefopbouw1</f>
        <v>0</v>
      </c>
    </row>
    <row r="68" spans="1:8" x14ac:dyDescent="0.2">
      <c r="A68" s="52" t="s">
        <v>196</v>
      </c>
      <c r="B68" s="53">
        <v>5</v>
      </c>
      <c r="C68" s="52">
        <v>1</v>
      </c>
      <c r="D68" s="52" t="s">
        <v>197</v>
      </c>
      <c r="E68" s="54"/>
      <c r="F68" s="55"/>
      <c r="G68" s="52" t="s">
        <v>105</v>
      </c>
      <c r="H68" s="56">
        <f>Tariefopbouw1</f>
        <v>0</v>
      </c>
    </row>
    <row r="69" spans="1:8" x14ac:dyDescent="0.2">
      <c r="A69" s="52" t="s">
        <v>198</v>
      </c>
      <c r="B69" s="53">
        <v>5</v>
      </c>
      <c r="C69" s="52">
        <v>40</v>
      </c>
      <c r="D69" s="52" t="s">
        <v>199</v>
      </c>
      <c r="E69" s="54"/>
      <c r="F69" s="55"/>
      <c r="G69" s="52" t="s">
        <v>105</v>
      </c>
      <c r="H69" s="56">
        <f>Tariefopbouw1</f>
        <v>0</v>
      </c>
    </row>
    <row r="70" spans="1:8" x14ac:dyDescent="0.2">
      <c r="A70" s="52" t="s">
        <v>198</v>
      </c>
      <c r="B70" s="53">
        <v>5</v>
      </c>
      <c r="C70" s="52">
        <v>51</v>
      </c>
      <c r="D70" s="52" t="s">
        <v>199</v>
      </c>
      <c r="E70" s="54"/>
      <c r="F70" s="55"/>
      <c r="G70" s="52" t="s">
        <v>105</v>
      </c>
      <c r="H70" s="56">
        <f>Tariefopbouw1</f>
        <v>0</v>
      </c>
    </row>
    <row r="71" spans="1:8" x14ac:dyDescent="0.2">
      <c r="A71" s="52" t="s">
        <v>200</v>
      </c>
      <c r="B71" s="53">
        <v>5</v>
      </c>
      <c r="C71" s="52">
        <v>1</v>
      </c>
      <c r="D71" s="52" t="s">
        <v>201</v>
      </c>
      <c r="E71" s="54"/>
      <c r="F71" s="55"/>
      <c r="G71" s="52" t="s">
        <v>105</v>
      </c>
      <c r="H71" s="56">
        <f>Tariefopbouw1</f>
        <v>0</v>
      </c>
    </row>
    <row r="72" spans="1:8" x14ac:dyDescent="0.2">
      <c r="A72" s="52" t="s">
        <v>202</v>
      </c>
      <c r="B72" s="53">
        <v>5</v>
      </c>
      <c r="C72" s="52">
        <v>40</v>
      </c>
      <c r="D72" s="52" t="s">
        <v>203</v>
      </c>
      <c r="E72" s="54"/>
      <c r="F72" s="55"/>
      <c r="G72" s="52" t="s">
        <v>105</v>
      </c>
      <c r="H72" s="56">
        <f>Tariefopbouw1</f>
        <v>0</v>
      </c>
    </row>
    <row r="73" spans="1:8" x14ac:dyDescent="0.2">
      <c r="A73" s="52" t="s">
        <v>204</v>
      </c>
      <c r="B73" s="53">
        <v>5</v>
      </c>
      <c r="C73" s="52">
        <v>1</v>
      </c>
      <c r="D73" s="52" t="s">
        <v>205</v>
      </c>
      <c r="E73" s="54"/>
      <c r="F73" s="55"/>
      <c r="G73" s="52" t="s">
        <v>105</v>
      </c>
      <c r="H73" s="56">
        <f>Tariefopbouw1</f>
        <v>0</v>
      </c>
    </row>
    <row r="74" spans="1:8" x14ac:dyDescent="0.2">
      <c r="A74" s="52" t="s">
        <v>206</v>
      </c>
      <c r="B74" s="53">
        <v>5</v>
      </c>
      <c r="C74" s="52">
        <v>40</v>
      </c>
      <c r="D74" s="52" t="s">
        <v>207</v>
      </c>
      <c r="E74" s="54"/>
      <c r="F74" s="55"/>
      <c r="G74" s="52" t="s">
        <v>105</v>
      </c>
      <c r="H74" s="56">
        <f>Tariefopbouw1</f>
        <v>0</v>
      </c>
    </row>
    <row r="75" spans="1:8" x14ac:dyDescent="0.2">
      <c r="A75" s="52" t="s">
        <v>206</v>
      </c>
      <c r="B75" s="53">
        <v>5</v>
      </c>
      <c r="C75" s="52">
        <v>45</v>
      </c>
      <c r="D75" s="52" t="s">
        <v>207</v>
      </c>
      <c r="E75" s="54"/>
      <c r="F75" s="55"/>
      <c r="G75" s="52" t="s">
        <v>105</v>
      </c>
      <c r="H75" s="56">
        <f>Tariefopbouw1</f>
        <v>0</v>
      </c>
    </row>
    <row r="76" spans="1:8" x14ac:dyDescent="0.2">
      <c r="A76" s="52" t="s">
        <v>206</v>
      </c>
      <c r="B76" s="53">
        <v>5</v>
      </c>
      <c r="C76" s="52">
        <v>51</v>
      </c>
      <c r="D76" s="52" t="s">
        <v>207</v>
      </c>
      <c r="E76" s="54"/>
      <c r="F76" s="55"/>
      <c r="G76" s="52" t="s">
        <v>105</v>
      </c>
      <c r="H76" s="56">
        <f>Tariefopbouw1</f>
        <v>0</v>
      </c>
    </row>
    <row r="77" spans="1:8" x14ac:dyDescent="0.2">
      <c r="A77" s="52" t="s">
        <v>208</v>
      </c>
      <c r="B77" s="53">
        <v>5</v>
      </c>
      <c r="C77" s="52">
        <v>1</v>
      </c>
      <c r="D77" s="52" t="s">
        <v>209</v>
      </c>
      <c r="E77" s="54"/>
      <c r="F77" s="55"/>
      <c r="G77" s="52" t="s">
        <v>105</v>
      </c>
      <c r="H77" s="56">
        <f>Tariefopbouw1</f>
        <v>0</v>
      </c>
    </row>
    <row r="78" spans="1:8" x14ac:dyDescent="0.2">
      <c r="A78" s="52" t="s">
        <v>210</v>
      </c>
      <c r="B78" s="53">
        <v>5</v>
      </c>
      <c r="C78" s="52">
        <v>40</v>
      </c>
      <c r="D78" s="52" t="s">
        <v>211</v>
      </c>
      <c r="E78" s="54"/>
      <c r="F78" s="55"/>
      <c r="G78" s="52" t="s">
        <v>105</v>
      </c>
      <c r="H78" s="56">
        <f>Tariefopbouw1</f>
        <v>0</v>
      </c>
    </row>
    <row r="79" spans="1:8" x14ac:dyDescent="0.2">
      <c r="A79" s="52" t="s">
        <v>212</v>
      </c>
      <c r="B79" s="53">
        <v>5</v>
      </c>
      <c r="C79" s="52">
        <v>1</v>
      </c>
      <c r="D79" s="52" t="s">
        <v>213</v>
      </c>
      <c r="E79" s="54"/>
      <c r="F79" s="55"/>
      <c r="G79" s="52" t="s">
        <v>105</v>
      </c>
      <c r="H79" s="56">
        <f>Tariefopbouw1</f>
        <v>0</v>
      </c>
    </row>
    <row r="80" spans="1:8" x14ac:dyDescent="0.2">
      <c r="A80" s="52" t="s">
        <v>212</v>
      </c>
      <c r="B80" s="53">
        <v>5</v>
      </c>
      <c r="C80" s="52">
        <v>51</v>
      </c>
      <c r="D80" s="52" t="s">
        <v>214</v>
      </c>
      <c r="E80" s="54"/>
      <c r="F80" s="55"/>
      <c r="G80" s="52" t="s">
        <v>105</v>
      </c>
      <c r="H80" s="56">
        <f>Tariefopbouw1</f>
        <v>0</v>
      </c>
    </row>
    <row r="81" spans="1:8" x14ac:dyDescent="0.2">
      <c r="A81" s="52" t="s">
        <v>215</v>
      </c>
      <c r="B81" s="53">
        <v>6</v>
      </c>
      <c r="C81" s="52">
        <v>1</v>
      </c>
      <c r="D81" s="52" t="s">
        <v>216</v>
      </c>
      <c r="E81" s="54"/>
      <c r="F81" s="55"/>
      <c r="G81" s="52" t="s">
        <v>105</v>
      </c>
      <c r="H81" s="56">
        <f>Tariefopbouw1</f>
        <v>0</v>
      </c>
    </row>
    <row r="82" spans="1:8" x14ac:dyDescent="0.2">
      <c r="A82" s="52" t="s">
        <v>217</v>
      </c>
      <c r="B82" s="53">
        <v>6</v>
      </c>
      <c r="C82" s="52">
        <v>40</v>
      </c>
      <c r="D82" s="52" t="s">
        <v>218</v>
      </c>
      <c r="E82" s="54"/>
      <c r="F82" s="55"/>
      <c r="G82" s="52" t="s">
        <v>105</v>
      </c>
      <c r="H82" s="56">
        <f>Tariefopbouw1</f>
        <v>0</v>
      </c>
    </row>
    <row r="83" spans="1:8" x14ac:dyDescent="0.2">
      <c r="A83" s="52" t="s">
        <v>217</v>
      </c>
      <c r="B83" s="53">
        <v>6</v>
      </c>
      <c r="C83" s="52">
        <v>51</v>
      </c>
      <c r="D83" s="52" t="s">
        <v>218</v>
      </c>
      <c r="E83" s="54"/>
      <c r="F83" s="55"/>
      <c r="G83" s="52" t="s">
        <v>105</v>
      </c>
      <c r="H83" s="56">
        <f>Tariefopbouw1</f>
        <v>0</v>
      </c>
    </row>
    <row r="84" spans="1:8" x14ac:dyDescent="0.2">
      <c r="A84" s="52" t="s">
        <v>219</v>
      </c>
      <c r="B84" s="53">
        <v>6</v>
      </c>
      <c r="C84" s="52">
        <v>1</v>
      </c>
      <c r="D84" s="52" t="s">
        <v>220</v>
      </c>
      <c r="E84" s="54"/>
      <c r="F84" s="55"/>
      <c r="G84" s="52" t="s">
        <v>105</v>
      </c>
      <c r="H84" s="56">
        <f>Tariefopbouw1</f>
        <v>0</v>
      </c>
    </row>
    <row r="85" spans="1:8" x14ac:dyDescent="0.2">
      <c r="A85" s="52" t="s">
        <v>221</v>
      </c>
      <c r="B85" s="53">
        <v>6</v>
      </c>
      <c r="C85" s="52">
        <v>51</v>
      </c>
      <c r="D85" s="52" t="s">
        <v>222</v>
      </c>
      <c r="E85" s="54"/>
      <c r="F85" s="55"/>
      <c r="G85" s="52" t="s">
        <v>105</v>
      </c>
      <c r="H85" s="56">
        <f>Tariefopbouw1</f>
        <v>0</v>
      </c>
    </row>
    <row r="86" spans="1:8" x14ac:dyDescent="0.2">
      <c r="A86" s="52" t="s">
        <v>223</v>
      </c>
      <c r="B86" s="53">
        <v>7</v>
      </c>
      <c r="C86" s="52">
        <v>1</v>
      </c>
      <c r="D86" s="52" t="s">
        <v>224</v>
      </c>
      <c r="E86" s="54"/>
      <c r="F86" s="55"/>
      <c r="G86" s="52" t="s">
        <v>105</v>
      </c>
      <c r="H86" s="56">
        <f>Tariefopbouw1</f>
        <v>0</v>
      </c>
    </row>
    <row r="87" spans="1:8" x14ac:dyDescent="0.2">
      <c r="A87" s="52" t="s">
        <v>225</v>
      </c>
      <c r="B87" s="53">
        <v>7</v>
      </c>
      <c r="C87" s="52">
        <v>40</v>
      </c>
      <c r="D87" s="52" t="s">
        <v>226</v>
      </c>
      <c r="E87" s="54"/>
      <c r="F87" s="55"/>
      <c r="G87" s="52" t="s">
        <v>105</v>
      </c>
      <c r="H87" s="56">
        <f>Tariefopbouw1</f>
        <v>0</v>
      </c>
    </row>
    <row r="88" spans="1:8" x14ac:dyDescent="0.2">
      <c r="A88" s="52" t="s">
        <v>227</v>
      </c>
      <c r="B88" s="53">
        <v>7</v>
      </c>
      <c r="C88" s="52">
        <v>1</v>
      </c>
      <c r="D88" s="52" t="s">
        <v>228</v>
      </c>
      <c r="E88" s="54"/>
      <c r="F88" s="55"/>
      <c r="G88" s="52" t="s">
        <v>105</v>
      </c>
      <c r="H88" s="56">
        <f>Tariefopbouw1</f>
        <v>0</v>
      </c>
    </row>
    <row r="89" spans="1:8" x14ac:dyDescent="0.2">
      <c r="A89" s="57" t="s">
        <v>229</v>
      </c>
      <c r="B89" s="58">
        <v>7</v>
      </c>
      <c r="C89" s="57">
        <v>51</v>
      </c>
      <c r="D89" s="57" t="s">
        <v>230</v>
      </c>
      <c r="E89" s="59"/>
      <c r="F89" s="60"/>
      <c r="G89" s="57" t="s">
        <v>105</v>
      </c>
      <c r="H89" s="61">
        <f>Tariefopbouw1</f>
        <v>0</v>
      </c>
    </row>
    <row r="90" spans="1:8" x14ac:dyDescent="0.2">
      <c r="A90" s="41"/>
      <c r="B90" s="42"/>
      <c r="C90" s="42"/>
      <c r="D90" s="42"/>
      <c r="E90" s="42"/>
      <c r="F90" s="42"/>
      <c r="G90" s="42"/>
      <c r="H90" s="43"/>
    </row>
    <row r="91" spans="1:8" x14ac:dyDescent="0.2">
      <c r="A91" s="44" t="s">
        <v>231</v>
      </c>
      <c r="B91" s="45"/>
      <c r="C91" s="45"/>
      <c r="D91" s="45"/>
      <c r="E91" s="45"/>
      <c r="F91" s="45"/>
      <c r="G91" s="45"/>
      <c r="H91" s="46"/>
    </row>
    <row r="92" spans="1:8" x14ac:dyDescent="0.2">
      <c r="A92" s="47" t="s">
        <v>232</v>
      </c>
      <c r="B92" s="48">
        <v>1</v>
      </c>
      <c r="C92" s="47">
        <v>1</v>
      </c>
      <c r="D92" s="47" t="s">
        <v>233</v>
      </c>
      <c r="E92" s="49"/>
      <c r="F92" s="50"/>
      <c r="G92" s="47" t="s">
        <v>105</v>
      </c>
      <c r="H92" s="51">
        <f>Tariefopbouw2</f>
        <v>0</v>
      </c>
    </row>
    <row r="93" spans="1:8" x14ac:dyDescent="0.2">
      <c r="A93" s="52" t="s">
        <v>234</v>
      </c>
      <c r="B93" s="53">
        <v>1</v>
      </c>
      <c r="C93" s="52">
        <v>1</v>
      </c>
      <c r="D93" s="52" t="s">
        <v>235</v>
      </c>
      <c r="E93" s="54"/>
      <c r="F93" s="55"/>
      <c r="G93" s="52" t="s">
        <v>105</v>
      </c>
      <c r="H93" s="56">
        <f>Tariefopbouw2</f>
        <v>0</v>
      </c>
    </row>
    <row r="94" spans="1:8" x14ac:dyDescent="0.2">
      <c r="A94" s="52" t="s">
        <v>236</v>
      </c>
      <c r="B94" s="53">
        <v>1</v>
      </c>
      <c r="C94" s="52">
        <v>1</v>
      </c>
      <c r="D94" s="52" t="s">
        <v>237</v>
      </c>
      <c r="E94" s="54"/>
      <c r="F94" s="55"/>
      <c r="G94" s="52" t="s">
        <v>105</v>
      </c>
      <c r="H94" s="56">
        <f>Tariefopbouw2</f>
        <v>0</v>
      </c>
    </row>
    <row r="95" spans="1:8" x14ac:dyDescent="0.2">
      <c r="A95" s="52" t="s">
        <v>238</v>
      </c>
      <c r="B95" s="53">
        <v>1</v>
      </c>
      <c r="C95" s="52">
        <v>1</v>
      </c>
      <c r="D95" s="52" t="s">
        <v>149</v>
      </c>
      <c r="E95" s="54"/>
      <c r="F95" s="55"/>
      <c r="G95" s="52" t="s">
        <v>105</v>
      </c>
      <c r="H95" s="56">
        <f>Tariefopbouw2</f>
        <v>0</v>
      </c>
    </row>
    <row r="96" spans="1:8" x14ac:dyDescent="0.2">
      <c r="A96" s="52" t="s">
        <v>239</v>
      </c>
      <c r="B96" s="53">
        <v>1</v>
      </c>
      <c r="C96" s="52">
        <v>1</v>
      </c>
      <c r="D96" s="52" t="s">
        <v>157</v>
      </c>
      <c r="E96" s="54"/>
      <c r="F96" s="55"/>
      <c r="G96" s="52" t="s">
        <v>105</v>
      </c>
      <c r="H96" s="56">
        <f>Tariefopbouw2</f>
        <v>0</v>
      </c>
    </row>
    <row r="97" spans="1:8" x14ac:dyDescent="0.2">
      <c r="A97" s="52" t="s">
        <v>240</v>
      </c>
      <c r="B97" s="53">
        <v>2</v>
      </c>
      <c r="C97" s="52">
        <v>1</v>
      </c>
      <c r="D97" s="52" t="s">
        <v>241</v>
      </c>
      <c r="E97" s="54"/>
      <c r="F97" s="55"/>
      <c r="G97" s="52" t="s">
        <v>105</v>
      </c>
      <c r="H97" s="56">
        <f>Tariefopbouw2</f>
        <v>0</v>
      </c>
    </row>
    <row r="98" spans="1:8" x14ac:dyDescent="0.2">
      <c r="A98" s="52" t="s">
        <v>242</v>
      </c>
      <c r="B98" s="53">
        <v>2</v>
      </c>
      <c r="C98" s="52">
        <v>1</v>
      </c>
      <c r="D98" s="52" t="s">
        <v>243</v>
      </c>
      <c r="E98" s="54"/>
      <c r="F98" s="55"/>
      <c r="G98" s="52" t="s">
        <v>105</v>
      </c>
      <c r="H98" s="56">
        <f>Tariefopbouw2</f>
        <v>0</v>
      </c>
    </row>
    <row r="99" spans="1:8" x14ac:dyDescent="0.2">
      <c r="A99" s="52" t="s">
        <v>244</v>
      </c>
      <c r="B99" s="53">
        <v>2</v>
      </c>
      <c r="C99" s="52">
        <v>1</v>
      </c>
      <c r="D99" s="52" t="s">
        <v>177</v>
      </c>
      <c r="E99" s="54"/>
      <c r="F99" s="55"/>
      <c r="G99" s="52" t="s">
        <v>105</v>
      </c>
      <c r="H99" s="56">
        <f>Tariefopbouw2</f>
        <v>0</v>
      </c>
    </row>
    <row r="100" spans="1:8" x14ac:dyDescent="0.2">
      <c r="A100" s="57" t="s">
        <v>245</v>
      </c>
      <c r="B100" s="58">
        <v>6</v>
      </c>
      <c r="C100" s="57">
        <v>1</v>
      </c>
      <c r="D100" s="57" t="s">
        <v>220</v>
      </c>
      <c r="E100" s="59"/>
      <c r="F100" s="60"/>
      <c r="G100" s="57" t="s">
        <v>105</v>
      </c>
      <c r="H100" s="61">
        <f>Tariefopbouw2</f>
        <v>0</v>
      </c>
    </row>
  </sheetData>
  <sheetProtection algorithmName="SHA-512" hashValue="XAeEy8QrsnNNhrWFGkX9Dnf795vG8mOB5yzI3+047VjNKSGAEwLcls5+5I00saKrqMvXjQsR5x7D/lFPkQ/OuA==" saltValue="YFtbUr91k/I+VrAXPKp0jw==" spinCount="100000" sheet="1" objects="1" scenarios="1" autoFilter="0"/>
  <pageMargins left="0.7" right="0.7" top="0.75" bottom="0.75" header="0.3" footer="0.3"/>
  <pageSetup scale="70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9A559-0E09-4213-A5D6-ED056DC8794C}">
  <dimension ref="A1:N126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x14ac:dyDescent="0.2">
      <c r="A1" s="1" t="str">
        <f>CONCATENATE("Bijlage F.1.2: ",tabeltype," regulier werk")</f>
        <v>Bijlage F.1.2: Invultabel regulier werk</v>
      </c>
    </row>
    <row r="3" spans="1:14" ht="37.799999999999997" x14ac:dyDescent="0.2">
      <c r="A3" s="40" t="s">
        <v>246</v>
      </c>
      <c r="B3" s="40" t="s">
        <v>7</v>
      </c>
      <c r="C3" s="40" t="s">
        <v>247</v>
      </c>
      <c r="D3" s="40" t="s">
        <v>97</v>
      </c>
      <c r="E3" s="40" t="s">
        <v>248</v>
      </c>
      <c r="F3" s="40" t="s">
        <v>249</v>
      </c>
      <c r="G3" s="40" t="s">
        <v>98</v>
      </c>
      <c r="H3" s="40" t="s">
        <v>99</v>
      </c>
      <c r="I3" s="40" t="s">
        <v>100</v>
      </c>
      <c r="J3" s="40" t="s">
        <v>101</v>
      </c>
      <c r="K3" s="40" t="s">
        <v>250</v>
      </c>
      <c r="L3" s="40" t="s">
        <v>251</v>
      </c>
      <c r="M3" s="40" t="s">
        <v>252</v>
      </c>
      <c r="N3" s="40" t="s">
        <v>253</v>
      </c>
    </row>
    <row r="4" spans="1:14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">
      <c r="A5" s="44" t="s">
        <v>102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</row>
    <row r="6" spans="1:14" x14ac:dyDescent="0.2">
      <c r="A6" s="47" t="s">
        <v>254</v>
      </c>
      <c r="B6" s="47" t="s">
        <v>24</v>
      </c>
      <c r="C6" s="47" t="s">
        <v>255</v>
      </c>
      <c r="D6" s="47" t="s">
        <v>256</v>
      </c>
      <c r="E6" s="62">
        <v>50.2</v>
      </c>
      <c r="F6" s="62">
        <f>E6*VLOOKUP(B6,dagsoorttabel1,2,FALSE)</f>
        <v>2.3623529411764705</v>
      </c>
      <c r="G6" s="63">
        <f>IF(AND(catpn_1_AHB_1&gt;0,catpn_1_AHV_12&gt;0),(dagenperjaar1*VLOOKUP(B6,dagsoorttabel1,2,FALSE))/(((dagenperjaar1*VLOOKUP(B6,dagsoorttabel1,2,FALSE))-catfd_1_AHV_12)/catpn_1_AHB_1+catfd_1_AHV_12/catpn_1_AHV_12),0)</f>
        <v>0</v>
      </c>
      <c r="H6" s="64">
        <f>IF(AND(catpn_1_AHB_1&gt;0,catpn_1_AHV_12&gt;0),(catdw_1_AHB_1*((dagenperjaar1-VLOOKUP(B6,dagsoorttabel1,2,FALSE))-catfd_1_AHV_12)/catpn_1_AHB_1+catdw_1_AHV_12*catfd_1_AHV_12/catpn_1_AHV_12)/(((dagenperjaar1-VLOOKUP(B6,dagsoorttabel1,2,FALSE))-catfd_1_AHV_12)/catpn_1_AHB_1+catfd_1_AHV_12/catpn_1_AHV_12),0)</f>
        <v>0</v>
      </c>
      <c r="I6" s="47" t="s">
        <v>105</v>
      </c>
      <c r="J6" s="51">
        <f>IF(AND(catpn_1_AHB_1&gt;0,catpn_1_AHV_12&gt;0),(cattf_1_AHB_1*((dagenperjaar1*VLOOKUP(B6,dagsoorttabel1,2,FALSE))-catfd_1_AHV_12)/catpn_1_AHB_1+cattf_1_AHV_12*catfd_1_AHV_12/catpn_1_AHV_12)/(((dagenperjaar1*VLOOKUP(B6,dagsoorttabel1,2,FALSE))-catfd_1_AHV_12)/catpn_1_AHB_1+catfd_1_AHV_12/catpn_1_AHV_12),0)</f>
        <v>0</v>
      </c>
      <c r="K6" s="62">
        <f>IF(OR(ISBLANK(G6),G6=0),0,F6/ROUND(G6,4))</f>
        <v>0</v>
      </c>
      <c r="L6" s="51">
        <f>ROUND(J6,2)*K6</f>
        <v>0</v>
      </c>
      <c r="M6" s="62">
        <f>K6*dagenperjaar1</f>
        <v>0</v>
      </c>
      <c r="N6" s="51">
        <f>M6*ROUND(J6,2)</f>
        <v>0</v>
      </c>
    </row>
    <row r="7" spans="1:14" x14ac:dyDescent="0.2">
      <c r="A7" s="52" t="s">
        <v>254</v>
      </c>
      <c r="B7" s="52" t="s">
        <v>13</v>
      </c>
      <c r="C7" s="52" t="s">
        <v>255</v>
      </c>
      <c r="D7" s="52" t="s">
        <v>256</v>
      </c>
      <c r="E7" s="65">
        <v>14.5</v>
      </c>
      <c r="F7" s="65">
        <f>E7*VLOOKUP(B7,dagsoorttabel1,2,FALSE)</f>
        <v>11.372549019607844</v>
      </c>
      <c r="G7" s="66">
        <f>IF(AND(catpn_1_AHB_1&gt;0,catpn_1_AHV_40&gt;0),(dagenperjaar1*VLOOKUP(B7,dagsoorttabel1,2,FALSE))/(((dagenperjaar1*VLOOKUP(B7,dagsoorttabel1,2,FALSE))-catfd_1_AHV_40)/catpn_1_AHB_1+catfd_1_AHV_40/catpn_1_AHV_40),0)</f>
        <v>0</v>
      </c>
      <c r="H7" s="67">
        <f>IF(AND(catpn_1_AHB_1&gt;0,catpn_1_AHV_40&gt;0),(catdw_1_AHB_1*((dagenperjaar1-VLOOKUP(B7,dagsoorttabel1,2,FALSE))-catfd_1_AHV_40)/catpn_1_AHB_1+catdw_1_AHV_40*catfd_1_AHV_40/catpn_1_AHV_40)/(((dagenperjaar1-VLOOKUP(B7,dagsoorttabel1,2,FALSE))-catfd_1_AHV_40)/catpn_1_AHB_1+catfd_1_AHV_40/catpn_1_AHV_40),0)</f>
        <v>0</v>
      </c>
      <c r="I7" s="52" t="s">
        <v>105</v>
      </c>
      <c r="J7" s="56">
        <f>IF(AND(catpn_1_AHB_1&gt;0,catpn_1_AHV_40&gt;0),(cattf_1_AHB_1*((dagenperjaar1*VLOOKUP(B7,dagsoorttabel1,2,FALSE))-catfd_1_AHV_40)/catpn_1_AHB_1+cattf_1_AHV_40*catfd_1_AHV_40/catpn_1_AHV_40)/(((dagenperjaar1*VLOOKUP(B7,dagsoorttabel1,2,FALSE))-catfd_1_AHV_40)/catpn_1_AHB_1+catfd_1_AHV_40/catpn_1_AHV_40),0)</f>
        <v>0</v>
      </c>
      <c r="K7" s="65">
        <f>IF(OR(ISBLANK(G7),G7=0),0,F7/ROUND(G7,4))</f>
        <v>0</v>
      </c>
      <c r="L7" s="56">
        <f>ROUND(J7,2)*K7</f>
        <v>0</v>
      </c>
      <c r="M7" s="65">
        <f>K7*dagenperjaar1</f>
        <v>0</v>
      </c>
      <c r="N7" s="56">
        <f>M7*ROUND(J7,2)</f>
        <v>0</v>
      </c>
    </row>
    <row r="8" spans="1:14" x14ac:dyDescent="0.2">
      <c r="A8" s="52" t="s">
        <v>254</v>
      </c>
      <c r="B8" s="52" t="s">
        <v>10</v>
      </c>
      <c r="C8" s="52" t="s">
        <v>255</v>
      </c>
      <c r="D8" s="52" t="s">
        <v>256</v>
      </c>
      <c r="E8" s="65">
        <v>34.65</v>
      </c>
      <c r="F8" s="65">
        <f>E8*VLOOKUP(B8,dagsoorttabel1,2,FALSE)</f>
        <v>34.65</v>
      </c>
      <c r="G8" s="66">
        <f>IF(AND(catpn_1_AHB_1&gt;0,catpn_1_AHV_51&gt;0),(dagenperjaar1*VLOOKUP(B8,dagsoorttabel1,2,FALSE))/(((dagenperjaar1*VLOOKUP(B8,dagsoorttabel1,2,FALSE))-catfd_1_AHV_51)/catpn_1_AHB_1+catfd_1_AHV_51/catpn_1_AHV_51),0)</f>
        <v>0</v>
      </c>
      <c r="H8" s="67">
        <f>IF(AND(catpn_1_AHB_1&gt;0,catpn_1_AHV_51&gt;0),(catdw_1_AHB_1*((dagenperjaar1-VLOOKUP(B8,dagsoorttabel1,2,FALSE))-catfd_1_AHV_51)/catpn_1_AHB_1+catdw_1_AHV_51*catfd_1_AHV_51/catpn_1_AHV_51)/(((dagenperjaar1-VLOOKUP(B8,dagsoorttabel1,2,FALSE))-catfd_1_AHV_51)/catpn_1_AHB_1+catfd_1_AHV_51/catpn_1_AHV_51),0)</f>
        <v>0</v>
      </c>
      <c r="I8" s="52" t="s">
        <v>105</v>
      </c>
      <c r="J8" s="56">
        <f>IF(AND(catpn_1_AHB_1&gt;0,catpn_1_AHV_51&gt;0),(cattf_1_AHB_1*((dagenperjaar1*VLOOKUP(B8,dagsoorttabel1,2,FALSE))-catfd_1_AHV_51)/catpn_1_AHB_1+cattf_1_AHV_51*catfd_1_AHV_51/catpn_1_AHV_51)/(((dagenperjaar1*VLOOKUP(B8,dagsoorttabel1,2,FALSE))-catfd_1_AHV_51)/catpn_1_AHB_1+catfd_1_AHV_51/catpn_1_AHV_51),0)</f>
        <v>0</v>
      </c>
      <c r="K8" s="65">
        <f>IF(OR(ISBLANK(G8),G8=0),0,F8/ROUND(G8,4))</f>
        <v>0</v>
      </c>
      <c r="L8" s="56">
        <f>ROUND(J8,2)*K8</f>
        <v>0</v>
      </c>
      <c r="M8" s="65">
        <f>K8*dagenperjaar1</f>
        <v>0</v>
      </c>
      <c r="N8" s="56">
        <f>M8*ROUND(J8,2)</f>
        <v>0</v>
      </c>
    </row>
    <row r="9" spans="1:14" x14ac:dyDescent="0.2">
      <c r="A9" s="52" t="s">
        <v>254</v>
      </c>
      <c r="B9" s="52" t="s">
        <v>22</v>
      </c>
      <c r="C9" s="52" t="s">
        <v>255</v>
      </c>
      <c r="D9" s="52" t="s">
        <v>256</v>
      </c>
      <c r="E9" s="65">
        <v>25.1</v>
      </c>
      <c r="F9" s="65">
        <f>E9*VLOOKUP(B9,dagsoorttabel1,2,FALSE)</f>
        <v>3.9372549019607845</v>
      </c>
      <c r="G9" s="66">
        <f>catpn_1_AHV_40</f>
        <v>0</v>
      </c>
      <c r="H9" s="67">
        <f>catdw_1_AHV_40</f>
        <v>0</v>
      </c>
      <c r="I9" s="52" t="s">
        <v>105</v>
      </c>
      <c r="J9" s="56">
        <f>cattf_1_AHV_40</f>
        <v>0</v>
      </c>
      <c r="K9" s="65">
        <f>IF(OR(ISBLANK(G9),G9=0),0,F9/ROUND(G9,4))</f>
        <v>0</v>
      </c>
      <c r="L9" s="56">
        <f>ROUND(J9,2)*K9</f>
        <v>0</v>
      </c>
      <c r="M9" s="65">
        <f>K9*dagenperjaar1</f>
        <v>0</v>
      </c>
      <c r="N9" s="56">
        <f>M9*ROUND(J9,2)</f>
        <v>0</v>
      </c>
    </row>
    <row r="10" spans="1:14" x14ac:dyDescent="0.2">
      <c r="A10" s="52" t="s">
        <v>257</v>
      </c>
      <c r="B10" s="52" t="s">
        <v>10</v>
      </c>
      <c r="C10" s="52" t="s">
        <v>255</v>
      </c>
      <c r="D10" s="52" t="s">
        <v>258</v>
      </c>
      <c r="E10" s="65">
        <v>12</v>
      </c>
      <c r="F10" s="65">
        <f>E10*VLOOKUP(B10,dagsoorttabel1,2,FALSE)</f>
        <v>12</v>
      </c>
      <c r="G10" s="66">
        <f>IF(AND(catpn_1_AZB_1&gt;0,catpn_1_AZV_51&gt;0),(dagenperjaar1*VLOOKUP(B10,dagsoorttabel1,2,FALSE))/(((dagenperjaar1*VLOOKUP(B10,dagsoorttabel1,2,FALSE))-catfd_1_AZV_51)/catpn_1_AZB_1+catfd_1_AZV_51/catpn_1_AZV_51),0)</f>
        <v>0</v>
      </c>
      <c r="H10" s="67">
        <f>IF(AND(catpn_1_AZB_1&gt;0,catpn_1_AZV_51&gt;0),(catdw_1_AZB_1*((dagenperjaar1-VLOOKUP(B10,dagsoorttabel1,2,FALSE))-catfd_1_AZV_51)/catpn_1_AZB_1+catdw_1_AZV_51*catfd_1_AZV_51/catpn_1_AZV_51)/(((dagenperjaar1-VLOOKUP(B10,dagsoorttabel1,2,FALSE))-catfd_1_AZV_51)/catpn_1_AZB_1+catfd_1_AZV_51/catpn_1_AZV_51),0)</f>
        <v>0</v>
      </c>
      <c r="I10" s="52" t="s">
        <v>105</v>
      </c>
      <c r="J10" s="56">
        <f>IF(AND(catpn_1_AZB_1&gt;0,catpn_1_AZV_51&gt;0),(cattf_1_AZB_1*((dagenperjaar1*VLOOKUP(B10,dagsoorttabel1,2,FALSE))-catfd_1_AZV_51)/catpn_1_AZB_1+cattf_1_AZV_51*catfd_1_AZV_51/catpn_1_AZV_51)/(((dagenperjaar1*VLOOKUP(B10,dagsoorttabel1,2,FALSE))-catfd_1_AZV_51)/catpn_1_AZB_1+catfd_1_AZV_51/catpn_1_AZV_51),0)</f>
        <v>0</v>
      </c>
      <c r="K10" s="65">
        <f>IF(OR(ISBLANK(G10),G10=0),0,F10/ROUND(G10,4))</f>
        <v>0</v>
      </c>
      <c r="L10" s="56">
        <f>ROUND(J10,2)*K10</f>
        <v>0</v>
      </c>
      <c r="M10" s="65">
        <f>K10*dagenperjaar1</f>
        <v>0</v>
      </c>
      <c r="N10" s="56">
        <f>M10*ROUND(J10,2)</f>
        <v>0</v>
      </c>
    </row>
    <row r="11" spans="1:14" x14ac:dyDescent="0.2">
      <c r="A11" s="52" t="s">
        <v>259</v>
      </c>
      <c r="B11" s="52" t="s">
        <v>24</v>
      </c>
      <c r="C11" s="52" t="s">
        <v>255</v>
      </c>
      <c r="D11" s="52" t="s">
        <v>260</v>
      </c>
      <c r="E11" s="65">
        <v>10</v>
      </c>
      <c r="F11" s="65">
        <f>E11*VLOOKUP(B11,dagsoorttabel1,2,FALSE)</f>
        <v>0.47058823529411764</v>
      </c>
      <c r="G11" s="66">
        <f>IF(AND(catpn_1_BHB_1&gt;0,catpn_1_BHV_12&gt;0),(dagenperjaar1*VLOOKUP(B11,dagsoorttabel1,2,FALSE))/(((dagenperjaar1*VLOOKUP(B11,dagsoorttabel1,2,FALSE))-catfd_1_BHV_12)/catpn_1_BHB_1+catfd_1_BHV_12/catpn_1_BHV_12),0)</f>
        <v>0</v>
      </c>
      <c r="H11" s="67">
        <f>IF(AND(catpn_1_BHB_1&gt;0,catpn_1_BHV_12&gt;0),(catdw_1_BHB_1*((dagenperjaar1-VLOOKUP(B11,dagsoorttabel1,2,FALSE))-catfd_1_BHV_12)/catpn_1_BHB_1+catdw_1_BHV_12*catfd_1_BHV_12/catpn_1_BHV_12)/(((dagenperjaar1-VLOOKUP(B11,dagsoorttabel1,2,FALSE))-catfd_1_BHV_12)/catpn_1_BHB_1+catfd_1_BHV_12/catpn_1_BHV_12),0)</f>
        <v>0</v>
      </c>
      <c r="I11" s="52" t="s">
        <v>105</v>
      </c>
      <c r="J11" s="56">
        <f>IF(AND(catpn_1_BHB_1&gt;0,catpn_1_BHV_12&gt;0),(cattf_1_BHB_1*((dagenperjaar1*VLOOKUP(B11,dagsoorttabel1,2,FALSE))-catfd_1_BHV_12)/catpn_1_BHB_1+cattf_1_BHV_12*catfd_1_BHV_12/catpn_1_BHV_12)/(((dagenperjaar1*VLOOKUP(B11,dagsoorttabel1,2,FALSE))-catfd_1_BHV_12)/catpn_1_BHB_1+catfd_1_BHV_12/catpn_1_BHV_12),0)</f>
        <v>0</v>
      </c>
      <c r="K11" s="65">
        <f>IF(OR(ISBLANK(G11),G11=0),0,F11/ROUND(G11,4))</f>
        <v>0</v>
      </c>
      <c r="L11" s="56">
        <f>ROUND(J11,2)*K11</f>
        <v>0</v>
      </c>
      <c r="M11" s="65">
        <f>K11*dagenperjaar1</f>
        <v>0</v>
      </c>
      <c r="N11" s="56">
        <f>M11*ROUND(J11,2)</f>
        <v>0</v>
      </c>
    </row>
    <row r="12" spans="1:14" x14ac:dyDescent="0.2">
      <c r="A12" s="52" t="s">
        <v>259</v>
      </c>
      <c r="B12" s="52" t="s">
        <v>13</v>
      </c>
      <c r="C12" s="52" t="s">
        <v>255</v>
      </c>
      <c r="D12" s="52" t="s">
        <v>261</v>
      </c>
      <c r="E12" s="65">
        <v>341.90000000000003</v>
      </c>
      <c r="F12" s="65">
        <f>E12*VLOOKUP(B12,dagsoorttabel1,2,FALSE)</f>
        <v>268.15686274509807</v>
      </c>
      <c r="G12" s="66">
        <f>IF(AND(catpn_1_BHB_1&gt;0,catpn_1_BHV_40&gt;0),(dagenperjaar1*VLOOKUP(B12,dagsoorttabel1,2,FALSE))/(((dagenperjaar1*VLOOKUP(B12,dagsoorttabel1,2,FALSE))-catfd_1_BHV_40)/catpn_1_BHB_1+catfd_1_BHV_40/catpn_1_BHV_40),0)</f>
        <v>0</v>
      </c>
      <c r="H12" s="67">
        <f>IF(AND(catpn_1_BHB_1&gt;0,catpn_1_BHV_40&gt;0),(catdw_1_BHB_1*((dagenperjaar1-VLOOKUP(B12,dagsoorttabel1,2,FALSE))-catfd_1_BHV_40)/catpn_1_BHB_1+catdw_1_BHV_40*catfd_1_BHV_40/catpn_1_BHV_40)/(((dagenperjaar1-VLOOKUP(B12,dagsoorttabel1,2,FALSE))-catfd_1_BHV_40)/catpn_1_BHB_1+catfd_1_BHV_40/catpn_1_BHV_40),0)</f>
        <v>0</v>
      </c>
      <c r="I12" s="52" t="s">
        <v>105</v>
      </c>
      <c r="J12" s="56">
        <f>IF(AND(catpn_1_BHB_1&gt;0,catpn_1_BHV_40&gt;0),(cattf_1_BHB_1*((dagenperjaar1*VLOOKUP(B12,dagsoorttabel1,2,FALSE))-catfd_1_BHV_40)/catpn_1_BHB_1+cattf_1_BHV_40*catfd_1_BHV_40/catpn_1_BHV_40)/(((dagenperjaar1*VLOOKUP(B12,dagsoorttabel1,2,FALSE))-catfd_1_BHV_40)/catpn_1_BHB_1+catfd_1_BHV_40/catpn_1_BHV_40),0)</f>
        <v>0</v>
      </c>
      <c r="K12" s="65">
        <f>IF(OR(ISBLANK(G12),G12=0),0,F12/ROUND(G12,4))</f>
        <v>0</v>
      </c>
      <c r="L12" s="56">
        <f>ROUND(J12,2)*K12</f>
        <v>0</v>
      </c>
      <c r="M12" s="65">
        <f>K12*dagenperjaar1</f>
        <v>0</v>
      </c>
      <c r="N12" s="56">
        <f>M12*ROUND(J12,2)</f>
        <v>0</v>
      </c>
    </row>
    <row r="13" spans="1:14" x14ac:dyDescent="0.2">
      <c r="A13" s="52" t="s">
        <v>259</v>
      </c>
      <c r="B13" s="52" t="s">
        <v>10</v>
      </c>
      <c r="C13" s="52" t="s">
        <v>255</v>
      </c>
      <c r="D13" s="52" t="s">
        <v>261</v>
      </c>
      <c r="E13" s="65">
        <v>720.01</v>
      </c>
      <c r="F13" s="65">
        <f>E13*VLOOKUP(B13,dagsoorttabel1,2,FALSE)</f>
        <v>720.01</v>
      </c>
      <c r="G13" s="66">
        <f>IF(AND(catpn_1_BHB_1&gt;0,catpn_1_BHV_51&gt;0),(dagenperjaar1*VLOOKUP(B13,dagsoorttabel1,2,FALSE))/(((dagenperjaar1*VLOOKUP(B13,dagsoorttabel1,2,FALSE))-catfd_1_BHV_51)/catpn_1_BHB_1+catfd_1_BHV_51/catpn_1_BHV_51),0)</f>
        <v>0</v>
      </c>
      <c r="H13" s="67">
        <f>IF(AND(catpn_1_BHB_1&gt;0,catpn_1_BHV_51&gt;0),(catdw_1_BHB_1*((dagenperjaar1-VLOOKUP(B13,dagsoorttabel1,2,FALSE))-catfd_1_BHV_51)/catpn_1_BHB_1+catdw_1_BHV_51*catfd_1_BHV_51/catpn_1_BHV_51)/(((dagenperjaar1-VLOOKUP(B13,dagsoorttabel1,2,FALSE))-catfd_1_BHV_51)/catpn_1_BHB_1+catfd_1_BHV_51/catpn_1_BHV_51),0)</f>
        <v>0</v>
      </c>
      <c r="I13" s="52" t="s">
        <v>105</v>
      </c>
      <c r="J13" s="56">
        <f>IF(AND(catpn_1_BHB_1&gt;0,catpn_1_BHV_51&gt;0),(cattf_1_BHB_1*((dagenperjaar1*VLOOKUP(B13,dagsoorttabel1,2,FALSE))-catfd_1_BHV_51)/catpn_1_BHB_1+cattf_1_BHV_51*catfd_1_BHV_51/catpn_1_BHV_51)/(((dagenperjaar1*VLOOKUP(B13,dagsoorttabel1,2,FALSE))-catfd_1_BHV_51)/catpn_1_BHB_1+catfd_1_BHV_51/catpn_1_BHV_51),0)</f>
        <v>0</v>
      </c>
      <c r="K13" s="65">
        <f>IF(OR(ISBLANK(G13),G13=0),0,F13/ROUND(G13,4))</f>
        <v>0</v>
      </c>
      <c r="L13" s="56">
        <f>ROUND(J13,2)*K13</f>
        <v>0</v>
      </c>
      <c r="M13" s="65">
        <f>K13*dagenperjaar1</f>
        <v>0</v>
      </c>
      <c r="N13" s="56">
        <f>M13*ROUND(J13,2)</f>
        <v>0</v>
      </c>
    </row>
    <row r="14" spans="1:14" x14ac:dyDescent="0.2">
      <c r="A14" s="52" t="s">
        <v>259</v>
      </c>
      <c r="B14" s="52" t="s">
        <v>21</v>
      </c>
      <c r="C14" s="52" t="s">
        <v>255</v>
      </c>
      <c r="D14" s="52" t="s">
        <v>261</v>
      </c>
      <c r="E14" s="65">
        <v>20.509999999999998</v>
      </c>
      <c r="F14" s="65">
        <f>E14*VLOOKUP(B14,dagsoorttabel1,2,FALSE)</f>
        <v>4.1019999999999994</v>
      </c>
      <c r="G14" s="66">
        <f>IF(AND(catpn_1_BHB_1&gt;0,catpn_1_BHV_51&gt;0),(dagenperjaar1*VLOOKUP(B14,dagsoorttabel1,2,FALSE))/(((dagenperjaar1*VLOOKUP(B14,dagsoorttabel1,2,FALSE))-catfd_1_BHV_51)/catpn_1_BHB_1+catfd_1_BHV_51/catpn_1_BHV_51),0)</f>
        <v>0</v>
      </c>
      <c r="H14" s="67">
        <f>IF(AND(catpn_1_BHB_1&gt;0,catpn_1_BHV_51&gt;0),(catdw_1_BHB_1*((dagenperjaar1-VLOOKUP(B14,dagsoorttabel1,2,FALSE))-catfd_1_BHV_51)/catpn_1_BHB_1+catdw_1_BHV_51*catfd_1_BHV_51/catpn_1_BHV_51)/(((dagenperjaar1-VLOOKUP(B14,dagsoorttabel1,2,FALSE))-catfd_1_BHV_51)/catpn_1_BHB_1+catfd_1_BHV_51/catpn_1_BHV_51),0)</f>
        <v>0</v>
      </c>
      <c r="I14" s="52" t="s">
        <v>105</v>
      </c>
      <c r="J14" s="56">
        <f>IF(AND(catpn_1_BHB_1&gt;0,catpn_1_BHV_51&gt;0),(cattf_1_BHB_1*((dagenperjaar1*VLOOKUP(B14,dagsoorttabel1,2,FALSE))-catfd_1_BHV_51)/catpn_1_BHB_1+cattf_1_BHV_51*catfd_1_BHV_51/catpn_1_BHV_51)/(((dagenperjaar1*VLOOKUP(B14,dagsoorttabel1,2,FALSE))-catfd_1_BHV_51)/catpn_1_BHB_1+catfd_1_BHV_51/catpn_1_BHV_51),0)</f>
        <v>0</v>
      </c>
      <c r="K14" s="65">
        <f>IF(OR(ISBLANK(G14),G14=0),0,F14/ROUND(G14,4))</f>
        <v>0</v>
      </c>
      <c r="L14" s="56">
        <f>ROUND(J14,2)*K14</f>
        <v>0</v>
      </c>
      <c r="M14" s="65">
        <f>K14*dagenperjaar1</f>
        <v>0</v>
      </c>
      <c r="N14" s="56">
        <f>M14*ROUND(J14,2)</f>
        <v>0</v>
      </c>
    </row>
    <row r="15" spans="1:14" x14ac:dyDescent="0.2">
      <c r="A15" s="52" t="s">
        <v>262</v>
      </c>
      <c r="B15" s="52" t="s">
        <v>22</v>
      </c>
      <c r="C15" s="52" t="s">
        <v>255</v>
      </c>
      <c r="D15" s="52" t="s">
        <v>261</v>
      </c>
      <c r="E15" s="65">
        <v>8.8000000000000007</v>
      </c>
      <c r="F15" s="65">
        <f>E15*VLOOKUP(B15,dagsoorttabel1,2,FALSE)</f>
        <v>1.3803921568627453</v>
      </c>
      <c r="G15" s="66">
        <f>catpn_1_BHB_1</f>
        <v>0</v>
      </c>
      <c r="H15" s="67">
        <f>catdw_1_BHB_1</f>
        <v>0</v>
      </c>
      <c r="I15" s="52" t="s">
        <v>105</v>
      </c>
      <c r="J15" s="56">
        <f>cattf_1_BHB_1</f>
        <v>0</v>
      </c>
      <c r="K15" s="65">
        <f>IF(OR(ISBLANK(G15),G15=0),0,F15/ROUND(G15,4))</f>
        <v>0</v>
      </c>
      <c r="L15" s="56">
        <f>ROUND(J15,2)*K15</f>
        <v>0</v>
      </c>
      <c r="M15" s="65">
        <f>K15*dagenperjaar1</f>
        <v>0</v>
      </c>
      <c r="N15" s="56">
        <f>M15*ROUND(J15,2)</f>
        <v>0</v>
      </c>
    </row>
    <row r="16" spans="1:14" x14ac:dyDescent="0.2">
      <c r="A16" s="52" t="s">
        <v>263</v>
      </c>
      <c r="B16" s="52" t="s">
        <v>18</v>
      </c>
      <c r="C16" s="52" t="s">
        <v>255</v>
      </c>
      <c r="D16" s="52" t="s">
        <v>264</v>
      </c>
      <c r="E16" s="65">
        <v>81.400000000000006</v>
      </c>
      <c r="F16" s="65">
        <f>E16*VLOOKUP(B16,dagsoorttabel1,2,FALSE)</f>
        <v>32.56</v>
      </c>
      <c r="G16" s="66">
        <f>IF(AND(catpn_1_BHB_1&gt;0,catpn_1_BZV_51&gt;0),(dagenperjaar1*VLOOKUP(B16,dagsoorttabel1,2,FALSE))/(((dagenperjaar1*VLOOKUP(B16,dagsoorttabel1,2,FALSE))-catfd_1_BZV_51)/catpn_1_BHB_1+catfd_1_BZV_51/catpn_1_BZV_51),0)</f>
        <v>0</v>
      </c>
      <c r="H16" s="67">
        <f>IF(AND(catpn_1_BHB_1&gt;0,catpn_1_BZV_51&gt;0),(catdw_1_BHB_1*((dagenperjaar1-VLOOKUP(B16,dagsoorttabel1,2,FALSE))-catfd_1_BZV_51)/catpn_1_BHB_1+catdw_1_BZV_51*catfd_1_BZV_51/catpn_1_BZV_51)/(((dagenperjaar1-VLOOKUP(B16,dagsoorttabel1,2,FALSE))-catfd_1_BZV_51)/catpn_1_BHB_1+catfd_1_BZV_51/catpn_1_BZV_51),0)</f>
        <v>0</v>
      </c>
      <c r="I16" s="52" t="s">
        <v>105</v>
      </c>
      <c r="J16" s="56">
        <f>IF(AND(catpn_1_BHB_1&gt;0,catpn_1_BZV_51&gt;0),(cattf_1_BHB_1*((dagenperjaar1*VLOOKUP(B16,dagsoorttabel1,2,FALSE))-catfd_1_BZV_51)/catpn_1_BHB_1+cattf_1_BZV_51*catfd_1_BZV_51/catpn_1_BZV_51)/(((dagenperjaar1*VLOOKUP(B16,dagsoorttabel1,2,FALSE))-catfd_1_BZV_51)/catpn_1_BHB_1+catfd_1_BZV_51/catpn_1_BZV_51),0)</f>
        <v>0</v>
      </c>
      <c r="K16" s="65">
        <f>IF(OR(ISBLANK(G16),G16=0),0,F16/ROUND(G16,4))</f>
        <v>0</v>
      </c>
      <c r="L16" s="56">
        <f>ROUND(J16,2)*K16</f>
        <v>0</v>
      </c>
      <c r="M16" s="65">
        <f>K16*dagenperjaar1</f>
        <v>0</v>
      </c>
      <c r="N16" s="56">
        <f>M16*ROUND(J16,2)</f>
        <v>0</v>
      </c>
    </row>
    <row r="17" spans="1:14" x14ac:dyDescent="0.2">
      <c r="A17" s="52" t="s">
        <v>263</v>
      </c>
      <c r="B17" s="52" t="s">
        <v>13</v>
      </c>
      <c r="C17" s="52" t="s">
        <v>255</v>
      </c>
      <c r="D17" s="52" t="s">
        <v>264</v>
      </c>
      <c r="E17" s="65">
        <v>92.3</v>
      </c>
      <c r="F17" s="65">
        <f>E17*VLOOKUP(B17,dagsoorttabel1,2,FALSE)</f>
        <v>72.392156862745097</v>
      </c>
      <c r="G17" s="66">
        <f>IF(AND(catpn_1_BZB_1&gt;0,catpn_1_BZV_40&gt;0),(dagenperjaar1*VLOOKUP(B17,dagsoorttabel1,2,FALSE))/(((dagenperjaar1*VLOOKUP(B17,dagsoorttabel1,2,FALSE))-catfd_1_BZV_40)/catpn_1_BZB_1+catfd_1_BZV_40/catpn_1_BZV_40),0)</f>
        <v>0</v>
      </c>
      <c r="H17" s="67">
        <f>IF(AND(catpn_1_BZB_1&gt;0,catpn_1_BZV_40&gt;0),(catdw_1_BZB_1*((dagenperjaar1-VLOOKUP(B17,dagsoorttabel1,2,FALSE))-catfd_1_BZV_40)/catpn_1_BZB_1+catdw_1_BZV_40*catfd_1_BZV_40/catpn_1_BZV_40)/(((dagenperjaar1-VLOOKUP(B17,dagsoorttabel1,2,FALSE))-catfd_1_BZV_40)/catpn_1_BZB_1+catfd_1_BZV_40/catpn_1_BZV_40),0)</f>
        <v>0</v>
      </c>
      <c r="I17" s="52" t="s">
        <v>105</v>
      </c>
      <c r="J17" s="56">
        <f>IF(AND(catpn_1_BZB_1&gt;0,catpn_1_BZV_40&gt;0),(cattf_1_BZB_1*((dagenperjaar1*VLOOKUP(B17,dagsoorttabel1,2,FALSE))-catfd_1_BZV_40)/catpn_1_BZB_1+cattf_1_BZV_40*catfd_1_BZV_40/catpn_1_BZV_40)/(((dagenperjaar1*VLOOKUP(B17,dagsoorttabel1,2,FALSE))-catfd_1_BZV_40)/catpn_1_BZB_1+catfd_1_BZV_40/catpn_1_BZV_40),0)</f>
        <v>0</v>
      </c>
      <c r="K17" s="65">
        <f>IF(OR(ISBLANK(G17),G17=0),0,F17/ROUND(G17,4))</f>
        <v>0</v>
      </c>
      <c r="L17" s="56">
        <f>ROUND(J17,2)*K17</f>
        <v>0</v>
      </c>
      <c r="M17" s="65">
        <f>K17*dagenperjaar1</f>
        <v>0</v>
      </c>
      <c r="N17" s="56">
        <f>M17*ROUND(J17,2)</f>
        <v>0</v>
      </c>
    </row>
    <row r="18" spans="1:14" x14ac:dyDescent="0.2">
      <c r="A18" s="52" t="s">
        <v>263</v>
      </c>
      <c r="B18" s="52" t="s">
        <v>10</v>
      </c>
      <c r="C18" s="52" t="s">
        <v>255</v>
      </c>
      <c r="D18" s="52" t="s">
        <v>265</v>
      </c>
      <c r="E18" s="65">
        <v>915</v>
      </c>
      <c r="F18" s="65">
        <f>E18*VLOOKUP(B18,dagsoorttabel1,2,FALSE)</f>
        <v>915</v>
      </c>
      <c r="G18" s="66">
        <f>IF(AND(catpn_1_BZB_1&gt;0,catpn_1_BZV_51&gt;0),(dagenperjaar1*VLOOKUP(B18,dagsoorttabel1,2,FALSE))/(((dagenperjaar1*VLOOKUP(B18,dagsoorttabel1,2,FALSE))-catfd_1_BZV_51)/catpn_1_BZB_1+catfd_1_BZV_51/catpn_1_BZV_51),0)</f>
        <v>0</v>
      </c>
      <c r="H18" s="67">
        <f>IF(AND(catpn_1_BZB_1&gt;0,catpn_1_BZV_51&gt;0),(catdw_1_BZB_1*((dagenperjaar1-VLOOKUP(B18,dagsoorttabel1,2,FALSE))-catfd_1_BZV_51)/catpn_1_BZB_1+catdw_1_BZV_51*catfd_1_BZV_51/catpn_1_BZV_51)/(((dagenperjaar1-VLOOKUP(B18,dagsoorttabel1,2,FALSE))-catfd_1_BZV_51)/catpn_1_BZB_1+catfd_1_BZV_51/catpn_1_BZV_51),0)</f>
        <v>0</v>
      </c>
      <c r="I18" s="52" t="s">
        <v>105</v>
      </c>
      <c r="J18" s="56">
        <f>IF(AND(catpn_1_BZB_1&gt;0,catpn_1_BZV_51&gt;0),(cattf_1_BZB_1*((dagenperjaar1*VLOOKUP(B18,dagsoorttabel1,2,FALSE))-catfd_1_BZV_51)/catpn_1_BZB_1+cattf_1_BZV_51*catfd_1_BZV_51/catpn_1_BZV_51)/(((dagenperjaar1*VLOOKUP(B18,dagsoorttabel1,2,FALSE))-catfd_1_BZV_51)/catpn_1_BZB_1+catfd_1_BZV_51/catpn_1_BZV_51),0)</f>
        <v>0</v>
      </c>
      <c r="K18" s="65">
        <f>IF(OR(ISBLANK(G18),G18=0),0,F18/ROUND(G18,4))</f>
        <v>0</v>
      </c>
      <c r="L18" s="56">
        <f>ROUND(J18,2)*K18</f>
        <v>0</v>
      </c>
      <c r="M18" s="65">
        <f>K18*dagenperjaar1</f>
        <v>0</v>
      </c>
      <c r="N18" s="56">
        <f>M18*ROUND(J18,2)</f>
        <v>0</v>
      </c>
    </row>
    <row r="19" spans="1:14" x14ac:dyDescent="0.2">
      <c r="A19" s="52" t="s">
        <v>263</v>
      </c>
      <c r="B19" s="52" t="s">
        <v>22</v>
      </c>
      <c r="C19" s="52" t="s">
        <v>255</v>
      </c>
      <c r="D19" s="52" t="s">
        <v>264</v>
      </c>
      <c r="E19" s="65">
        <v>8.129999999999999</v>
      </c>
      <c r="F19" s="65">
        <f>E19*VLOOKUP(B19,dagsoorttabel1,2,FALSE)</f>
        <v>1.2752941176470587</v>
      </c>
      <c r="G19" s="66">
        <f>IF(AND(catpn_1_BZB_1&gt;0,catpn_1_BZV_40&gt;0),(dagenperjaar1*VLOOKUP(B19,dagsoorttabel1,2,FALSE))/(((dagenperjaar1*VLOOKUP(B19,dagsoorttabel1,2,FALSE))-catfd_1_BZV_40)/catpn_1_BZB_1+catfd_1_BZV_40/catpn_1_BZV_40),0)</f>
        <v>0</v>
      </c>
      <c r="H19" s="67">
        <f>IF(AND(catpn_1_BZB_1&gt;0,catpn_1_BZV_40&gt;0),(catdw_1_BZB_1*((dagenperjaar1-VLOOKUP(B19,dagsoorttabel1,2,FALSE))-catfd_1_BZV_40)/catpn_1_BZB_1+catdw_1_BZV_40*catfd_1_BZV_40/catpn_1_BZV_40)/(((dagenperjaar1-VLOOKUP(B19,dagsoorttabel1,2,FALSE))-catfd_1_BZV_40)/catpn_1_BZB_1+catfd_1_BZV_40/catpn_1_BZV_40),0)</f>
        <v>0</v>
      </c>
      <c r="I19" s="52" t="s">
        <v>105</v>
      </c>
      <c r="J19" s="56">
        <f>IF(AND(catpn_1_BZB_1&gt;0,catpn_1_BZV_40&gt;0),(cattf_1_BZB_1*((dagenperjaar1*VLOOKUP(B19,dagsoorttabel1,2,FALSE))-catfd_1_BZV_40)/catpn_1_BZB_1+cattf_1_BZV_40*catfd_1_BZV_40/catpn_1_BZV_40)/(((dagenperjaar1*VLOOKUP(B19,dagsoorttabel1,2,FALSE))-catfd_1_BZV_40)/catpn_1_BZB_1+catfd_1_BZV_40/catpn_1_BZV_40),0)</f>
        <v>0</v>
      </c>
      <c r="K19" s="65">
        <f>IF(OR(ISBLANK(G19),G19=0),0,F19/ROUND(G19,4))</f>
        <v>0</v>
      </c>
      <c r="L19" s="56">
        <f>ROUND(J19,2)*K19</f>
        <v>0</v>
      </c>
      <c r="M19" s="65">
        <f>K19*dagenperjaar1</f>
        <v>0</v>
      </c>
      <c r="N19" s="56">
        <f>M19*ROUND(J19,2)</f>
        <v>0</v>
      </c>
    </row>
    <row r="20" spans="1:14" x14ac:dyDescent="0.2">
      <c r="A20" s="52" t="s">
        <v>263</v>
      </c>
      <c r="B20" s="52" t="s">
        <v>21</v>
      </c>
      <c r="C20" s="52" t="s">
        <v>255</v>
      </c>
      <c r="D20" s="52" t="s">
        <v>265</v>
      </c>
      <c r="E20" s="65">
        <v>40.26</v>
      </c>
      <c r="F20" s="65">
        <f>E20*VLOOKUP(B20,dagsoorttabel1,2,FALSE)</f>
        <v>8.0519999999999996</v>
      </c>
      <c r="G20" s="66">
        <f>IF(AND(catpn_1_BZB_1&gt;0,catpn_1_BZV_51&gt;0),(dagenperjaar1*VLOOKUP(B20,dagsoorttabel1,2,FALSE))/(((dagenperjaar1*VLOOKUP(B20,dagsoorttabel1,2,FALSE))-catfd_1_BZV_51)/catpn_1_BZB_1+catfd_1_BZV_51/catpn_1_BZV_51),0)</f>
        <v>0</v>
      </c>
      <c r="H20" s="67">
        <f>IF(AND(catpn_1_BZB_1&gt;0,catpn_1_BZV_51&gt;0),(catdw_1_BZB_1*((dagenperjaar1-VLOOKUP(B20,dagsoorttabel1,2,FALSE))-catfd_1_BZV_51)/catpn_1_BZB_1+catdw_1_BZV_51*catfd_1_BZV_51/catpn_1_BZV_51)/(((dagenperjaar1-VLOOKUP(B20,dagsoorttabel1,2,FALSE))-catfd_1_BZV_51)/catpn_1_BZB_1+catfd_1_BZV_51/catpn_1_BZV_51),0)</f>
        <v>0</v>
      </c>
      <c r="I20" s="52" t="s">
        <v>105</v>
      </c>
      <c r="J20" s="56">
        <f>IF(AND(catpn_1_BZB_1&gt;0,catpn_1_BZV_51&gt;0),(cattf_1_BZB_1*((dagenperjaar1*VLOOKUP(B20,dagsoorttabel1,2,FALSE))-catfd_1_BZV_51)/catpn_1_BZB_1+cattf_1_BZV_51*catfd_1_BZV_51/catpn_1_BZV_51)/(((dagenperjaar1*VLOOKUP(B20,dagsoorttabel1,2,FALSE))-catfd_1_BZV_51)/catpn_1_BZB_1+catfd_1_BZV_51/catpn_1_BZV_51),0)</f>
        <v>0</v>
      </c>
      <c r="K20" s="65">
        <f>IF(OR(ISBLANK(G20),G20=0),0,F20/ROUND(G20,4))</f>
        <v>0</v>
      </c>
      <c r="L20" s="56">
        <f>ROUND(J20,2)*K20</f>
        <v>0</v>
      </c>
      <c r="M20" s="65">
        <f>K20*dagenperjaar1</f>
        <v>0</v>
      </c>
      <c r="N20" s="56">
        <f>M20*ROUND(J20,2)</f>
        <v>0</v>
      </c>
    </row>
    <row r="21" spans="1:14" x14ac:dyDescent="0.2">
      <c r="A21" s="52" t="s">
        <v>266</v>
      </c>
      <c r="B21" s="52" t="s">
        <v>13</v>
      </c>
      <c r="C21" s="52" t="s">
        <v>255</v>
      </c>
      <c r="D21" s="52" t="s">
        <v>267</v>
      </c>
      <c r="E21" s="65">
        <v>748.89</v>
      </c>
      <c r="F21" s="65">
        <f>E21*VLOOKUP(B21,dagsoorttabel1,2,FALSE)</f>
        <v>587.36470588235295</v>
      </c>
      <c r="G21" s="66">
        <f>IF(AND(catpn_1_DHB_1&gt;0,catpn_1_DHV_40&gt;0),(dagenperjaar1*VLOOKUP(B21,dagsoorttabel1,2,FALSE))/(((dagenperjaar1*VLOOKUP(B21,dagsoorttabel1,2,FALSE))-catfd_1_DHV_40)/catpn_1_DHB_1+catfd_1_DHV_40/catpn_1_DHV_40),0)</f>
        <v>0</v>
      </c>
      <c r="H21" s="67">
        <f>IF(AND(catpn_1_DHB_1&gt;0,catpn_1_DHV_40&gt;0),(catdw_1_DHB_1*((dagenperjaar1-VLOOKUP(B21,dagsoorttabel1,2,FALSE))-catfd_1_DHV_40)/catpn_1_DHB_1+catdw_1_DHV_40*catfd_1_DHV_40/catpn_1_DHV_40)/(((dagenperjaar1-VLOOKUP(B21,dagsoorttabel1,2,FALSE))-catfd_1_DHV_40)/catpn_1_DHB_1+catfd_1_DHV_40/catpn_1_DHV_40),0)</f>
        <v>0</v>
      </c>
      <c r="I21" s="52" t="s">
        <v>105</v>
      </c>
      <c r="J21" s="56">
        <f>IF(AND(catpn_1_DHB_1&gt;0,catpn_1_DHV_40&gt;0),(cattf_1_DHB_1*((dagenperjaar1*VLOOKUP(B21,dagsoorttabel1,2,FALSE))-catfd_1_DHV_40)/catpn_1_DHB_1+cattf_1_DHV_40*catfd_1_DHV_40/catpn_1_DHV_40)/(((dagenperjaar1*VLOOKUP(B21,dagsoorttabel1,2,FALSE))-catfd_1_DHV_40)/catpn_1_DHB_1+catfd_1_DHV_40/catpn_1_DHV_40),0)</f>
        <v>0</v>
      </c>
      <c r="K21" s="65">
        <f>IF(OR(ISBLANK(G21),G21=0),0,F21/ROUND(G21,4))</f>
        <v>0</v>
      </c>
      <c r="L21" s="56">
        <f>ROUND(J21,2)*K21</f>
        <v>0</v>
      </c>
      <c r="M21" s="65">
        <f>K21*dagenperjaar1</f>
        <v>0</v>
      </c>
      <c r="N21" s="56">
        <f>M21*ROUND(J21,2)</f>
        <v>0</v>
      </c>
    </row>
    <row r="22" spans="1:14" x14ac:dyDescent="0.2">
      <c r="A22" s="52" t="s">
        <v>266</v>
      </c>
      <c r="B22" s="52" t="s">
        <v>10</v>
      </c>
      <c r="C22" s="52" t="s">
        <v>255</v>
      </c>
      <c r="D22" s="52" t="s">
        <v>267</v>
      </c>
      <c r="E22" s="65">
        <v>34.119999999999997</v>
      </c>
      <c r="F22" s="65">
        <f>E22*VLOOKUP(B22,dagsoorttabel1,2,FALSE)</f>
        <v>34.119999999999997</v>
      </c>
      <c r="G22" s="66">
        <f>IF(AND(catpn_1_DHB_1&gt;0,catpn_1_DHV_51&gt;0),(dagenperjaar1*VLOOKUP(B22,dagsoorttabel1,2,FALSE))/(((dagenperjaar1*VLOOKUP(B22,dagsoorttabel1,2,FALSE))-catfd_1_DHV_51)/catpn_1_DHB_1+catfd_1_DHV_51/catpn_1_DHV_51),0)</f>
        <v>0</v>
      </c>
      <c r="H22" s="67">
        <f>IF(AND(catpn_1_DHB_1&gt;0,catpn_1_DHV_51&gt;0),(catdw_1_DHB_1*((dagenperjaar1-VLOOKUP(B22,dagsoorttabel1,2,FALSE))-catfd_1_DHV_51)/catpn_1_DHB_1+catdw_1_DHV_51*catfd_1_DHV_51/catpn_1_DHV_51)/(((dagenperjaar1-VLOOKUP(B22,dagsoorttabel1,2,FALSE))-catfd_1_DHV_51)/catpn_1_DHB_1+catfd_1_DHV_51/catpn_1_DHV_51),0)</f>
        <v>0</v>
      </c>
      <c r="I22" s="52" t="s">
        <v>105</v>
      </c>
      <c r="J22" s="56">
        <f>IF(AND(catpn_1_DHB_1&gt;0,catpn_1_DHV_51&gt;0),(cattf_1_DHB_1*((dagenperjaar1*VLOOKUP(B22,dagsoorttabel1,2,FALSE))-catfd_1_DHV_51)/catpn_1_DHB_1+cattf_1_DHV_51*catfd_1_DHV_51/catpn_1_DHV_51)/(((dagenperjaar1*VLOOKUP(B22,dagsoorttabel1,2,FALSE))-catfd_1_DHV_51)/catpn_1_DHB_1+catfd_1_DHV_51/catpn_1_DHV_51),0)</f>
        <v>0</v>
      </c>
      <c r="K22" s="65">
        <f>IF(OR(ISBLANK(G22),G22=0),0,F22/ROUND(G22,4))</f>
        <v>0</v>
      </c>
      <c r="L22" s="56">
        <f>ROUND(J22,2)*K22</f>
        <v>0</v>
      </c>
      <c r="M22" s="65">
        <f>K22*dagenperjaar1</f>
        <v>0</v>
      </c>
      <c r="N22" s="56">
        <f>M22*ROUND(J22,2)</f>
        <v>0</v>
      </c>
    </row>
    <row r="23" spans="1:14" x14ac:dyDescent="0.2">
      <c r="A23" s="52" t="s">
        <v>268</v>
      </c>
      <c r="B23" s="52" t="s">
        <v>13</v>
      </c>
      <c r="C23" s="52" t="s">
        <v>255</v>
      </c>
      <c r="D23" s="52" t="s">
        <v>269</v>
      </c>
      <c r="E23" s="65">
        <v>545.1</v>
      </c>
      <c r="F23" s="65">
        <f>E23*VLOOKUP(B23,dagsoorttabel1,2,FALSE)</f>
        <v>427.52941176470591</v>
      </c>
      <c r="G23" s="66">
        <f>catpn_1_DHB_1</f>
        <v>0</v>
      </c>
      <c r="H23" s="67">
        <f>catdw_1_DHB_1</f>
        <v>0</v>
      </c>
      <c r="I23" s="52" t="s">
        <v>105</v>
      </c>
      <c r="J23" s="56">
        <f>cattf_1_DHB_1</f>
        <v>0</v>
      </c>
      <c r="K23" s="65">
        <f>IF(OR(ISBLANK(G23),G23=0),0,F23/ROUND(G23,4))</f>
        <v>0</v>
      </c>
      <c r="L23" s="56">
        <f>ROUND(J23,2)*K23</f>
        <v>0</v>
      </c>
      <c r="M23" s="65">
        <f>K23*dagenperjaar1</f>
        <v>0</v>
      </c>
      <c r="N23" s="56">
        <f>M23*ROUND(J23,2)</f>
        <v>0</v>
      </c>
    </row>
    <row r="24" spans="1:14" x14ac:dyDescent="0.2">
      <c r="A24" s="52" t="s">
        <v>270</v>
      </c>
      <c r="B24" s="52" t="s">
        <v>13</v>
      </c>
      <c r="C24" s="52" t="s">
        <v>255</v>
      </c>
      <c r="D24" s="52" t="s">
        <v>271</v>
      </c>
      <c r="E24" s="65">
        <v>227.72000000000003</v>
      </c>
      <c r="F24" s="65">
        <f>E24*VLOOKUP(B24,dagsoorttabel1,2,FALSE)</f>
        <v>178.60392156862747</v>
      </c>
      <c r="G24" s="66">
        <f>IF(AND(catpn_1_EHB_1&gt;0,catpn_1_EHV_40&gt;0),(dagenperjaar1*VLOOKUP(B24,dagsoorttabel1,2,FALSE))/(((dagenperjaar1*VLOOKUP(B24,dagsoorttabel1,2,FALSE))-catfd_1_EHV_40)/catpn_1_EHB_1+catfd_1_EHV_40/catpn_1_EHV_40),0)</f>
        <v>0</v>
      </c>
      <c r="H24" s="67">
        <f>IF(AND(catpn_1_EHB_1&gt;0,catpn_1_EHV_40&gt;0),(catdw_1_EHB_1*((dagenperjaar1-VLOOKUP(B24,dagsoorttabel1,2,FALSE))-catfd_1_EHV_40)/catpn_1_EHB_1+catdw_1_EHV_40*catfd_1_EHV_40/catpn_1_EHV_40)/(((dagenperjaar1-VLOOKUP(B24,dagsoorttabel1,2,FALSE))-catfd_1_EHV_40)/catpn_1_EHB_1+catfd_1_EHV_40/catpn_1_EHV_40),0)</f>
        <v>0</v>
      </c>
      <c r="I24" s="52" t="s">
        <v>105</v>
      </c>
      <c r="J24" s="56">
        <f>IF(AND(catpn_1_EHB_1&gt;0,catpn_1_EHV_40&gt;0),(cattf_1_EHB_1*((dagenperjaar1*VLOOKUP(B24,dagsoorttabel1,2,FALSE))-catfd_1_EHV_40)/catpn_1_EHB_1+cattf_1_EHV_40*catfd_1_EHV_40/catpn_1_EHV_40)/(((dagenperjaar1*VLOOKUP(B24,dagsoorttabel1,2,FALSE))-catfd_1_EHV_40)/catpn_1_EHB_1+catfd_1_EHV_40/catpn_1_EHV_40),0)</f>
        <v>0</v>
      </c>
      <c r="K24" s="65">
        <f>IF(OR(ISBLANK(G24),G24=0),0,F24/ROUND(G24,4))</f>
        <v>0</v>
      </c>
      <c r="L24" s="56">
        <f>ROUND(J24,2)*K24</f>
        <v>0</v>
      </c>
      <c r="M24" s="65">
        <f>K24*dagenperjaar1</f>
        <v>0</v>
      </c>
      <c r="N24" s="56">
        <f>M24*ROUND(J24,2)</f>
        <v>0</v>
      </c>
    </row>
    <row r="25" spans="1:14" x14ac:dyDescent="0.2">
      <c r="A25" s="52" t="s">
        <v>270</v>
      </c>
      <c r="B25" s="52" t="s">
        <v>10</v>
      </c>
      <c r="C25" s="52" t="s">
        <v>255</v>
      </c>
      <c r="D25" s="52" t="s">
        <v>271</v>
      </c>
      <c r="E25" s="65">
        <v>281.02999999999997</v>
      </c>
      <c r="F25" s="65">
        <f>E25*VLOOKUP(B25,dagsoorttabel1,2,FALSE)</f>
        <v>281.02999999999997</v>
      </c>
      <c r="G25" s="66">
        <f>IF(AND(catpn_1_EHB_1&gt;0,catpn_1_EHV_51&gt;0),(dagenperjaar1*VLOOKUP(B25,dagsoorttabel1,2,FALSE))/(((dagenperjaar1*VLOOKUP(B25,dagsoorttabel1,2,FALSE))-catfd_1_EHV_51)/catpn_1_EHB_1+catfd_1_EHV_51/catpn_1_EHV_51),0)</f>
        <v>0</v>
      </c>
      <c r="H25" s="67">
        <f>IF(AND(catpn_1_EHB_1&gt;0,catpn_1_EHV_51&gt;0),(catdw_1_EHB_1*((dagenperjaar1-VLOOKUP(B25,dagsoorttabel1,2,FALSE))-catfd_1_EHV_51)/catpn_1_EHB_1+catdw_1_EHV_51*catfd_1_EHV_51/catpn_1_EHV_51)/(((dagenperjaar1-VLOOKUP(B25,dagsoorttabel1,2,FALSE))-catfd_1_EHV_51)/catpn_1_EHB_1+catfd_1_EHV_51/catpn_1_EHV_51),0)</f>
        <v>0</v>
      </c>
      <c r="I25" s="52" t="s">
        <v>105</v>
      </c>
      <c r="J25" s="56">
        <f>IF(AND(catpn_1_EHB_1&gt;0,catpn_1_EHV_51&gt;0),(cattf_1_EHB_1*((dagenperjaar1*VLOOKUP(B25,dagsoorttabel1,2,FALSE))-catfd_1_EHV_51)/catpn_1_EHB_1+cattf_1_EHV_51*catfd_1_EHV_51/catpn_1_EHV_51)/(((dagenperjaar1*VLOOKUP(B25,dagsoorttabel1,2,FALSE))-catfd_1_EHV_51)/catpn_1_EHB_1+catfd_1_EHV_51/catpn_1_EHV_51),0)</f>
        <v>0</v>
      </c>
      <c r="K25" s="65">
        <f>IF(OR(ISBLANK(G25),G25=0),0,F25/ROUND(G25,4))</f>
        <v>0</v>
      </c>
      <c r="L25" s="56">
        <f>ROUND(J25,2)*K25</f>
        <v>0</v>
      </c>
      <c r="M25" s="65">
        <f>K25*dagenperjaar1</f>
        <v>0</v>
      </c>
      <c r="N25" s="56">
        <f>M25*ROUND(J25,2)</f>
        <v>0</v>
      </c>
    </row>
    <row r="26" spans="1:14" x14ac:dyDescent="0.2">
      <c r="A26" s="52" t="s">
        <v>272</v>
      </c>
      <c r="B26" s="52" t="s">
        <v>13</v>
      </c>
      <c r="C26" s="52" t="s">
        <v>255</v>
      </c>
      <c r="D26" s="52" t="s">
        <v>273</v>
      </c>
      <c r="E26" s="65">
        <v>46.02</v>
      </c>
      <c r="F26" s="65">
        <f>E26*VLOOKUP(B26,dagsoorttabel1,2,FALSE)</f>
        <v>36.094117647058823</v>
      </c>
      <c r="G26" s="66">
        <f>catpn_1_EHB_1</f>
        <v>0</v>
      </c>
      <c r="H26" s="67">
        <f>catdw_1_EHB_1</f>
        <v>0</v>
      </c>
      <c r="I26" s="52" t="s">
        <v>105</v>
      </c>
      <c r="J26" s="56">
        <f>cattf_1_EHB_1</f>
        <v>0</v>
      </c>
      <c r="K26" s="65">
        <f>IF(OR(ISBLANK(G26),G26=0),0,F26/ROUND(G26,4))</f>
        <v>0</v>
      </c>
      <c r="L26" s="56">
        <f>ROUND(J26,2)*K26</f>
        <v>0</v>
      </c>
      <c r="M26" s="65">
        <f>K26*dagenperjaar1</f>
        <v>0</v>
      </c>
      <c r="N26" s="56">
        <f>M26*ROUND(J26,2)</f>
        <v>0</v>
      </c>
    </row>
    <row r="27" spans="1:14" x14ac:dyDescent="0.2">
      <c r="A27" s="52" t="s">
        <v>272</v>
      </c>
      <c r="B27" s="52" t="s">
        <v>10</v>
      </c>
      <c r="C27" s="52" t="s">
        <v>255</v>
      </c>
      <c r="D27" s="52" t="s">
        <v>273</v>
      </c>
      <c r="E27" s="65">
        <v>176.46</v>
      </c>
      <c r="F27" s="65">
        <f>E27*VLOOKUP(B27,dagsoorttabel1,2,FALSE)</f>
        <v>176.46</v>
      </c>
      <c r="G27" s="66">
        <f>catpn_1_EHB_1</f>
        <v>0</v>
      </c>
      <c r="H27" s="67">
        <f>catdw_1_EHB_1</f>
        <v>0</v>
      </c>
      <c r="I27" s="52" t="s">
        <v>105</v>
      </c>
      <c r="J27" s="56">
        <f>cattf_1_EHB_1</f>
        <v>0</v>
      </c>
      <c r="K27" s="65">
        <f>IF(OR(ISBLANK(G27),G27=0),0,F27/ROUND(G27,4))</f>
        <v>0</v>
      </c>
      <c r="L27" s="56">
        <f>ROUND(J27,2)*K27</f>
        <v>0</v>
      </c>
      <c r="M27" s="65">
        <f>K27*dagenperjaar1</f>
        <v>0</v>
      </c>
      <c r="N27" s="56">
        <f>M27*ROUND(J27,2)</f>
        <v>0</v>
      </c>
    </row>
    <row r="28" spans="1:14" x14ac:dyDescent="0.2">
      <c r="A28" s="52" t="s">
        <v>274</v>
      </c>
      <c r="B28" s="52" t="s">
        <v>13</v>
      </c>
      <c r="C28" s="52" t="s">
        <v>255</v>
      </c>
      <c r="D28" s="52" t="s">
        <v>275</v>
      </c>
      <c r="E28" s="65">
        <v>140.95000000000002</v>
      </c>
      <c r="F28" s="65">
        <f>E28*VLOOKUP(B28,dagsoorttabel1,2,FALSE)</f>
        <v>110.54901960784315</v>
      </c>
      <c r="G28" s="66">
        <f>IF(AND(catpn_1_EZB_1&gt;0,catpn_1_EZV_40&gt;0),(dagenperjaar1*VLOOKUP(B28,dagsoorttabel1,2,FALSE))/(((dagenperjaar1*VLOOKUP(B28,dagsoorttabel1,2,FALSE))-catfd_1_EZV_40)/catpn_1_EZB_1+catfd_1_EZV_40/catpn_1_EZV_40),0)</f>
        <v>0</v>
      </c>
      <c r="H28" s="67">
        <f>IF(AND(catpn_1_EZB_1&gt;0,catpn_1_EZV_40&gt;0),(catdw_1_EZB_1*((dagenperjaar1-VLOOKUP(B28,dagsoorttabel1,2,FALSE))-catfd_1_EZV_40)/catpn_1_EZB_1+catdw_1_EZV_40*catfd_1_EZV_40/catpn_1_EZV_40)/(((dagenperjaar1-VLOOKUP(B28,dagsoorttabel1,2,FALSE))-catfd_1_EZV_40)/catpn_1_EZB_1+catfd_1_EZV_40/catpn_1_EZV_40),0)</f>
        <v>0</v>
      </c>
      <c r="I28" s="52" t="s">
        <v>105</v>
      </c>
      <c r="J28" s="56">
        <f>IF(AND(catpn_1_EZB_1&gt;0,catpn_1_EZV_40&gt;0),(cattf_1_EZB_1*((dagenperjaar1*VLOOKUP(B28,dagsoorttabel1,2,FALSE))-catfd_1_EZV_40)/catpn_1_EZB_1+cattf_1_EZV_40*catfd_1_EZV_40/catpn_1_EZV_40)/(((dagenperjaar1*VLOOKUP(B28,dagsoorttabel1,2,FALSE))-catfd_1_EZV_40)/catpn_1_EZB_1+catfd_1_EZV_40/catpn_1_EZV_40),0)</f>
        <v>0</v>
      </c>
      <c r="K28" s="65">
        <f>IF(OR(ISBLANK(G28),G28=0),0,F28/ROUND(G28,4))</f>
        <v>0</v>
      </c>
      <c r="L28" s="56">
        <f>ROUND(J28,2)*K28</f>
        <v>0</v>
      </c>
      <c r="M28" s="65">
        <f>K28*dagenperjaar1</f>
        <v>0</v>
      </c>
      <c r="N28" s="56">
        <f>M28*ROUND(J28,2)</f>
        <v>0</v>
      </c>
    </row>
    <row r="29" spans="1:14" x14ac:dyDescent="0.2">
      <c r="A29" s="52" t="s">
        <v>274</v>
      </c>
      <c r="B29" s="52" t="s">
        <v>10</v>
      </c>
      <c r="C29" s="52" t="s">
        <v>255</v>
      </c>
      <c r="D29" s="52" t="s">
        <v>275</v>
      </c>
      <c r="E29" s="65">
        <v>101.64</v>
      </c>
      <c r="F29" s="65">
        <f>E29*VLOOKUP(B29,dagsoorttabel1,2,FALSE)</f>
        <v>101.64</v>
      </c>
      <c r="G29" s="66">
        <f>IF(AND(catpn_1_EZB_1&gt;0,catpn_1_EZV_51&gt;0),(dagenperjaar1*VLOOKUP(B29,dagsoorttabel1,2,FALSE))/(((dagenperjaar1*VLOOKUP(B29,dagsoorttabel1,2,FALSE))-catfd_1_EZV_51)/catpn_1_EZB_1+catfd_1_EZV_51/catpn_1_EZV_51),0)</f>
        <v>0</v>
      </c>
      <c r="H29" s="67">
        <f>IF(AND(catpn_1_EZB_1&gt;0,catpn_1_EZV_51&gt;0),(catdw_1_EZB_1*((dagenperjaar1-VLOOKUP(B29,dagsoorttabel1,2,FALSE))-catfd_1_EZV_51)/catpn_1_EZB_1+catdw_1_EZV_51*catfd_1_EZV_51/catpn_1_EZV_51)/(((dagenperjaar1-VLOOKUP(B29,dagsoorttabel1,2,FALSE))-catfd_1_EZV_51)/catpn_1_EZB_1+catfd_1_EZV_51/catpn_1_EZV_51),0)</f>
        <v>0</v>
      </c>
      <c r="I29" s="52" t="s">
        <v>105</v>
      </c>
      <c r="J29" s="56">
        <f>IF(AND(catpn_1_EZB_1&gt;0,catpn_1_EZV_51&gt;0),(cattf_1_EZB_1*((dagenperjaar1*VLOOKUP(B29,dagsoorttabel1,2,FALSE))-catfd_1_EZV_51)/catpn_1_EZB_1+cattf_1_EZV_51*catfd_1_EZV_51/catpn_1_EZV_51)/(((dagenperjaar1*VLOOKUP(B29,dagsoorttabel1,2,FALSE))-catfd_1_EZV_51)/catpn_1_EZB_1+catfd_1_EZV_51/catpn_1_EZV_51),0)</f>
        <v>0</v>
      </c>
      <c r="K29" s="65">
        <f>IF(OR(ISBLANK(G29),G29=0),0,F29/ROUND(G29,4))</f>
        <v>0</v>
      </c>
      <c r="L29" s="56">
        <f>ROUND(J29,2)*K29</f>
        <v>0</v>
      </c>
      <c r="M29" s="65">
        <f>K29*dagenperjaar1</f>
        <v>0</v>
      </c>
      <c r="N29" s="56">
        <f>M29*ROUND(J29,2)</f>
        <v>0</v>
      </c>
    </row>
    <row r="30" spans="1:14" x14ac:dyDescent="0.2">
      <c r="A30" s="52" t="s">
        <v>274</v>
      </c>
      <c r="B30" s="52" t="s">
        <v>21</v>
      </c>
      <c r="C30" s="52" t="s">
        <v>255</v>
      </c>
      <c r="D30" s="52" t="s">
        <v>275</v>
      </c>
      <c r="E30" s="65">
        <v>20</v>
      </c>
      <c r="F30" s="65">
        <f>E30*VLOOKUP(B30,dagsoorttabel1,2,FALSE)</f>
        <v>4</v>
      </c>
      <c r="G30" s="66">
        <f>IF(AND(catpn_1_EZB_1&gt;0,catpn_1_EZV_51&gt;0),(dagenperjaar1*VLOOKUP(B30,dagsoorttabel1,2,FALSE))/(((dagenperjaar1*VLOOKUP(B30,dagsoorttabel1,2,FALSE))-catfd_1_EZV_51)/catpn_1_EZB_1+catfd_1_EZV_51/catpn_1_EZV_51),0)</f>
        <v>0</v>
      </c>
      <c r="H30" s="67">
        <f>IF(AND(catpn_1_EZB_1&gt;0,catpn_1_EZV_51&gt;0),(catdw_1_EZB_1*((dagenperjaar1-VLOOKUP(B30,dagsoorttabel1,2,FALSE))-catfd_1_EZV_51)/catpn_1_EZB_1+catdw_1_EZV_51*catfd_1_EZV_51/catpn_1_EZV_51)/(((dagenperjaar1-VLOOKUP(B30,dagsoorttabel1,2,FALSE))-catfd_1_EZV_51)/catpn_1_EZB_1+catfd_1_EZV_51/catpn_1_EZV_51),0)</f>
        <v>0</v>
      </c>
      <c r="I30" s="52" t="s">
        <v>105</v>
      </c>
      <c r="J30" s="56">
        <f>IF(AND(catpn_1_EZB_1&gt;0,catpn_1_EZV_51&gt;0),(cattf_1_EZB_1*((dagenperjaar1*VLOOKUP(B30,dagsoorttabel1,2,FALSE))-catfd_1_EZV_51)/catpn_1_EZB_1+cattf_1_EZV_51*catfd_1_EZV_51/catpn_1_EZV_51)/(((dagenperjaar1*VLOOKUP(B30,dagsoorttabel1,2,FALSE))-catfd_1_EZV_51)/catpn_1_EZB_1+catfd_1_EZV_51/catpn_1_EZV_51),0)</f>
        <v>0</v>
      </c>
      <c r="K30" s="65">
        <f>IF(OR(ISBLANK(G30),G30=0),0,F30/ROUND(G30,4))</f>
        <v>0</v>
      </c>
      <c r="L30" s="56">
        <f>ROUND(J30,2)*K30</f>
        <v>0</v>
      </c>
      <c r="M30" s="65">
        <f>K30*dagenperjaar1</f>
        <v>0</v>
      </c>
      <c r="N30" s="56">
        <f>M30*ROUND(J30,2)</f>
        <v>0</v>
      </c>
    </row>
    <row r="31" spans="1:14" x14ac:dyDescent="0.2">
      <c r="A31" s="52" t="s">
        <v>276</v>
      </c>
      <c r="B31" s="52" t="s">
        <v>13</v>
      </c>
      <c r="C31" s="52" t="s">
        <v>255</v>
      </c>
      <c r="D31" s="52" t="s">
        <v>277</v>
      </c>
      <c r="E31" s="65">
        <v>20.509999999999998</v>
      </c>
      <c r="F31" s="65">
        <f>E31*VLOOKUP(B31,dagsoorttabel1,2,FALSE)</f>
        <v>16.086274509803921</v>
      </c>
      <c r="G31" s="66">
        <f>catpn_1_EZB_1</f>
        <v>0</v>
      </c>
      <c r="H31" s="67">
        <f>catdw_1_EZB_1</f>
        <v>0</v>
      </c>
      <c r="I31" s="52" t="s">
        <v>105</v>
      </c>
      <c r="J31" s="56">
        <f>cattf_1_EZB_1</f>
        <v>0</v>
      </c>
      <c r="K31" s="65">
        <f>IF(OR(ISBLANK(G31),G31=0),0,F31/ROUND(G31,4))</f>
        <v>0</v>
      </c>
      <c r="L31" s="56">
        <f>ROUND(J31,2)*K31</f>
        <v>0</v>
      </c>
      <c r="M31" s="65">
        <f>K31*dagenperjaar1</f>
        <v>0</v>
      </c>
      <c r="N31" s="56">
        <f>M31*ROUND(J31,2)</f>
        <v>0</v>
      </c>
    </row>
    <row r="32" spans="1:14" x14ac:dyDescent="0.2">
      <c r="A32" s="52" t="s">
        <v>278</v>
      </c>
      <c r="B32" s="52" t="s">
        <v>10</v>
      </c>
      <c r="C32" s="52" t="s">
        <v>255</v>
      </c>
      <c r="D32" s="52" t="s">
        <v>279</v>
      </c>
      <c r="E32" s="65">
        <v>5.04</v>
      </c>
      <c r="F32" s="65">
        <f>E32*VLOOKUP(B32,dagsoorttabel1,2,FALSE)</f>
        <v>5.04</v>
      </c>
      <c r="G32" s="66">
        <f>IF(AND(catpn_1_FHB_1&gt;0,catpn_1_FHV_51&gt;0),(dagenperjaar1*VLOOKUP(B32,dagsoorttabel1,2,FALSE))/(((dagenperjaar1*VLOOKUP(B32,dagsoorttabel1,2,FALSE))-catfd_1_FHV_51)/catpn_1_FHB_1+catfd_1_FHV_51/catpn_1_FHV_51),0)</f>
        <v>0</v>
      </c>
      <c r="H32" s="67">
        <f>IF(AND(catpn_1_FHB_1&gt;0,catpn_1_FHV_51&gt;0),(catdw_1_FHB_1*((dagenperjaar1-VLOOKUP(B32,dagsoorttabel1,2,FALSE))-catfd_1_FHV_51)/catpn_1_FHB_1+catdw_1_FHV_51*catfd_1_FHV_51/catpn_1_FHV_51)/(((dagenperjaar1-VLOOKUP(B32,dagsoorttabel1,2,FALSE))-catfd_1_FHV_51)/catpn_1_FHB_1+catfd_1_FHV_51/catpn_1_FHV_51),0)</f>
        <v>0</v>
      </c>
      <c r="I32" s="52" t="s">
        <v>105</v>
      </c>
      <c r="J32" s="56">
        <f>IF(AND(catpn_1_FHB_1&gt;0,catpn_1_FHV_51&gt;0),(cattf_1_FHB_1*((dagenperjaar1*VLOOKUP(B32,dagsoorttabel1,2,FALSE))-catfd_1_FHV_51)/catpn_1_FHB_1+cattf_1_FHV_51*catfd_1_FHV_51/catpn_1_FHV_51)/(((dagenperjaar1*VLOOKUP(B32,dagsoorttabel1,2,FALSE))-catfd_1_FHV_51)/catpn_1_FHB_1+catfd_1_FHV_51/catpn_1_FHV_51),0)</f>
        <v>0</v>
      </c>
      <c r="K32" s="65">
        <f>IF(OR(ISBLANK(G32),G32=0),0,F32/ROUND(G32,4))</f>
        <v>0</v>
      </c>
      <c r="L32" s="56">
        <f>ROUND(J32,2)*K32</f>
        <v>0</v>
      </c>
      <c r="M32" s="65">
        <f>K32*dagenperjaar1</f>
        <v>0</v>
      </c>
      <c r="N32" s="56">
        <f>M32*ROUND(J32,2)</f>
        <v>0</v>
      </c>
    </row>
    <row r="33" spans="1:14" x14ac:dyDescent="0.2">
      <c r="A33" s="52" t="s">
        <v>280</v>
      </c>
      <c r="B33" s="52" t="s">
        <v>13</v>
      </c>
      <c r="C33" s="52" t="s">
        <v>255</v>
      </c>
      <c r="D33" s="52" t="s">
        <v>281</v>
      </c>
      <c r="E33" s="65">
        <v>13739.49</v>
      </c>
      <c r="F33" s="65">
        <f>E33*VLOOKUP(B33,dagsoorttabel1,2,FALSE)</f>
        <v>10776.070588235294</v>
      </c>
      <c r="G33" s="66">
        <f>IF(AND(catpn_1_GHB_1&gt;0,catpn_1_GHV_40&gt;0),(dagenperjaar1*VLOOKUP(B33,dagsoorttabel1,2,FALSE))/(((dagenperjaar1*VLOOKUP(B33,dagsoorttabel1,2,FALSE))-catfd_1_GHV_40)/catpn_1_GHB_1+catfd_1_GHV_40/catpn_1_GHV_40),0)</f>
        <v>0</v>
      </c>
      <c r="H33" s="67">
        <f>IF(AND(catpn_1_GHB_1&gt;0,catpn_1_GHV_40&gt;0),(catdw_1_GHB_1*((dagenperjaar1-VLOOKUP(B33,dagsoorttabel1,2,FALSE))-catfd_1_GHV_40)/catpn_1_GHB_1+catdw_1_GHV_40*catfd_1_GHV_40/catpn_1_GHV_40)/(((dagenperjaar1-VLOOKUP(B33,dagsoorttabel1,2,FALSE))-catfd_1_GHV_40)/catpn_1_GHB_1+catfd_1_GHV_40/catpn_1_GHV_40),0)</f>
        <v>0</v>
      </c>
      <c r="I33" s="52" t="s">
        <v>105</v>
      </c>
      <c r="J33" s="56">
        <f>IF(AND(catpn_1_GHB_1&gt;0,catpn_1_GHV_40&gt;0),(cattf_1_GHB_1*((dagenperjaar1*VLOOKUP(B33,dagsoorttabel1,2,FALSE))-catfd_1_GHV_40)/catpn_1_GHB_1+cattf_1_GHV_40*catfd_1_GHV_40/catpn_1_GHV_40)/(((dagenperjaar1*VLOOKUP(B33,dagsoorttabel1,2,FALSE))-catfd_1_GHV_40)/catpn_1_GHB_1+catfd_1_GHV_40/catpn_1_GHV_40),0)</f>
        <v>0</v>
      </c>
      <c r="K33" s="65">
        <f>IF(OR(ISBLANK(G33),G33=0),0,F33/ROUND(G33,4))</f>
        <v>0</v>
      </c>
      <c r="L33" s="56">
        <f>ROUND(J33,2)*K33</f>
        <v>0</v>
      </c>
      <c r="M33" s="65">
        <f>K33*dagenperjaar1</f>
        <v>0</v>
      </c>
      <c r="N33" s="56">
        <f>M33*ROUND(J33,2)</f>
        <v>0</v>
      </c>
    </row>
    <row r="34" spans="1:14" x14ac:dyDescent="0.2">
      <c r="A34" s="52" t="s">
        <v>280</v>
      </c>
      <c r="B34" s="52" t="s">
        <v>11</v>
      </c>
      <c r="C34" s="52" t="s">
        <v>255</v>
      </c>
      <c r="D34" s="52" t="s">
        <v>281</v>
      </c>
      <c r="E34" s="65">
        <v>1330</v>
      </c>
      <c r="F34" s="65">
        <f>E34*VLOOKUP(B34,dagsoorttabel1,2,FALSE)</f>
        <v>1199.607843137255</v>
      </c>
      <c r="G34" s="66">
        <f>IF(AND(catpn_1_GHB_1&gt;0,catpn_1_GHV_46&gt;0),(dagenperjaar1*VLOOKUP(B34,dagsoorttabel1,2,FALSE))/(((dagenperjaar1*VLOOKUP(B34,dagsoorttabel1,2,FALSE))-catfd_1_GHV_46)/catpn_1_GHB_1+catfd_1_GHV_46/catpn_1_GHV_46),0)</f>
        <v>0</v>
      </c>
      <c r="H34" s="67">
        <f>IF(AND(catpn_1_GHB_1&gt;0,catpn_1_GHV_46&gt;0),(catdw_1_GHB_1*((dagenperjaar1-VLOOKUP(B34,dagsoorttabel1,2,FALSE))-catfd_1_GHV_46)/catpn_1_GHB_1+catdw_1_GHV_46*catfd_1_GHV_46/catpn_1_GHV_46)/(((dagenperjaar1-VLOOKUP(B34,dagsoorttabel1,2,FALSE))-catfd_1_GHV_46)/catpn_1_GHB_1+catfd_1_GHV_46/catpn_1_GHV_46),0)</f>
        <v>0</v>
      </c>
      <c r="I34" s="52" t="s">
        <v>105</v>
      </c>
      <c r="J34" s="56">
        <f>IF(AND(catpn_1_GHB_1&gt;0,catpn_1_GHV_46&gt;0),(cattf_1_GHB_1*((dagenperjaar1*VLOOKUP(B34,dagsoorttabel1,2,FALSE))-catfd_1_GHV_46)/catpn_1_GHB_1+cattf_1_GHV_46*catfd_1_GHV_46/catpn_1_GHV_46)/(((dagenperjaar1*VLOOKUP(B34,dagsoorttabel1,2,FALSE))-catfd_1_GHV_46)/catpn_1_GHB_1+catfd_1_GHV_46/catpn_1_GHV_46),0)</f>
        <v>0</v>
      </c>
      <c r="K34" s="65">
        <f>IF(OR(ISBLANK(G34),G34=0),0,F34/ROUND(G34,4))</f>
        <v>0</v>
      </c>
      <c r="L34" s="56">
        <f>ROUND(J34,2)*K34</f>
        <v>0</v>
      </c>
      <c r="M34" s="65">
        <f>K34*dagenperjaar1</f>
        <v>0</v>
      </c>
      <c r="N34" s="56">
        <f>M34*ROUND(J34,2)</f>
        <v>0</v>
      </c>
    </row>
    <row r="35" spans="1:14" x14ac:dyDescent="0.2">
      <c r="A35" s="52" t="s">
        <v>280</v>
      </c>
      <c r="B35" s="52" t="s">
        <v>22</v>
      </c>
      <c r="C35" s="52" t="s">
        <v>255</v>
      </c>
      <c r="D35" s="52" t="s">
        <v>281</v>
      </c>
      <c r="E35" s="65">
        <v>1263.3599999999999</v>
      </c>
      <c r="F35" s="65">
        <f>E35*VLOOKUP(B35,dagsoorttabel1,2,FALSE)</f>
        <v>198.17411764705881</v>
      </c>
      <c r="G35" s="66">
        <f>IF(AND(catpn_1_GHB_1&gt;0,catpn_1_GHV_40&gt;0),(dagenperjaar1*VLOOKUP(B35,dagsoorttabel1,2,FALSE))/(((dagenperjaar1*VLOOKUP(B35,dagsoorttabel1,2,FALSE))-catfd_1_GHV_40)/catpn_1_GHB_1+catfd_1_GHV_40/catpn_1_GHV_40),0)</f>
        <v>0</v>
      </c>
      <c r="H35" s="67">
        <f>IF(AND(catpn_1_GHB_1&gt;0,catpn_1_GHV_40&gt;0),(catdw_1_GHB_1*((dagenperjaar1-VLOOKUP(B35,dagsoorttabel1,2,FALSE))-catfd_1_GHV_40)/catpn_1_GHB_1+catdw_1_GHV_40*catfd_1_GHV_40/catpn_1_GHV_40)/(((dagenperjaar1-VLOOKUP(B35,dagsoorttabel1,2,FALSE))-catfd_1_GHV_40)/catpn_1_GHB_1+catfd_1_GHV_40/catpn_1_GHV_40),0)</f>
        <v>0</v>
      </c>
      <c r="I35" s="52" t="s">
        <v>105</v>
      </c>
      <c r="J35" s="56">
        <f>IF(AND(catpn_1_GHB_1&gt;0,catpn_1_GHV_40&gt;0),(cattf_1_GHB_1*((dagenperjaar1*VLOOKUP(B35,dagsoorttabel1,2,FALSE))-catfd_1_GHV_40)/catpn_1_GHB_1+cattf_1_GHV_40*catfd_1_GHV_40/catpn_1_GHV_40)/(((dagenperjaar1*VLOOKUP(B35,dagsoorttabel1,2,FALSE))-catfd_1_GHV_40)/catpn_1_GHB_1+catfd_1_GHV_40/catpn_1_GHV_40),0)</f>
        <v>0</v>
      </c>
      <c r="K35" s="65">
        <f>IF(OR(ISBLANK(G35),G35=0),0,F35/ROUND(G35,4))</f>
        <v>0</v>
      </c>
      <c r="L35" s="56">
        <f>ROUND(J35,2)*K35</f>
        <v>0</v>
      </c>
      <c r="M35" s="65">
        <f>K35*dagenperjaar1</f>
        <v>0</v>
      </c>
      <c r="N35" s="56">
        <f>M35*ROUND(J35,2)</f>
        <v>0</v>
      </c>
    </row>
    <row r="36" spans="1:14" x14ac:dyDescent="0.2">
      <c r="A36" s="52" t="s">
        <v>282</v>
      </c>
      <c r="B36" s="52" t="s">
        <v>13</v>
      </c>
      <c r="C36" s="52" t="s">
        <v>255</v>
      </c>
      <c r="D36" s="52" t="s">
        <v>283</v>
      </c>
      <c r="E36" s="65">
        <v>8125.3</v>
      </c>
      <c r="F36" s="65">
        <f>E36*VLOOKUP(B36,dagsoorttabel1,2,FALSE)</f>
        <v>6372.7843137254904</v>
      </c>
      <c r="G36" s="66">
        <f>catpn_1_GHB_1</f>
        <v>0</v>
      </c>
      <c r="H36" s="67">
        <f>catdw_1_GHB_1</f>
        <v>0</v>
      </c>
      <c r="I36" s="52" t="s">
        <v>105</v>
      </c>
      <c r="J36" s="56">
        <f>cattf_1_GHB_1</f>
        <v>0</v>
      </c>
      <c r="K36" s="65">
        <f>IF(OR(ISBLANK(G36),G36=0),0,F36/ROUND(G36,4))</f>
        <v>0</v>
      </c>
      <c r="L36" s="56">
        <f>ROUND(J36,2)*K36</f>
        <v>0</v>
      </c>
      <c r="M36" s="65">
        <f>K36*dagenperjaar1</f>
        <v>0</v>
      </c>
      <c r="N36" s="56">
        <f>M36*ROUND(J36,2)</f>
        <v>0</v>
      </c>
    </row>
    <row r="37" spans="1:14" x14ac:dyDescent="0.2">
      <c r="A37" s="52" t="s">
        <v>282</v>
      </c>
      <c r="B37" s="52" t="s">
        <v>22</v>
      </c>
      <c r="C37" s="52" t="s">
        <v>255</v>
      </c>
      <c r="D37" s="52" t="s">
        <v>283</v>
      </c>
      <c r="E37" s="65">
        <v>28</v>
      </c>
      <c r="F37" s="65">
        <f>E37*VLOOKUP(B37,dagsoorttabel1,2,FALSE)</f>
        <v>4.3921568627450984</v>
      </c>
      <c r="G37" s="66">
        <f>catpn_1_GHB_1</f>
        <v>0</v>
      </c>
      <c r="H37" s="67">
        <f>catdw_1_GHB_1</f>
        <v>0</v>
      </c>
      <c r="I37" s="52" t="s">
        <v>105</v>
      </c>
      <c r="J37" s="56">
        <f>cattf_1_GHB_1</f>
        <v>0</v>
      </c>
      <c r="K37" s="65">
        <f>IF(OR(ISBLANK(G37),G37=0),0,F37/ROUND(G37,4))</f>
        <v>0</v>
      </c>
      <c r="L37" s="56">
        <f>ROUND(J37,2)*K37</f>
        <v>0</v>
      </c>
      <c r="M37" s="65">
        <f>K37*dagenperjaar1</f>
        <v>0</v>
      </c>
      <c r="N37" s="56">
        <f>M37*ROUND(J37,2)</f>
        <v>0</v>
      </c>
    </row>
    <row r="38" spans="1:14" x14ac:dyDescent="0.2">
      <c r="A38" s="52" t="s">
        <v>284</v>
      </c>
      <c r="B38" s="52" t="s">
        <v>18</v>
      </c>
      <c r="C38" s="52" t="s">
        <v>255</v>
      </c>
      <c r="D38" s="52" t="s">
        <v>285</v>
      </c>
      <c r="E38" s="65">
        <v>29.75</v>
      </c>
      <c r="F38" s="65">
        <f>E38*VLOOKUP(B38,dagsoorttabel1,2,FALSE)</f>
        <v>11.9</v>
      </c>
      <c r="G38" s="66">
        <f>IF(AND(catpn_1_KLHB_1&gt;0,catpn_1_KLHV_51&gt;0),(dagenperjaar1*VLOOKUP(B38,dagsoorttabel1,2,FALSE))/(((dagenperjaar1*VLOOKUP(B38,dagsoorttabel1,2,FALSE))-catfd_1_KLHV_51)/catpn_1_KLHB_1+catfd_1_KLHV_51/catpn_1_KLHV_51),0)</f>
        <v>0</v>
      </c>
      <c r="H38" s="67">
        <f>IF(AND(catpn_1_KLHB_1&gt;0,catpn_1_KLHV_51&gt;0),(catdw_1_KLHB_1*((dagenperjaar1-VLOOKUP(B38,dagsoorttabel1,2,FALSE))-catfd_1_KLHV_51)/catpn_1_KLHB_1+catdw_1_KLHV_51*catfd_1_KLHV_51/catpn_1_KLHV_51)/(((dagenperjaar1-VLOOKUP(B38,dagsoorttabel1,2,FALSE))-catfd_1_KLHV_51)/catpn_1_KLHB_1+catfd_1_KLHV_51/catpn_1_KLHV_51),0)</f>
        <v>0</v>
      </c>
      <c r="I38" s="52" t="s">
        <v>105</v>
      </c>
      <c r="J38" s="56">
        <f>IF(AND(catpn_1_KLHB_1&gt;0,catpn_1_KLHV_51&gt;0),(cattf_1_KLHB_1*((dagenperjaar1*VLOOKUP(B38,dagsoorttabel1,2,FALSE))-catfd_1_KLHV_51)/catpn_1_KLHB_1+cattf_1_KLHV_51*catfd_1_KLHV_51/catpn_1_KLHV_51)/(((dagenperjaar1*VLOOKUP(B38,dagsoorttabel1,2,FALSE))-catfd_1_KLHV_51)/catpn_1_KLHB_1+catfd_1_KLHV_51/catpn_1_KLHV_51),0)</f>
        <v>0</v>
      </c>
      <c r="K38" s="65">
        <f>IF(OR(ISBLANK(G38),G38=0),0,F38/ROUND(G38,4))</f>
        <v>0</v>
      </c>
      <c r="L38" s="56">
        <f>ROUND(J38,2)*K38</f>
        <v>0</v>
      </c>
      <c r="M38" s="65">
        <f>K38*dagenperjaar1</f>
        <v>0</v>
      </c>
      <c r="N38" s="56">
        <f>M38*ROUND(J38,2)</f>
        <v>0</v>
      </c>
    </row>
    <row r="39" spans="1:14" x14ac:dyDescent="0.2">
      <c r="A39" s="52" t="s">
        <v>284</v>
      </c>
      <c r="B39" s="52" t="s">
        <v>13</v>
      </c>
      <c r="C39" s="52" t="s">
        <v>255</v>
      </c>
      <c r="D39" s="52" t="s">
        <v>285</v>
      </c>
      <c r="E39" s="65">
        <v>2134.73</v>
      </c>
      <c r="F39" s="65">
        <f>E39*VLOOKUP(B39,dagsoorttabel1,2,FALSE)</f>
        <v>1674.2980392156862</v>
      </c>
      <c r="G39" s="66">
        <f>IF(AND(catpn_1_KLHB_1&gt;0,catpn_1_KLHV_40&gt;0),(dagenperjaar1*VLOOKUP(B39,dagsoorttabel1,2,FALSE))/(((dagenperjaar1*VLOOKUP(B39,dagsoorttabel1,2,FALSE))-catfd_1_KLHV_40)/catpn_1_KLHB_1+catfd_1_KLHV_40/catpn_1_KLHV_40),0)</f>
        <v>0</v>
      </c>
      <c r="H39" s="67">
        <f>IF(AND(catpn_1_KLHB_1&gt;0,catpn_1_KLHV_40&gt;0),(catdw_1_KLHB_1*((dagenperjaar1-VLOOKUP(B39,dagsoorttabel1,2,FALSE))-catfd_1_KLHV_40)/catpn_1_KLHB_1+catdw_1_KLHV_40*catfd_1_KLHV_40/catpn_1_KLHV_40)/(((dagenperjaar1-VLOOKUP(B39,dagsoorttabel1,2,FALSE))-catfd_1_KLHV_40)/catpn_1_KLHB_1+catfd_1_KLHV_40/catpn_1_KLHV_40),0)</f>
        <v>0</v>
      </c>
      <c r="I39" s="52" t="s">
        <v>105</v>
      </c>
      <c r="J39" s="56">
        <f>IF(AND(catpn_1_KLHB_1&gt;0,catpn_1_KLHV_40&gt;0),(cattf_1_KLHB_1*((dagenperjaar1*VLOOKUP(B39,dagsoorttabel1,2,FALSE))-catfd_1_KLHV_40)/catpn_1_KLHB_1+cattf_1_KLHV_40*catfd_1_KLHV_40/catpn_1_KLHV_40)/(((dagenperjaar1*VLOOKUP(B39,dagsoorttabel1,2,FALSE))-catfd_1_KLHV_40)/catpn_1_KLHB_1+catfd_1_KLHV_40/catpn_1_KLHV_40),0)</f>
        <v>0</v>
      </c>
      <c r="K39" s="65">
        <f>IF(OR(ISBLANK(G39),G39=0),0,F39/ROUND(G39,4))</f>
        <v>0</v>
      </c>
      <c r="L39" s="56">
        <f>ROUND(J39,2)*K39</f>
        <v>0</v>
      </c>
      <c r="M39" s="65">
        <f>K39*dagenperjaar1</f>
        <v>0</v>
      </c>
      <c r="N39" s="56">
        <f>M39*ROUND(J39,2)</f>
        <v>0</v>
      </c>
    </row>
    <row r="40" spans="1:14" x14ac:dyDescent="0.2">
      <c r="A40" s="52" t="s">
        <v>284</v>
      </c>
      <c r="B40" s="52" t="s">
        <v>10</v>
      </c>
      <c r="C40" s="52" t="s">
        <v>255</v>
      </c>
      <c r="D40" s="52" t="s">
        <v>285</v>
      </c>
      <c r="E40" s="65">
        <v>128.63999999999999</v>
      </c>
      <c r="F40" s="65">
        <f>E40*VLOOKUP(B40,dagsoorttabel1,2,FALSE)</f>
        <v>128.63999999999999</v>
      </c>
      <c r="G40" s="66">
        <f>IF(AND(catpn_1_KLHB_1&gt;0,catpn_1_KLHV_51&gt;0),(dagenperjaar1*VLOOKUP(B40,dagsoorttabel1,2,FALSE))/(((dagenperjaar1*VLOOKUP(B40,dagsoorttabel1,2,FALSE))-catfd_1_KLHV_51)/catpn_1_KLHB_1+catfd_1_KLHV_51/catpn_1_KLHV_51),0)</f>
        <v>0</v>
      </c>
      <c r="H40" s="67">
        <f>IF(AND(catpn_1_KLHB_1&gt;0,catpn_1_KLHV_51&gt;0),(catdw_1_KLHB_1*((dagenperjaar1-VLOOKUP(B40,dagsoorttabel1,2,FALSE))-catfd_1_KLHV_51)/catpn_1_KLHB_1+catdw_1_KLHV_51*catfd_1_KLHV_51/catpn_1_KLHV_51)/(((dagenperjaar1-VLOOKUP(B40,dagsoorttabel1,2,FALSE))-catfd_1_KLHV_51)/catpn_1_KLHB_1+catfd_1_KLHV_51/catpn_1_KLHV_51),0)</f>
        <v>0</v>
      </c>
      <c r="I40" s="52" t="s">
        <v>105</v>
      </c>
      <c r="J40" s="56">
        <f>IF(AND(catpn_1_KLHB_1&gt;0,catpn_1_KLHV_51&gt;0),(cattf_1_KLHB_1*((dagenperjaar1*VLOOKUP(B40,dagsoorttabel1,2,FALSE))-catfd_1_KLHV_51)/catpn_1_KLHB_1+cattf_1_KLHV_51*catfd_1_KLHV_51/catpn_1_KLHV_51)/(((dagenperjaar1*VLOOKUP(B40,dagsoorttabel1,2,FALSE))-catfd_1_KLHV_51)/catpn_1_KLHB_1+catfd_1_KLHV_51/catpn_1_KLHV_51),0)</f>
        <v>0</v>
      </c>
      <c r="K40" s="65">
        <f>IF(OR(ISBLANK(G40),G40=0),0,F40/ROUND(G40,4))</f>
        <v>0</v>
      </c>
      <c r="L40" s="56">
        <f>ROUND(J40,2)*K40</f>
        <v>0</v>
      </c>
      <c r="M40" s="65">
        <f>K40*dagenperjaar1</f>
        <v>0</v>
      </c>
      <c r="N40" s="56">
        <f>M40*ROUND(J40,2)</f>
        <v>0</v>
      </c>
    </row>
    <row r="41" spans="1:14" x14ac:dyDescent="0.2">
      <c r="A41" s="52" t="s">
        <v>284</v>
      </c>
      <c r="B41" s="52" t="s">
        <v>21</v>
      </c>
      <c r="C41" s="52" t="s">
        <v>255</v>
      </c>
      <c r="D41" s="52" t="s">
        <v>285</v>
      </c>
      <c r="E41" s="65">
        <v>19.91</v>
      </c>
      <c r="F41" s="65">
        <f>E41*VLOOKUP(B41,dagsoorttabel1,2,FALSE)</f>
        <v>3.9820000000000002</v>
      </c>
      <c r="G41" s="66">
        <f>IF(AND(catpn_1_KLHB_1&gt;0,catpn_1_KLHV_51&gt;0),(dagenperjaar1*VLOOKUP(B41,dagsoorttabel1,2,FALSE))/(((dagenperjaar1*VLOOKUP(B41,dagsoorttabel1,2,FALSE))-catfd_1_KLHV_51)/catpn_1_KLHB_1+catfd_1_KLHV_51/catpn_1_KLHV_51),0)</f>
        <v>0</v>
      </c>
      <c r="H41" s="67">
        <f>IF(AND(catpn_1_KLHB_1&gt;0,catpn_1_KLHV_51&gt;0),(catdw_1_KLHB_1*((dagenperjaar1-VLOOKUP(B41,dagsoorttabel1,2,FALSE))-catfd_1_KLHV_51)/catpn_1_KLHB_1+catdw_1_KLHV_51*catfd_1_KLHV_51/catpn_1_KLHV_51)/(((dagenperjaar1-VLOOKUP(B41,dagsoorttabel1,2,FALSE))-catfd_1_KLHV_51)/catpn_1_KLHB_1+catfd_1_KLHV_51/catpn_1_KLHV_51),0)</f>
        <v>0</v>
      </c>
      <c r="I41" s="52" t="s">
        <v>105</v>
      </c>
      <c r="J41" s="56">
        <f>IF(AND(catpn_1_KLHB_1&gt;0,catpn_1_KLHV_51&gt;0),(cattf_1_KLHB_1*((dagenperjaar1*VLOOKUP(B41,dagsoorttabel1,2,FALSE))-catfd_1_KLHV_51)/catpn_1_KLHB_1+cattf_1_KLHV_51*catfd_1_KLHV_51/catpn_1_KLHV_51)/(((dagenperjaar1*VLOOKUP(B41,dagsoorttabel1,2,FALSE))-catfd_1_KLHV_51)/catpn_1_KLHB_1+catfd_1_KLHV_51/catpn_1_KLHV_51),0)</f>
        <v>0</v>
      </c>
      <c r="K41" s="65">
        <f>IF(OR(ISBLANK(G41),G41=0),0,F41/ROUND(G41,4))</f>
        <v>0</v>
      </c>
      <c r="L41" s="56">
        <f>ROUND(J41,2)*K41</f>
        <v>0</v>
      </c>
      <c r="M41" s="65">
        <f>K41*dagenperjaar1</f>
        <v>0</v>
      </c>
      <c r="N41" s="56">
        <f>M41*ROUND(J41,2)</f>
        <v>0</v>
      </c>
    </row>
    <row r="42" spans="1:14" x14ac:dyDescent="0.2">
      <c r="A42" s="52" t="s">
        <v>286</v>
      </c>
      <c r="B42" s="52" t="s">
        <v>13</v>
      </c>
      <c r="C42" s="52" t="s">
        <v>255</v>
      </c>
      <c r="D42" s="52" t="s">
        <v>287</v>
      </c>
      <c r="E42" s="65">
        <v>1023.35</v>
      </c>
      <c r="F42" s="65">
        <f>E42*VLOOKUP(B42,dagsoorttabel1,2,FALSE)</f>
        <v>802.62745098039215</v>
      </c>
      <c r="G42" s="66">
        <f>catpn_1_KLHB_1</f>
        <v>0</v>
      </c>
      <c r="H42" s="67">
        <f>catdw_1_KLHB_1</f>
        <v>0</v>
      </c>
      <c r="I42" s="52" t="s">
        <v>105</v>
      </c>
      <c r="J42" s="56">
        <f>cattf_1_KLHB_1</f>
        <v>0</v>
      </c>
      <c r="K42" s="65">
        <f>IF(OR(ISBLANK(G42),G42=0),0,F42/ROUND(G42,4))</f>
        <v>0</v>
      </c>
      <c r="L42" s="56">
        <f>ROUND(J42,2)*K42</f>
        <v>0</v>
      </c>
      <c r="M42" s="65">
        <f>K42*dagenperjaar1</f>
        <v>0</v>
      </c>
      <c r="N42" s="56">
        <f>M42*ROUND(J42,2)</f>
        <v>0</v>
      </c>
    </row>
    <row r="43" spans="1:14" x14ac:dyDescent="0.2">
      <c r="A43" s="52" t="s">
        <v>288</v>
      </c>
      <c r="B43" s="52" t="s">
        <v>13</v>
      </c>
      <c r="C43" s="52" t="s">
        <v>255</v>
      </c>
      <c r="D43" s="52" t="s">
        <v>289</v>
      </c>
      <c r="E43" s="65">
        <v>1788.3000000000004</v>
      </c>
      <c r="F43" s="65">
        <f>E43*VLOOKUP(B43,dagsoorttabel1,2,FALSE)</f>
        <v>1402.588235294118</v>
      </c>
      <c r="G43" s="66">
        <f>IF(AND(catpn_1_LHB_1&gt;0,catpn_1_LHV_40&gt;0),(dagenperjaar1*VLOOKUP(B43,dagsoorttabel1,2,FALSE))/(((dagenperjaar1*VLOOKUP(B43,dagsoorttabel1,2,FALSE))-catfd_1_LHV_40)/catpn_1_LHB_1+catfd_1_LHV_40/catpn_1_LHV_40),0)</f>
        <v>0</v>
      </c>
      <c r="H43" s="67">
        <f>IF(AND(catpn_1_LHB_1&gt;0,catpn_1_LHV_40&gt;0),(catdw_1_LHB_1*((dagenperjaar1-VLOOKUP(B43,dagsoorttabel1,2,FALSE))-catfd_1_LHV_40)/catpn_1_LHB_1+catdw_1_LHV_40*catfd_1_LHV_40/catpn_1_LHV_40)/(((dagenperjaar1-VLOOKUP(B43,dagsoorttabel1,2,FALSE))-catfd_1_LHV_40)/catpn_1_LHB_1+catfd_1_LHV_40/catpn_1_LHV_40),0)</f>
        <v>0</v>
      </c>
      <c r="I43" s="52" t="s">
        <v>105</v>
      </c>
      <c r="J43" s="56">
        <f>IF(AND(catpn_1_LHB_1&gt;0,catpn_1_LHV_40&gt;0),(cattf_1_LHB_1*((dagenperjaar1*VLOOKUP(B43,dagsoorttabel1,2,FALSE))-catfd_1_LHV_40)/catpn_1_LHB_1+cattf_1_LHV_40*catfd_1_LHV_40/catpn_1_LHV_40)/(((dagenperjaar1*VLOOKUP(B43,dagsoorttabel1,2,FALSE))-catfd_1_LHV_40)/catpn_1_LHB_1+catfd_1_LHV_40/catpn_1_LHV_40),0)</f>
        <v>0</v>
      </c>
      <c r="K43" s="65">
        <f>IF(OR(ISBLANK(G43),G43=0),0,F43/ROUND(G43,4))</f>
        <v>0</v>
      </c>
      <c r="L43" s="56">
        <f>ROUND(J43,2)*K43</f>
        <v>0</v>
      </c>
      <c r="M43" s="65">
        <f>K43*dagenperjaar1</f>
        <v>0</v>
      </c>
      <c r="N43" s="56">
        <f>M43*ROUND(J43,2)</f>
        <v>0</v>
      </c>
    </row>
    <row r="44" spans="1:14" x14ac:dyDescent="0.2">
      <c r="A44" s="52" t="s">
        <v>288</v>
      </c>
      <c r="B44" s="52" t="s">
        <v>10</v>
      </c>
      <c r="C44" s="52" t="s">
        <v>255</v>
      </c>
      <c r="D44" s="52" t="s">
        <v>289</v>
      </c>
      <c r="E44" s="65">
        <v>68.8</v>
      </c>
      <c r="F44" s="65">
        <f>E44*VLOOKUP(B44,dagsoorttabel1,2,FALSE)</f>
        <v>68.8</v>
      </c>
      <c r="G44" s="66">
        <f>IF(AND(catpn_1_LHB_1&gt;0,catpn_1_LHV_51&gt;0),(dagenperjaar1*VLOOKUP(B44,dagsoorttabel1,2,FALSE))/(((dagenperjaar1*VLOOKUP(B44,dagsoorttabel1,2,FALSE))-catfd_1_LHV_51)/catpn_1_LHB_1+catfd_1_LHV_51/catpn_1_LHV_51),0)</f>
        <v>0</v>
      </c>
      <c r="H44" s="67">
        <f>IF(AND(catpn_1_LHB_1&gt;0,catpn_1_LHV_51&gt;0),(catdw_1_LHB_1*((dagenperjaar1-VLOOKUP(B44,dagsoorttabel1,2,FALSE))-catfd_1_LHV_51)/catpn_1_LHB_1+catdw_1_LHV_51*catfd_1_LHV_51/catpn_1_LHV_51)/(((dagenperjaar1-VLOOKUP(B44,dagsoorttabel1,2,FALSE))-catfd_1_LHV_51)/catpn_1_LHB_1+catfd_1_LHV_51/catpn_1_LHV_51),0)</f>
        <v>0</v>
      </c>
      <c r="I44" s="52" t="s">
        <v>105</v>
      </c>
      <c r="J44" s="56">
        <f>IF(AND(catpn_1_LHB_1&gt;0,catpn_1_LHV_51&gt;0),(cattf_1_LHB_1*((dagenperjaar1*VLOOKUP(B44,dagsoorttabel1,2,FALSE))-catfd_1_LHV_51)/catpn_1_LHB_1+cattf_1_LHV_51*catfd_1_LHV_51/catpn_1_LHV_51)/(((dagenperjaar1*VLOOKUP(B44,dagsoorttabel1,2,FALSE))-catfd_1_LHV_51)/catpn_1_LHB_1+catfd_1_LHV_51/catpn_1_LHV_51),0)</f>
        <v>0</v>
      </c>
      <c r="K44" s="65">
        <f>IF(OR(ISBLANK(G44),G44=0),0,F44/ROUND(G44,4))</f>
        <v>0</v>
      </c>
      <c r="L44" s="56">
        <f>ROUND(J44,2)*K44</f>
        <v>0</v>
      </c>
      <c r="M44" s="65">
        <f>K44*dagenperjaar1</f>
        <v>0</v>
      </c>
      <c r="N44" s="56">
        <f>M44*ROUND(J44,2)</f>
        <v>0</v>
      </c>
    </row>
    <row r="45" spans="1:14" x14ac:dyDescent="0.2">
      <c r="A45" s="52" t="s">
        <v>290</v>
      </c>
      <c r="B45" s="52" t="s">
        <v>13</v>
      </c>
      <c r="C45" s="52" t="s">
        <v>255</v>
      </c>
      <c r="D45" s="52" t="s">
        <v>291</v>
      </c>
      <c r="E45" s="65">
        <v>69.400000000000006</v>
      </c>
      <c r="F45" s="65">
        <f>E45*VLOOKUP(B45,dagsoorttabel1,2,FALSE)</f>
        <v>54.431372549019613</v>
      </c>
      <c r="G45" s="66">
        <f>IF(AND(catpn_1_LKHB_1&gt;0,catpn_1_LKHV_40&gt;0),(dagenperjaar1*VLOOKUP(B45,dagsoorttabel1,2,FALSE))/(((dagenperjaar1*VLOOKUP(B45,dagsoorttabel1,2,FALSE))-catfd_1_LKHV_40)/catpn_1_LKHB_1+catfd_1_LKHV_40/catpn_1_LKHV_40),0)</f>
        <v>0</v>
      </c>
      <c r="H45" s="67">
        <f>IF(AND(catpn_1_LKHB_1&gt;0,catpn_1_LKHV_40&gt;0),(catdw_1_LKHB_1*((dagenperjaar1-VLOOKUP(B45,dagsoorttabel1,2,FALSE))-catfd_1_LKHV_40)/catpn_1_LKHB_1+catdw_1_LKHV_40*catfd_1_LKHV_40/catpn_1_LKHV_40)/(((dagenperjaar1-VLOOKUP(B45,dagsoorttabel1,2,FALSE))-catfd_1_LKHV_40)/catpn_1_LKHB_1+catfd_1_LKHV_40/catpn_1_LKHV_40),0)</f>
        <v>0</v>
      </c>
      <c r="I45" s="52" t="s">
        <v>105</v>
      </c>
      <c r="J45" s="56">
        <f>IF(AND(catpn_1_LKHB_1&gt;0,catpn_1_LKHV_40&gt;0),(cattf_1_LKHB_1*((dagenperjaar1*VLOOKUP(B45,dagsoorttabel1,2,FALSE))-catfd_1_LKHV_40)/catpn_1_LKHB_1+cattf_1_LKHV_40*catfd_1_LKHV_40/catpn_1_LKHV_40)/(((dagenperjaar1*VLOOKUP(B45,dagsoorttabel1,2,FALSE))-catfd_1_LKHV_40)/catpn_1_LKHB_1+catfd_1_LKHV_40/catpn_1_LKHV_40),0)</f>
        <v>0</v>
      </c>
      <c r="K45" s="65">
        <f>IF(OR(ISBLANK(G45),G45=0),0,F45/ROUND(G45,4))</f>
        <v>0</v>
      </c>
      <c r="L45" s="56">
        <f>ROUND(J45,2)*K45</f>
        <v>0</v>
      </c>
      <c r="M45" s="65">
        <f>K45*dagenperjaar1</f>
        <v>0</v>
      </c>
      <c r="N45" s="56">
        <f>M45*ROUND(J45,2)</f>
        <v>0</v>
      </c>
    </row>
    <row r="46" spans="1:14" x14ac:dyDescent="0.2">
      <c r="A46" s="52" t="s">
        <v>292</v>
      </c>
      <c r="B46" s="52" t="s">
        <v>10</v>
      </c>
      <c r="C46" s="52" t="s">
        <v>255</v>
      </c>
      <c r="D46" s="52" t="s">
        <v>293</v>
      </c>
      <c r="E46" s="65">
        <v>118</v>
      </c>
      <c r="F46" s="65">
        <f>E46*VLOOKUP(B46,dagsoorttabel1,2,FALSE)</f>
        <v>118</v>
      </c>
      <c r="G46" s="66">
        <f>IF(AND(catpn_1_OZB_1&gt;0,catpn_1_OZV_51&gt;0),(dagenperjaar1*VLOOKUP(B46,dagsoorttabel1,2,FALSE))/(((dagenperjaar1*VLOOKUP(B46,dagsoorttabel1,2,FALSE))-catfd_1_OZV_51)/catpn_1_OZB_1+catfd_1_OZV_51/catpn_1_OZV_51),0)</f>
        <v>0</v>
      </c>
      <c r="H46" s="67">
        <f>IF(AND(catpn_1_OZB_1&gt;0,catpn_1_OZV_51&gt;0),(catdw_1_OZB_1*((dagenperjaar1-VLOOKUP(B46,dagsoorttabel1,2,FALSE))-catfd_1_OZV_51)/catpn_1_OZB_1+catdw_1_OZV_51*catfd_1_OZV_51/catpn_1_OZV_51)/(((dagenperjaar1-VLOOKUP(B46,dagsoorttabel1,2,FALSE))-catfd_1_OZV_51)/catpn_1_OZB_1+catfd_1_OZV_51/catpn_1_OZV_51),0)</f>
        <v>0</v>
      </c>
      <c r="I46" s="52" t="s">
        <v>105</v>
      </c>
      <c r="J46" s="56">
        <f>IF(AND(catpn_1_OZB_1&gt;0,catpn_1_OZV_51&gt;0),(cattf_1_OZB_1*((dagenperjaar1*VLOOKUP(B46,dagsoorttabel1,2,FALSE))-catfd_1_OZV_51)/catpn_1_OZB_1+cattf_1_OZV_51*catfd_1_OZV_51/catpn_1_OZV_51)/(((dagenperjaar1*VLOOKUP(B46,dagsoorttabel1,2,FALSE))-catfd_1_OZV_51)/catpn_1_OZB_1+catfd_1_OZV_51/catpn_1_OZV_51),0)</f>
        <v>0</v>
      </c>
      <c r="K46" s="65">
        <f>IF(OR(ISBLANK(G46),G46=0),0,F46/ROUND(G46,4))</f>
        <v>0</v>
      </c>
      <c r="L46" s="56">
        <f>ROUND(J46,2)*K46</f>
        <v>0</v>
      </c>
      <c r="M46" s="65">
        <f>K46*dagenperjaar1</f>
        <v>0</v>
      </c>
      <c r="N46" s="56">
        <f>M46*ROUND(J46,2)</f>
        <v>0</v>
      </c>
    </row>
    <row r="47" spans="1:14" x14ac:dyDescent="0.2">
      <c r="A47" s="52" t="s">
        <v>294</v>
      </c>
      <c r="B47" s="52" t="s">
        <v>13</v>
      </c>
      <c r="C47" s="52" t="s">
        <v>255</v>
      </c>
      <c r="D47" s="52" t="s">
        <v>295</v>
      </c>
      <c r="E47" s="65">
        <v>38.6</v>
      </c>
      <c r="F47" s="65">
        <f>E47*VLOOKUP(B47,dagsoorttabel1,2,FALSE)</f>
        <v>30.274509803921568</v>
      </c>
      <c r="G47" s="66">
        <f>IF(AND(catpn_1_PHB_1&gt;0,catpn_1_PHV_40&gt;0),(dagenperjaar1*VLOOKUP(B47,dagsoorttabel1,2,FALSE))/(((dagenperjaar1*VLOOKUP(B47,dagsoorttabel1,2,FALSE))-catfd_1_PHV_40)/catpn_1_PHB_1+catfd_1_PHV_40/catpn_1_PHV_40),0)</f>
        <v>0</v>
      </c>
      <c r="H47" s="67">
        <f>IF(AND(catpn_1_PHB_1&gt;0,catpn_1_PHV_40&gt;0),(catdw_1_PHB_1*((dagenperjaar1-VLOOKUP(B47,dagsoorttabel1,2,FALSE))-catfd_1_PHV_40)/catpn_1_PHB_1+catdw_1_PHV_40*catfd_1_PHV_40/catpn_1_PHV_40)/(((dagenperjaar1-VLOOKUP(B47,dagsoorttabel1,2,FALSE))-catfd_1_PHV_40)/catpn_1_PHB_1+catfd_1_PHV_40/catpn_1_PHV_40),0)</f>
        <v>0</v>
      </c>
      <c r="I47" s="52" t="s">
        <v>105</v>
      </c>
      <c r="J47" s="56">
        <f>IF(AND(catpn_1_PHB_1&gt;0,catpn_1_PHV_40&gt;0),(cattf_1_PHB_1*((dagenperjaar1*VLOOKUP(B47,dagsoorttabel1,2,FALSE))-catfd_1_PHV_40)/catpn_1_PHB_1+cattf_1_PHV_40*catfd_1_PHV_40/catpn_1_PHV_40)/(((dagenperjaar1*VLOOKUP(B47,dagsoorttabel1,2,FALSE))-catfd_1_PHV_40)/catpn_1_PHB_1+catfd_1_PHV_40/catpn_1_PHV_40),0)</f>
        <v>0</v>
      </c>
      <c r="K47" s="65">
        <f>IF(OR(ISBLANK(G47),G47=0),0,F47/ROUND(G47,4))</f>
        <v>0</v>
      </c>
      <c r="L47" s="56">
        <f>ROUND(J47,2)*K47</f>
        <v>0</v>
      </c>
      <c r="M47" s="65">
        <f>K47*dagenperjaar1</f>
        <v>0</v>
      </c>
      <c r="N47" s="56">
        <f>M47*ROUND(J47,2)</f>
        <v>0</v>
      </c>
    </row>
    <row r="48" spans="1:14" x14ac:dyDescent="0.2">
      <c r="A48" s="52" t="s">
        <v>294</v>
      </c>
      <c r="B48" s="52" t="s">
        <v>10</v>
      </c>
      <c r="C48" s="52" t="s">
        <v>255</v>
      </c>
      <c r="D48" s="52" t="s">
        <v>295</v>
      </c>
      <c r="E48" s="65">
        <v>100.64</v>
      </c>
      <c r="F48" s="65">
        <f>E48*VLOOKUP(B48,dagsoorttabel1,2,FALSE)</f>
        <v>100.64</v>
      </c>
      <c r="G48" s="66">
        <f>IF(AND(catpn_1_PHB_1&gt;0,catpn_1_PHV_51&gt;0),(dagenperjaar1*VLOOKUP(B48,dagsoorttabel1,2,FALSE))/(((dagenperjaar1*VLOOKUP(B48,dagsoorttabel1,2,FALSE))-catfd_1_PHV_51)/catpn_1_PHB_1+catfd_1_PHV_51/catpn_1_PHV_51),0)</f>
        <v>0</v>
      </c>
      <c r="H48" s="67">
        <f>IF(AND(catpn_1_PHB_1&gt;0,catpn_1_PHV_51&gt;0),(catdw_1_PHB_1*((dagenperjaar1-VLOOKUP(B48,dagsoorttabel1,2,FALSE))-catfd_1_PHV_51)/catpn_1_PHB_1+catdw_1_PHV_51*catfd_1_PHV_51/catpn_1_PHV_51)/(((dagenperjaar1-VLOOKUP(B48,dagsoorttabel1,2,FALSE))-catfd_1_PHV_51)/catpn_1_PHB_1+catfd_1_PHV_51/catpn_1_PHV_51),0)</f>
        <v>0</v>
      </c>
      <c r="I48" s="52" t="s">
        <v>105</v>
      </c>
      <c r="J48" s="56">
        <f>IF(AND(catpn_1_PHB_1&gt;0,catpn_1_PHV_51&gt;0),(cattf_1_PHB_1*((dagenperjaar1*VLOOKUP(B48,dagsoorttabel1,2,FALSE))-catfd_1_PHV_51)/catpn_1_PHB_1+cattf_1_PHV_51*catfd_1_PHV_51/catpn_1_PHV_51)/(((dagenperjaar1*VLOOKUP(B48,dagsoorttabel1,2,FALSE))-catfd_1_PHV_51)/catpn_1_PHB_1+catfd_1_PHV_51/catpn_1_PHV_51),0)</f>
        <v>0</v>
      </c>
      <c r="K48" s="65">
        <f>IF(OR(ISBLANK(G48),G48=0),0,F48/ROUND(G48,4))</f>
        <v>0</v>
      </c>
      <c r="L48" s="56">
        <f>ROUND(J48,2)*K48</f>
        <v>0</v>
      </c>
      <c r="M48" s="65">
        <f>K48*dagenperjaar1</f>
        <v>0</v>
      </c>
      <c r="N48" s="56">
        <f>M48*ROUND(J48,2)</f>
        <v>0</v>
      </c>
    </row>
    <row r="49" spans="1:14" x14ac:dyDescent="0.2">
      <c r="A49" s="52" t="s">
        <v>296</v>
      </c>
      <c r="B49" s="52" t="s">
        <v>13</v>
      </c>
      <c r="C49" s="52" t="s">
        <v>255</v>
      </c>
      <c r="D49" s="52" t="s">
        <v>297</v>
      </c>
      <c r="E49" s="65">
        <v>48.9</v>
      </c>
      <c r="F49" s="65">
        <f>E49*VLOOKUP(B49,dagsoorttabel1,2,FALSE)</f>
        <v>38.352941176470587</v>
      </c>
      <c r="G49" s="66">
        <f>IF(AND(catpn_1_PMHB_1&gt;0,catpn_1_PMHV_40&gt;0),(dagenperjaar1*VLOOKUP(B49,dagsoorttabel1,2,FALSE))/(((dagenperjaar1*VLOOKUP(B49,dagsoorttabel1,2,FALSE))-catfd_1_PMHV_40)/catpn_1_PMHB_1+catfd_1_PMHV_40/catpn_1_PMHV_40),0)</f>
        <v>0</v>
      </c>
      <c r="H49" s="67">
        <f>IF(AND(catpn_1_PMHB_1&gt;0,catpn_1_PMHV_40&gt;0),(catdw_1_PMHB_1*((dagenperjaar1-VLOOKUP(B49,dagsoorttabel1,2,FALSE))-catfd_1_PMHV_40)/catpn_1_PMHB_1+catdw_1_PMHV_40*catfd_1_PMHV_40/catpn_1_PMHV_40)/(((dagenperjaar1-VLOOKUP(B49,dagsoorttabel1,2,FALSE))-catfd_1_PMHV_40)/catpn_1_PMHB_1+catfd_1_PMHV_40/catpn_1_PMHV_40),0)</f>
        <v>0</v>
      </c>
      <c r="I49" s="52" t="s">
        <v>105</v>
      </c>
      <c r="J49" s="56">
        <f>IF(AND(catpn_1_PMHB_1&gt;0,catpn_1_PMHV_40&gt;0),(cattf_1_PMHB_1*((dagenperjaar1*VLOOKUP(B49,dagsoorttabel1,2,FALSE))-catfd_1_PMHV_40)/catpn_1_PMHB_1+cattf_1_PMHV_40*catfd_1_PMHV_40/catpn_1_PMHV_40)/(((dagenperjaar1*VLOOKUP(B49,dagsoorttabel1,2,FALSE))-catfd_1_PMHV_40)/catpn_1_PMHB_1+catfd_1_PMHV_40/catpn_1_PMHV_40),0)</f>
        <v>0</v>
      </c>
      <c r="K49" s="65">
        <f>IF(OR(ISBLANK(G49),G49=0),0,F49/ROUND(G49,4))</f>
        <v>0</v>
      </c>
      <c r="L49" s="56">
        <f>ROUND(J49,2)*K49</f>
        <v>0</v>
      </c>
      <c r="M49" s="65">
        <f>K49*dagenperjaar1</f>
        <v>0</v>
      </c>
      <c r="N49" s="56">
        <f>M49*ROUND(J49,2)</f>
        <v>0</v>
      </c>
    </row>
    <row r="50" spans="1:14" x14ac:dyDescent="0.2">
      <c r="A50" s="52" t="s">
        <v>298</v>
      </c>
      <c r="B50" s="52" t="s">
        <v>10</v>
      </c>
      <c r="C50" s="52" t="s">
        <v>255</v>
      </c>
      <c r="D50" s="52" t="s">
        <v>299</v>
      </c>
      <c r="E50" s="65">
        <v>40.700000000000003</v>
      </c>
      <c r="F50" s="65">
        <f>E50*VLOOKUP(B50,dagsoorttabel1,2,FALSE)</f>
        <v>40.700000000000003</v>
      </c>
      <c r="G50" s="66">
        <f>IF(AND(catpn_1_PUHB_1&gt;0,catpn_1_PUHV_51&gt;0),(dagenperjaar1*VLOOKUP(B50,dagsoorttabel1,2,FALSE))/(((dagenperjaar1*VLOOKUP(B50,dagsoorttabel1,2,FALSE))-catfd_1_PUHV_51)/catpn_1_PUHB_1+catfd_1_PUHV_51/catpn_1_PUHV_51),0)</f>
        <v>0</v>
      </c>
      <c r="H50" s="67">
        <f>IF(AND(catpn_1_PUHB_1&gt;0,catpn_1_PUHV_51&gt;0),(catdw_1_PUHB_1*((dagenperjaar1-VLOOKUP(B50,dagsoorttabel1,2,FALSE))-catfd_1_PUHV_51)/catpn_1_PUHB_1+catdw_1_PUHV_51*catfd_1_PUHV_51/catpn_1_PUHV_51)/(((dagenperjaar1-VLOOKUP(B50,dagsoorttabel1,2,FALSE))-catfd_1_PUHV_51)/catpn_1_PUHB_1+catfd_1_PUHV_51/catpn_1_PUHV_51),0)</f>
        <v>0</v>
      </c>
      <c r="I50" s="52" t="s">
        <v>105</v>
      </c>
      <c r="J50" s="56">
        <f>IF(AND(catpn_1_PUHB_1&gt;0,catpn_1_PUHV_51&gt;0),(cattf_1_PUHB_1*((dagenperjaar1*VLOOKUP(B50,dagsoorttabel1,2,FALSE))-catfd_1_PUHV_51)/catpn_1_PUHB_1+cattf_1_PUHV_51*catfd_1_PUHV_51/catpn_1_PUHV_51)/(((dagenperjaar1*VLOOKUP(B50,dagsoorttabel1,2,FALSE))-catfd_1_PUHV_51)/catpn_1_PUHB_1+catfd_1_PUHV_51/catpn_1_PUHV_51),0)</f>
        <v>0</v>
      </c>
      <c r="K50" s="65">
        <f>IF(OR(ISBLANK(G50),G50=0),0,F50/ROUND(G50,4))</f>
        <v>0</v>
      </c>
      <c r="L50" s="56">
        <f>ROUND(J50,2)*K50</f>
        <v>0</v>
      </c>
      <c r="M50" s="65">
        <f>K50*dagenperjaar1</f>
        <v>0</v>
      </c>
      <c r="N50" s="56">
        <f>M50*ROUND(J50,2)</f>
        <v>0</v>
      </c>
    </row>
    <row r="51" spans="1:14" x14ac:dyDescent="0.2">
      <c r="A51" s="52" t="s">
        <v>300</v>
      </c>
      <c r="B51" s="52" t="s">
        <v>13</v>
      </c>
      <c r="C51" s="52" t="s">
        <v>255</v>
      </c>
      <c r="D51" s="52" t="s">
        <v>301</v>
      </c>
      <c r="E51" s="65">
        <v>776.4</v>
      </c>
      <c r="F51" s="65">
        <f>E51*VLOOKUP(B51,dagsoorttabel1,2,FALSE)</f>
        <v>608.94117647058818</v>
      </c>
      <c r="G51" s="66">
        <f>IF(AND(catpn_1_RHB_1&gt;0,catpn_1_RHV_40&gt;0),(dagenperjaar1*VLOOKUP(B51,dagsoorttabel1,2,FALSE))/(((dagenperjaar1*VLOOKUP(B51,dagsoorttabel1,2,FALSE))-catfd_1_RHV_40)/catpn_1_RHB_1+catfd_1_RHV_40/catpn_1_RHV_40),0)</f>
        <v>0</v>
      </c>
      <c r="H51" s="67">
        <f>IF(AND(catpn_1_RHB_1&gt;0,catpn_1_RHV_40&gt;0),(catdw_1_RHB_1*((dagenperjaar1-VLOOKUP(B51,dagsoorttabel1,2,FALSE))-catfd_1_RHV_40)/catpn_1_RHB_1+catdw_1_RHV_40*catfd_1_RHV_40/catpn_1_RHV_40)/(((dagenperjaar1-VLOOKUP(B51,dagsoorttabel1,2,FALSE))-catfd_1_RHV_40)/catpn_1_RHB_1+catfd_1_RHV_40/catpn_1_RHV_40),0)</f>
        <v>0</v>
      </c>
      <c r="I51" s="52" t="s">
        <v>105</v>
      </c>
      <c r="J51" s="56">
        <f>IF(AND(catpn_1_RHB_1&gt;0,catpn_1_RHV_40&gt;0),(cattf_1_RHB_1*((dagenperjaar1*VLOOKUP(B51,dagsoorttabel1,2,FALSE))-catfd_1_RHV_40)/catpn_1_RHB_1+cattf_1_RHV_40*catfd_1_RHV_40/catpn_1_RHV_40)/(((dagenperjaar1*VLOOKUP(B51,dagsoorttabel1,2,FALSE))-catfd_1_RHV_40)/catpn_1_RHB_1+catfd_1_RHV_40/catpn_1_RHV_40),0)</f>
        <v>0</v>
      </c>
      <c r="K51" s="65">
        <f>IF(OR(ISBLANK(G51),G51=0),0,F51/ROUND(G51,4))</f>
        <v>0</v>
      </c>
      <c r="L51" s="56">
        <f>ROUND(J51,2)*K51</f>
        <v>0</v>
      </c>
      <c r="M51" s="65">
        <f>K51*dagenperjaar1</f>
        <v>0</v>
      </c>
      <c r="N51" s="56">
        <f>M51*ROUND(J51,2)</f>
        <v>0</v>
      </c>
    </row>
    <row r="52" spans="1:14" x14ac:dyDescent="0.2">
      <c r="A52" s="52" t="s">
        <v>300</v>
      </c>
      <c r="B52" s="52" t="s">
        <v>10</v>
      </c>
      <c r="C52" s="52" t="s">
        <v>255</v>
      </c>
      <c r="D52" s="52" t="s">
        <v>301</v>
      </c>
      <c r="E52" s="65">
        <v>199</v>
      </c>
      <c r="F52" s="65">
        <f>E52*VLOOKUP(B52,dagsoorttabel1,2,FALSE)</f>
        <v>199</v>
      </c>
      <c r="G52" s="66">
        <f>IF(AND(catpn_1_RHB_1&gt;0,catpn_1_RHV_51&gt;0),(dagenperjaar1*VLOOKUP(B52,dagsoorttabel1,2,FALSE))/(((dagenperjaar1*VLOOKUP(B52,dagsoorttabel1,2,FALSE))-catfd_1_RHV_51)/catpn_1_RHB_1+catfd_1_RHV_51/catpn_1_RHV_51),0)</f>
        <v>0</v>
      </c>
      <c r="H52" s="67">
        <f>IF(AND(catpn_1_RHB_1&gt;0,catpn_1_RHV_51&gt;0),(catdw_1_RHB_1*((dagenperjaar1-VLOOKUP(B52,dagsoorttabel1,2,FALSE))-catfd_1_RHV_51)/catpn_1_RHB_1+catdw_1_RHV_51*catfd_1_RHV_51/catpn_1_RHV_51)/(((dagenperjaar1-VLOOKUP(B52,dagsoorttabel1,2,FALSE))-catfd_1_RHV_51)/catpn_1_RHB_1+catfd_1_RHV_51/catpn_1_RHV_51),0)</f>
        <v>0</v>
      </c>
      <c r="I52" s="52" t="s">
        <v>105</v>
      </c>
      <c r="J52" s="56">
        <f>IF(AND(catpn_1_RHB_1&gt;0,catpn_1_RHV_51&gt;0),(cattf_1_RHB_1*((dagenperjaar1*VLOOKUP(B52,dagsoorttabel1,2,FALSE))-catfd_1_RHV_51)/catpn_1_RHB_1+cattf_1_RHV_51*catfd_1_RHV_51/catpn_1_RHV_51)/(((dagenperjaar1*VLOOKUP(B52,dagsoorttabel1,2,FALSE))-catfd_1_RHV_51)/catpn_1_RHB_1+catfd_1_RHV_51/catpn_1_RHV_51),0)</f>
        <v>0</v>
      </c>
      <c r="K52" s="65">
        <f>IF(OR(ISBLANK(G52),G52=0),0,F52/ROUND(G52,4))</f>
        <v>0</v>
      </c>
      <c r="L52" s="56">
        <f>ROUND(J52,2)*K52</f>
        <v>0</v>
      </c>
      <c r="M52" s="65">
        <f>K52*dagenperjaar1</f>
        <v>0</v>
      </c>
      <c r="N52" s="56">
        <f>M52*ROUND(J52,2)</f>
        <v>0</v>
      </c>
    </row>
    <row r="53" spans="1:14" x14ac:dyDescent="0.2">
      <c r="A53" s="52" t="s">
        <v>300</v>
      </c>
      <c r="B53" s="52" t="s">
        <v>21</v>
      </c>
      <c r="C53" s="52" t="s">
        <v>255</v>
      </c>
      <c r="D53" s="52" t="s">
        <v>301</v>
      </c>
      <c r="E53" s="65">
        <v>270</v>
      </c>
      <c r="F53" s="65">
        <f>E53*VLOOKUP(B53,dagsoorttabel1,2,FALSE)</f>
        <v>54</v>
      </c>
      <c r="G53" s="66">
        <f>IF(AND(catpn_1_RHB_1&gt;0,catpn_1_RHV_51&gt;0),(dagenperjaar1*VLOOKUP(B53,dagsoorttabel1,2,FALSE))/(((dagenperjaar1*VLOOKUP(B53,dagsoorttabel1,2,FALSE))-catfd_1_RHV_51)/catpn_1_RHB_1+catfd_1_RHV_51/catpn_1_RHV_51),0)</f>
        <v>0</v>
      </c>
      <c r="H53" s="67">
        <f>IF(AND(catpn_1_RHB_1&gt;0,catpn_1_RHV_51&gt;0),(catdw_1_RHB_1*((dagenperjaar1-VLOOKUP(B53,dagsoorttabel1,2,FALSE))-catfd_1_RHV_51)/catpn_1_RHB_1+catdw_1_RHV_51*catfd_1_RHV_51/catpn_1_RHV_51)/(((dagenperjaar1-VLOOKUP(B53,dagsoorttabel1,2,FALSE))-catfd_1_RHV_51)/catpn_1_RHB_1+catfd_1_RHV_51/catpn_1_RHV_51),0)</f>
        <v>0</v>
      </c>
      <c r="I53" s="52" t="s">
        <v>105</v>
      </c>
      <c r="J53" s="56">
        <f>IF(AND(catpn_1_RHB_1&gt;0,catpn_1_RHV_51&gt;0),(cattf_1_RHB_1*((dagenperjaar1*VLOOKUP(B53,dagsoorttabel1,2,FALSE))-catfd_1_RHV_51)/catpn_1_RHB_1+cattf_1_RHV_51*catfd_1_RHV_51/catpn_1_RHV_51)/(((dagenperjaar1*VLOOKUP(B53,dagsoorttabel1,2,FALSE))-catfd_1_RHV_51)/catpn_1_RHB_1+catfd_1_RHV_51/catpn_1_RHV_51),0)</f>
        <v>0</v>
      </c>
      <c r="K53" s="65">
        <f>IF(OR(ISBLANK(G53),G53=0),0,F53/ROUND(G53,4))</f>
        <v>0</v>
      </c>
      <c r="L53" s="56">
        <f>ROUND(J53,2)*K53</f>
        <v>0</v>
      </c>
      <c r="M53" s="65">
        <f>K53*dagenperjaar1</f>
        <v>0</v>
      </c>
      <c r="N53" s="56">
        <f>M53*ROUND(J53,2)</f>
        <v>0</v>
      </c>
    </row>
    <row r="54" spans="1:14" x14ac:dyDescent="0.2">
      <c r="A54" s="52" t="s">
        <v>302</v>
      </c>
      <c r="B54" s="52" t="s">
        <v>13</v>
      </c>
      <c r="C54" s="52" t="s">
        <v>255</v>
      </c>
      <c r="D54" s="52" t="s">
        <v>303</v>
      </c>
      <c r="E54" s="65">
        <v>1.57</v>
      </c>
      <c r="F54" s="65">
        <f>E54*VLOOKUP(B54,dagsoorttabel1,2,FALSE)</f>
        <v>1.2313725490196079</v>
      </c>
      <c r="G54" s="66">
        <f>IF(AND(catpn_1_RZB_1&gt;0,catpn_1_RZH_40&gt;0),(dagenperjaar1*VLOOKUP(B54,dagsoorttabel1,2,FALSE))/(((dagenperjaar1*VLOOKUP(B54,dagsoorttabel1,2,FALSE))-catfd_1_RZH_40)/catpn_1_RZB_1+catfd_1_RZH_40/catpn_1_RZH_40),0)</f>
        <v>0</v>
      </c>
      <c r="H54" s="67">
        <f>IF(AND(catpn_1_RZB_1&gt;0,catpn_1_RZH_40&gt;0),(catdw_1_RZB_1*((dagenperjaar1-VLOOKUP(B54,dagsoorttabel1,2,FALSE))-catfd_1_RZH_40)/catpn_1_RZB_1+catdw_1_RZH_40*catfd_1_RZH_40/catpn_1_RZH_40)/(((dagenperjaar1-VLOOKUP(B54,dagsoorttabel1,2,FALSE))-catfd_1_RZH_40)/catpn_1_RZB_1+catfd_1_RZH_40/catpn_1_RZH_40),0)</f>
        <v>0</v>
      </c>
      <c r="I54" s="52" t="s">
        <v>105</v>
      </c>
      <c r="J54" s="56">
        <f>IF(AND(catpn_1_RZB_1&gt;0,catpn_1_RZH_40&gt;0),(cattf_1_RZB_1*((dagenperjaar1*VLOOKUP(B54,dagsoorttabel1,2,FALSE))-catfd_1_RZH_40)/catpn_1_RZB_1+cattf_1_RZH_40*catfd_1_RZH_40/catpn_1_RZH_40)/(((dagenperjaar1*VLOOKUP(B54,dagsoorttabel1,2,FALSE))-catfd_1_RZH_40)/catpn_1_RZB_1+catfd_1_RZH_40/catpn_1_RZH_40),0)</f>
        <v>0</v>
      </c>
      <c r="K54" s="65">
        <f>IF(OR(ISBLANK(G54),G54=0),0,F54/ROUND(G54,4))</f>
        <v>0</v>
      </c>
      <c r="L54" s="56">
        <f>ROUND(J54,2)*K54</f>
        <v>0</v>
      </c>
      <c r="M54" s="65">
        <f>K54*dagenperjaar1</f>
        <v>0</v>
      </c>
      <c r="N54" s="56">
        <f>M54*ROUND(J54,2)</f>
        <v>0</v>
      </c>
    </row>
    <row r="55" spans="1:14" x14ac:dyDescent="0.2">
      <c r="A55" s="52" t="s">
        <v>304</v>
      </c>
      <c r="B55" s="52" t="s">
        <v>13</v>
      </c>
      <c r="C55" s="52" t="s">
        <v>255</v>
      </c>
      <c r="D55" s="52" t="s">
        <v>305</v>
      </c>
      <c r="E55" s="65">
        <v>614.25</v>
      </c>
      <c r="F55" s="65">
        <f>E55*VLOOKUP(B55,dagsoorttabel1,2,FALSE)</f>
        <v>481.76470588235293</v>
      </c>
      <c r="G55" s="66">
        <f>IF(AND(catpn_1_SHB_1&gt;0,catpn_1_SHV_40&gt;0),(dagenperjaar1*VLOOKUP(B55,dagsoorttabel1,2,FALSE))/(((dagenperjaar1*VLOOKUP(B55,dagsoorttabel1,2,FALSE))-catfd_1_SHV_40)/catpn_1_SHB_1+catfd_1_SHV_40/catpn_1_SHV_40),0)</f>
        <v>0</v>
      </c>
      <c r="H55" s="67">
        <f>IF(AND(catpn_1_SHB_1&gt;0,catpn_1_SHV_40&gt;0),(catdw_1_SHB_1*((dagenperjaar1-VLOOKUP(B55,dagsoorttabel1,2,FALSE))-catfd_1_SHV_40)/catpn_1_SHB_1+catdw_1_SHV_40*catfd_1_SHV_40/catpn_1_SHV_40)/(((dagenperjaar1-VLOOKUP(B55,dagsoorttabel1,2,FALSE))-catfd_1_SHV_40)/catpn_1_SHB_1+catfd_1_SHV_40/catpn_1_SHV_40),0)</f>
        <v>0</v>
      </c>
      <c r="I55" s="52" t="s">
        <v>105</v>
      </c>
      <c r="J55" s="56">
        <f>IF(AND(catpn_1_SHB_1&gt;0,catpn_1_SHV_40&gt;0),(cattf_1_SHB_1*((dagenperjaar1*VLOOKUP(B55,dagsoorttabel1,2,FALSE))-catfd_1_SHV_40)/catpn_1_SHB_1+cattf_1_SHV_40*catfd_1_SHV_40/catpn_1_SHV_40)/(((dagenperjaar1*VLOOKUP(B55,dagsoorttabel1,2,FALSE))-catfd_1_SHV_40)/catpn_1_SHB_1+catfd_1_SHV_40/catpn_1_SHV_40),0)</f>
        <v>0</v>
      </c>
      <c r="K55" s="65">
        <f>IF(OR(ISBLANK(G55),G55=0),0,F55/ROUND(G55,4))</f>
        <v>0</v>
      </c>
      <c r="L55" s="56">
        <f>ROUND(J55,2)*K55</f>
        <v>0</v>
      </c>
      <c r="M55" s="65">
        <f>K55*dagenperjaar1</f>
        <v>0</v>
      </c>
      <c r="N55" s="56">
        <f>M55*ROUND(J55,2)</f>
        <v>0</v>
      </c>
    </row>
    <row r="56" spans="1:14" x14ac:dyDescent="0.2">
      <c r="A56" s="52" t="s">
        <v>304</v>
      </c>
      <c r="B56" s="52" t="s">
        <v>10</v>
      </c>
      <c r="C56" s="52" t="s">
        <v>255</v>
      </c>
      <c r="D56" s="52" t="s">
        <v>305</v>
      </c>
      <c r="E56" s="65">
        <v>265.35000000000002</v>
      </c>
      <c r="F56" s="65">
        <f>E56*VLOOKUP(B56,dagsoorttabel1,2,FALSE)</f>
        <v>265.35000000000002</v>
      </c>
      <c r="G56" s="66">
        <f>IF(AND(catpn_1_SHB_1&gt;0,catpn_1_SHV_51&gt;0),(dagenperjaar1*VLOOKUP(B56,dagsoorttabel1,2,FALSE))/(((dagenperjaar1*VLOOKUP(B56,dagsoorttabel1,2,FALSE))-catfd_1_SHV_51)/catpn_1_SHB_1+catfd_1_SHV_51/catpn_1_SHV_51),0)</f>
        <v>0</v>
      </c>
      <c r="H56" s="67">
        <f>IF(AND(catpn_1_SHB_1&gt;0,catpn_1_SHV_51&gt;0),(catdw_1_SHB_1*((dagenperjaar1-VLOOKUP(B56,dagsoorttabel1,2,FALSE))-catfd_1_SHV_51)/catpn_1_SHB_1+catdw_1_SHV_51*catfd_1_SHV_51/catpn_1_SHV_51)/(((dagenperjaar1-VLOOKUP(B56,dagsoorttabel1,2,FALSE))-catfd_1_SHV_51)/catpn_1_SHB_1+catfd_1_SHV_51/catpn_1_SHV_51),0)</f>
        <v>0</v>
      </c>
      <c r="I56" s="52" t="s">
        <v>105</v>
      </c>
      <c r="J56" s="56">
        <f>IF(AND(catpn_1_SHB_1&gt;0,catpn_1_SHV_51&gt;0),(cattf_1_SHB_1*((dagenperjaar1*VLOOKUP(B56,dagsoorttabel1,2,FALSE))-catfd_1_SHV_51)/catpn_1_SHB_1+cattf_1_SHV_51*catfd_1_SHV_51/catpn_1_SHV_51)/(((dagenperjaar1*VLOOKUP(B56,dagsoorttabel1,2,FALSE))-catfd_1_SHV_51)/catpn_1_SHB_1+catfd_1_SHV_51/catpn_1_SHV_51),0)</f>
        <v>0</v>
      </c>
      <c r="K56" s="65">
        <f>IF(OR(ISBLANK(G56),G56=0),0,F56/ROUND(G56,4))</f>
        <v>0</v>
      </c>
      <c r="L56" s="56">
        <f>ROUND(J56,2)*K56</f>
        <v>0</v>
      </c>
      <c r="M56" s="65">
        <f>K56*dagenperjaar1</f>
        <v>0</v>
      </c>
      <c r="N56" s="56">
        <f>M56*ROUND(J56,2)</f>
        <v>0</v>
      </c>
    </row>
    <row r="57" spans="1:14" x14ac:dyDescent="0.2">
      <c r="A57" s="52" t="s">
        <v>304</v>
      </c>
      <c r="B57" s="52" t="s">
        <v>21</v>
      </c>
      <c r="C57" s="52" t="s">
        <v>255</v>
      </c>
      <c r="D57" s="52" t="s">
        <v>305</v>
      </c>
      <c r="E57" s="65">
        <v>15</v>
      </c>
      <c r="F57" s="65">
        <f>E57*VLOOKUP(B57,dagsoorttabel1,2,FALSE)</f>
        <v>3</v>
      </c>
      <c r="G57" s="66">
        <f>IF(AND(catpn_1_SHB_1&gt;0,catpn_1_SHV_51&gt;0),(dagenperjaar1*VLOOKUP(B57,dagsoorttabel1,2,FALSE))/(((dagenperjaar1*VLOOKUP(B57,dagsoorttabel1,2,FALSE))-catfd_1_SHV_51)/catpn_1_SHB_1+catfd_1_SHV_51/catpn_1_SHV_51),0)</f>
        <v>0</v>
      </c>
      <c r="H57" s="67">
        <f>IF(AND(catpn_1_SHB_1&gt;0,catpn_1_SHV_51&gt;0),(catdw_1_SHB_1*((dagenperjaar1-VLOOKUP(B57,dagsoorttabel1,2,FALSE))-catfd_1_SHV_51)/catpn_1_SHB_1+catdw_1_SHV_51*catfd_1_SHV_51/catpn_1_SHV_51)/(((dagenperjaar1-VLOOKUP(B57,dagsoorttabel1,2,FALSE))-catfd_1_SHV_51)/catpn_1_SHB_1+catfd_1_SHV_51/catpn_1_SHV_51),0)</f>
        <v>0</v>
      </c>
      <c r="I57" s="52" t="s">
        <v>105</v>
      </c>
      <c r="J57" s="56">
        <f>IF(AND(catpn_1_SHB_1&gt;0,catpn_1_SHV_51&gt;0),(cattf_1_SHB_1*((dagenperjaar1*VLOOKUP(B57,dagsoorttabel1,2,FALSE))-catfd_1_SHV_51)/catpn_1_SHB_1+cattf_1_SHV_51*catfd_1_SHV_51/catpn_1_SHV_51)/(((dagenperjaar1*VLOOKUP(B57,dagsoorttabel1,2,FALSE))-catfd_1_SHV_51)/catpn_1_SHB_1+catfd_1_SHV_51/catpn_1_SHV_51),0)</f>
        <v>0</v>
      </c>
      <c r="K57" s="65">
        <f>IF(OR(ISBLANK(G57),G57=0),0,F57/ROUND(G57,4))</f>
        <v>0</v>
      </c>
      <c r="L57" s="56">
        <f>ROUND(J57,2)*K57</f>
        <v>0</v>
      </c>
      <c r="M57" s="65">
        <f>K57*dagenperjaar1</f>
        <v>0</v>
      </c>
      <c r="N57" s="56">
        <f>M57*ROUND(J57,2)</f>
        <v>0</v>
      </c>
    </row>
    <row r="58" spans="1:14" x14ac:dyDescent="0.2">
      <c r="A58" s="52" t="s">
        <v>306</v>
      </c>
      <c r="B58" s="52" t="s">
        <v>15</v>
      </c>
      <c r="C58" s="52" t="s">
        <v>255</v>
      </c>
      <c r="D58" s="52" t="s">
        <v>307</v>
      </c>
      <c r="E58" s="65">
        <v>4.8800000000000008</v>
      </c>
      <c r="F58" s="65">
        <f>E58*VLOOKUP(B58,dagsoorttabel1,2,FALSE)</f>
        <v>2.4878431372549024</v>
      </c>
      <c r="G58" s="66">
        <f>IF(AND(catpn_1_SHB_1&gt;0,catpn_1_RHV_45&gt;0),(dagenperjaar1*VLOOKUP(B58,dagsoorttabel1,2,FALSE))/(((dagenperjaar1*VLOOKUP(B58,dagsoorttabel1,2,FALSE))-catfd_1_RHV_45)/catpn_1_SHB_1+catfd_1_RHV_45/catpn_1_RHV_45),0)</f>
        <v>0</v>
      </c>
      <c r="H58" s="67">
        <f>IF(AND(catpn_1_SHB_1&gt;0,catpn_1_RHV_45&gt;0),(catdw_1_SHB_1*((dagenperjaar1-VLOOKUP(B58,dagsoorttabel1,2,FALSE))-catfd_1_RHV_45)/catpn_1_SHB_1+catdw_1_RHV_45*catfd_1_RHV_45/catpn_1_RHV_45)/(((dagenperjaar1-VLOOKUP(B58,dagsoorttabel1,2,FALSE))-catfd_1_RHV_45)/catpn_1_SHB_1+catfd_1_RHV_45/catpn_1_RHV_45),0)</f>
        <v>0</v>
      </c>
      <c r="I58" s="52" t="s">
        <v>105</v>
      </c>
      <c r="J58" s="56">
        <f>IF(AND(catpn_1_SHB_1&gt;0,catpn_1_RHV_45&gt;0),(cattf_1_SHB_1*((dagenperjaar1*VLOOKUP(B58,dagsoorttabel1,2,FALSE))-catfd_1_RHV_45)/catpn_1_SHB_1+cattf_1_RHV_45*catfd_1_RHV_45/catpn_1_RHV_45)/(((dagenperjaar1*VLOOKUP(B58,dagsoorttabel1,2,FALSE))-catfd_1_RHV_45)/catpn_1_SHB_1+catfd_1_RHV_45/catpn_1_RHV_45),0)</f>
        <v>0</v>
      </c>
      <c r="K58" s="65">
        <f>IF(OR(ISBLANK(G58),G58=0),0,F58/ROUND(G58,4))</f>
        <v>0</v>
      </c>
      <c r="L58" s="56">
        <f>ROUND(J58,2)*K58</f>
        <v>0</v>
      </c>
      <c r="M58" s="65">
        <f>K58*dagenperjaar1</f>
        <v>0</v>
      </c>
      <c r="N58" s="56">
        <f>M58*ROUND(J58,2)</f>
        <v>0</v>
      </c>
    </row>
    <row r="59" spans="1:14" x14ac:dyDescent="0.2">
      <c r="A59" s="52" t="s">
        <v>306</v>
      </c>
      <c r="B59" s="52" t="s">
        <v>13</v>
      </c>
      <c r="C59" s="52" t="s">
        <v>255</v>
      </c>
      <c r="D59" s="52" t="s">
        <v>307</v>
      </c>
      <c r="E59" s="65">
        <v>443.65000000000003</v>
      </c>
      <c r="F59" s="65">
        <f>E59*VLOOKUP(B59,dagsoorttabel1,2,FALSE)</f>
        <v>347.96078431372553</v>
      </c>
      <c r="G59" s="66">
        <f>catpn_1_SHB_1</f>
        <v>0</v>
      </c>
      <c r="H59" s="67">
        <f>catdw_1_SHB_1</f>
        <v>0</v>
      </c>
      <c r="I59" s="52" t="s">
        <v>105</v>
      </c>
      <c r="J59" s="56">
        <f>cattf_1_SHB_1</f>
        <v>0</v>
      </c>
      <c r="K59" s="65">
        <f>IF(OR(ISBLANK(G59),G59=0),0,F59/ROUND(G59,4))</f>
        <v>0</v>
      </c>
      <c r="L59" s="56">
        <f>ROUND(J59,2)*K59</f>
        <v>0</v>
      </c>
      <c r="M59" s="65">
        <f>K59*dagenperjaar1</f>
        <v>0</v>
      </c>
      <c r="N59" s="56">
        <f>M59*ROUND(J59,2)</f>
        <v>0</v>
      </c>
    </row>
    <row r="60" spans="1:14" x14ac:dyDescent="0.2">
      <c r="A60" s="52" t="s">
        <v>306</v>
      </c>
      <c r="B60" s="52" t="s">
        <v>10</v>
      </c>
      <c r="C60" s="52" t="s">
        <v>255</v>
      </c>
      <c r="D60" s="52" t="s">
        <v>307</v>
      </c>
      <c r="E60" s="65">
        <v>71.03</v>
      </c>
      <c r="F60" s="65">
        <f>E60*VLOOKUP(B60,dagsoorttabel1,2,FALSE)</f>
        <v>71.03</v>
      </c>
      <c r="G60" s="66">
        <f>catpn_1_SHB_1</f>
        <v>0</v>
      </c>
      <c r="H60" s="67">
        <f>catdw_1_SHB_1</f>
        <v>0</v>
      </c>
      <c r="I60" s="52" t="s">
        <v>105</v>
      </c>
      <c r="J60" s="56">
        <f>cattf_1_SHB_1</f>
        <v>0</v>
      </c>
      <c r="K60" s="65">
        <f>IF(OR(ISBLANK(G60),G60=0),0,F60/ROUND(G60,4))</f>
        <v>0</v>
      </c>
      <c r="L60" s="56">
        <f>ROUND(J60,2)*K60</f>
        <v>0</v>
      </c>
      <c r="M60" s="65">
        <f>K60*dagenperjaar1</f>
        <v>0</v>
      </c>
      <c r="N60" s="56">
        <f>M60*ROUND(J60,2)</f>
        <v>0</v>
      </c>
    </row>
    <row r="61" spans="1:14" x14ac:dyDescent="0.2">
      <c r="A61" s="52" t="s">
        <v>308</v>
      </c>
      <c r="B61" s="52" t="s">
        <v>24</v>
      </c>
      <c r="C61" s="52" t="s">
        <v>255</v>
      </c>
      <c r="D61" s="52" t="s">
        <v>309</v>
      </c>
      <c r="E61" s="65">
        <v>18</v>
      </c>
      <c r="F61" s="65">
        <f>E61*VLOOKUP(B61,dagsoorttabel1,2,FALSE)</f>
        <v>0.84705882352941175</v>
      </c>
      <c r="G61" s="66">
        <f>IF(AND(catpn_1_THB_1&gt;0,catpn_1_THV_12&gt;0),(dagenperjaar1*VLOOKUP(B61,dagsoorttabel1,2,FALSE))/(((dagenperjaar1*VLOOKUP(B61,dagsoorttabel1,2,FALSE))-catfd_1_THV_12)/catpn_1_THB_1+catfd_1_THV_12/catpn_1_THV_12),0)</f>
        <v>0</v>
      </c>
      <c r="H61" s="67">
        <f>IF(AND(catpn_1_THB_1&gt;0,catpn_1_THV_12&gt;0),(catdw_1_THB_1*((dagenperjaar1-VLOOKUP(B61,dagsoorttabel1,2,FALSE))-catfd_1_THV_12)/catpn_1_THB_1+catdw_1_THV_12*catfd_1_THV_12/catpn_1_THV_12)/(((dagenperjaar1-VLOOKUP(B61,dagsoorttabel1,2,FALSE))-catfd_1_THV_12)/catpn_1_THB_1+catfd_1_THV_12/catpn_1_THV_12),0)</f>
        <v>0</v>
      </c>
      <c r="I61" s="52" t="s">
        <v>105</v>
      </c>
      <c r="J61" s="56">
        <f>IF(AND(catpn_1_THB_1&gt;0,catpn_1_THV_12&gt;0),(cattf_1_THB_1*((dagenperjaar1*VLOOKUP(B61,dagsoorttabel1,2,FALSE))-catfd_1_THV_12)/catpn_1_THB_1+cattf_1_THV_12*catfd_1_THV_12/catpn_1_THV_12)/(((dagenperjaar1*VLOOKUP(B61,dagsoorttabel1,2,FALSE))-catfd_1_THV_12)/catpn_1_THB_1+catfd_1_THV_12/catpn_1_THV_12),0)</f>
        <v>0</v>
      </c>
      <c r="K61" s="65">
        <f>IF(OR(ISBLANK(G61),G61=0),0,F61/ROUND(G61,4))</f>
        <v>0</v>
      </c>
      <c r="L61" s="56">
        <f>ROUND(J61,2)*K61</f>
        <v>0</v>
      </c>
      <c r="M61" s="65">
        <f>K61*dagenperjaar1</f>
        <v>0</v>
      </c>
      <c r="N61" s="56">
        <f>M61*ROUND(J61,2)</f>
        <v>0</v>
      </c>
    </row>
    <row r="62" spans="1:14" x14ac:dyDescent="0.2">
      <c r="A62" s="52" t="s">
        <v>308</v>
      </c>
      <c r="B62" s="52" t="s">
        <v>13</v>
      </c>
      <c r="C62" s="52" t="s">
        <v>255</v>
      </c>
      <c r="D62" s="52" t="s">
        <v>309</v>
      </c>
      <c r="E62" s="65">
        <v>420.78000000000003</v>
      </c>
      <c r="F62" s="65">
        <f>E62*VLOOKUP(B62,dagsoorttabel1,2,FALSE)</f>
        <v>330.02352941176474</v>
      </c>
      <c r="G62" s="66">
        <f>IF(AND(catpn_1_THB_1&gt;0,catpn_1_THV_40&gt;0),(dagenperjaar1*VLOOKUP(B62,dagsoorttabel1,2,FALSE))/(((dagenperjaar1*VLOOKUP(B62,dagsoorttabel1,2,FALSE))-catfd_1_THV_40)/catpn_1_THB_1+catfd_1_THV_40/catpn_1_THV_40),0)</f>
        <v>0</v>
      </c>
      <c r="H62" s="67">
        <f>IF(AND(catpn_1_THB_1&gt;0,catpn_1_THV_40&gt;0),(catdw_1_THB_1*((dagenperjaar1-VLOOKUP(B62,dagsoorttabel1,2,FALSE))-catfd_1_THV_40)/catpn_1_THB_1+catdw_1_THV_40*catfd_1_THV_40/catpn_1_THV_40)/(((dagenperjaar1-VLOOKUP(B62,dagsoorttabel1,2,FALSE))-catfd_1_THV_40)/catpn_1_THB_1+catfd_1_THV_40/catpn_1_THV_40),0)</f>
        <v>0</v>
      </c>
      <c r="I62" s="52" t="s">
        <v>105</v>
      </c>
      <c r="J62" s="56">
        <f>IF(AND(catpn_1_THB_1&gt;0,catpn_1_THV_40&gt;0),(cattf_1_THB_1*((dagenperjaar1*VLOOKUP(B62,dagsoorttabel1,2,FALSE))-catfd_1_THV_40)/catpn_1_THB_1+cattf_1_THV_40*catfd_1_THV_40/catpn_1_THV_40)/(((dagenperjaar1*VLOOKUP(B62,dagsoorttabel1,2,FALSE))-catfd_1_THV_40)/catpn_1_THB_1+catfd_1_THV_40/catpn_1_THV_40),0)</f>
        <v>0</v>
      </c>
      <c r="K62" s="65">
        <f>IF(OR(ISBLANK(G62),G62=0),0,F62/ROUND(G62,4))</f>
        <v>0</v>
      </c>
      <c r="L62" s="56">
        <f>ROUND(J62,2)*K62</f>
        <v>0</v>
      </c>
      <c r="M62" s="65">
        <f>K62*dagenperjaar1</f>
        <v>0</v>
      </c>
      <c r="N62" s="56">
        <f>M62*ROUND(J62,2)</f>
        <v>0</v>
      </c>
    </row>
    <row r="63" spans="1:14" x14ac:dyDescent="0.2">
      <c r="A63" s="52" t="s">
        <v>308</v>
      </c>
      <c r="B63" s="52" t="s">
        <v>10</v>
      </c>
      <c r="C63" s="52" t="s">
        <v>255</v>
      </c>
      <c r="D63" s="52" t="s">
        <v>309</v>
      </c>
      <c r="E63" s="65">
        <v>240.21</v>
      </c>
      <c r="F63" s="65">
        <f>E63*VLOOKUP(B63,dagsoorttabel1,2,FALSE)</f>
        <v>240.21</v>
      </c>
      <c r="G63" s="66">
        <f>IF(AND(catpn_1_THB_1&gt;0,catpn_1_THV_51&gt;0),(dagenperjaar1*VLOOKUP(B63,dagsoorttabel1,2,FALSE))/(((dagenperjaar1*VLOOKUP(B63,dagsoorttabel1,2,FALSE))-catfd_1_THV_51)/catpn_1_THB_1+catfd_1_THV_51/catpn_1_THV_51),0)</f>
        <v>0</v>
      </c>
      <c r="H63" s="67">
        <f>IF(AND(catpn_1_THB_1&gt;0,catpn_1_THV_51&gt;0),(catdw_1_THB_1*((dagenperjaar1-VLOOKUP(B63,dagsoorttabel1,2,FALSE))-catfd_1_THV_51)/catpn_1_THB_1+catdw_1_THV_51*catfd_1_THV_51/catpn_1_THV_51)/(((dagenperjaar1-VLOOKUP(B63,dagsoorttabel1,2,FALSE))-catfd_1_THV_51)/catpn_1_THB_1+catfd_1_THV_51/catpn_1_THV_51),0)</f>
        <v>0</v>
      </c>
      <c r="I63" s="52" t="s">
        <v>105</v>
      </c>
      <c r="J63" s="56">
        <f>IF(AND(catpn_1_THB_1&gt;0,catpn_1_THV_51&gt;0),(cattf_1_THB_1*((dagenperjaar1*VLOOKUP(B63,dagsoorttabel1,2,FALSE))-catfd_1_THV_51)/catpn_1_THB_1+cattf_1_THV_51*catfd_1_THV_51/catpn_1_THV_51)/(((dagenperjaar1*VLOOKUP(B63,dagsoorttabel1,2,FALSE))-catfd_1_THV_51)/catpn_1_THB_1+catfd_1_THV_51/catpn_1_THV_51),0)</f>
        <v>0</v>
      </c>
      <c r="K63" s="65">
        <f>IF(OR(ISBLANK(G63),G63=0),0,F63/ROUND(G63,4))</f>
        <v>0</v>
      </c>
      <c r="L63" s="56">
        <f>ROUND(J63,2)*K63</f>
        <v>0</v>
      </c>
      <c r="M63" s="65">
        <f>K63*dagenperjaar1</f>
        <v>0</v>
      </c>
      <c r="N63" s="56">
        <f>M63*ROUND(J63,2)</f>
        <v>0</v>
      </c>
    </row>
    <row r="64" spans="1:14" x14ac:dyDescent="0.2">
      <c r="A64" s="52" t="s">
        <v>308</v>
      </c>
      <c r="B64" s="52" t="s">
        <v>22</v>
      </c>
      <c r="C64" s="52" t="s">
        <v>255</v>
      </c>
      <c r="D64" s="52" t="s">
        <v>309</v>
      </c>
      <c r="E64" s="65">
        <v>6</v>
      </c>
      <c r="F64" s="65">
        <f>E64*VLOOKUP(B64,dagsoorttabel1,2,FALSE)</f>
        <v>0.94117647058823528</v>
      </c>
      <c r="G64" s="66">
        <f>IF(AND(catpn_1_THB_1&gt;0,catpn_1_THV_40&gt;0),(dagenperjaar1*VLOOKUP(B64,dagsoorttabel1,2,FALSE))/(((dagenperjaar1*VLOOKUP(B64,dagsoorttabel1,2,FALSE))-catfd_1_THV_40)/catpn_1_THB_1+catfd_1_THV_40/catpn_1_THV_40),0)</f>
        <v>0</v>
      </c>
      <c r="H64" s="67">
        <f>IF(AND(catpn_1_THB_1&gt;0,catpn_1_THV_40&gt;0),(catdw_1_THB_1*((dagenperjaar1-VLOOKUP(B64,dagsoorttabel1,2,FALSE))-catfd_1_THV_40)/catpn_1_THB_1+catdw_1_THV_40*catfd_1_THV_40/catpn_1_THV_40)/(((dagenperjaar1-VLOOKUP(B64,dagsoorttabel1,2,FALSE))-catfd_1_THV_40)/catpn_1_THB_1+catfd_1_THV_40/catpn_1_THV_40),0)</f>
        <v>0</v>
      </c>
      <c r="I64" s="52" t="s">
        <v>105</v>
      </c>
      <c r="J64" s="56">
        <f>IF(AND(catpn_1_THB_1&gt;0,catpn_1_THV_40&gt;0),(cattf_1_THB_1*((dagenperjaar1*VLOOKUP(B64,dagsoorttabel1,2,FALSE))-catfd_1_THV_40)/catpn_1_THB_1+cattf_1_THV_40*catfd_1_THV_40/catpn_1_THV_40)/(((dagenperjaar1*VLOOKUP(B64,dagsoorttabel1,2,FALSE))-catfd_1_THV_40)/catpn_1_THB_1+catfd_1_THV_40/catpn_1_THV_40),0)</f>
        <v>0</v>
      </c>
      <c r="K64" s="65">
        <f>IF(OR(ISBLANK(G64),G64=0),0,F64/ROUND(G64,4))</f>
        <v>0</v>
      </c>
      <c r="L64" s="56">
        <f>ROUND(J64,2)*K64</f>
        <v>0</v>
      </c>
      <c r="M64" s="65">
        <f>K64*dagenperjaar1</f>
        <v>0</v>
      </c>
      <c r="N64" s="56">
        <f>M64*ROUND(J64,2)</f>
        <v>0</v>
      </c>
    </row>
    <row r="65" spans="1:14" x14ac:dyDescent="0.2">
      <c r="A65" s="52" t="s">
        <v>308</v>
      </c>
      <c r="B65" s="52" t="s">
        <v>21</v>
      </c>
      <c r="C65" s="52" t="s">
        <v>255</v>
      </c>
      <c r="D65" s="52" t="s">
        <v>309</v>
      </c>
      <c r="E65" s="65">
        <v>28.58</v>
      </c>
      <c r="F65" s="65">
        <f>E65*VLOOKUP(B65,dagsoorttabel1,2,FALSE)</f>
        <v>5.7160000000000002</v>
      </c>
      <c r="G65" s="66">
        <f>IF(AND(catpn_1_THB_1&gt;0,catpn_1_THV_51&gt;0),(dagenperjaar1*VLOOKUP(B65,dagsoorttabel1,2,FALSE))/(((dagenperjaar1*VLOOKUP(B65,dagsoorttabel1,2,FALSE))-catfd_1_THV_51)/catpn_1_THB_1+catfd_1_THV_51/catpn_1_THV_51),0)</f>
        <v>0</v>
      </c>
      <c r="H65" s="67">
        <f>IF(AND(catpn_1_THB_1&gt;0,catpn_1_THV_51&gt;0),(catdw_1_THB_1*((dagenperjaar1-VLOOKUP(B65,dagsoorttabel1,2,FALSE))-catfd_1_THV_51)/catpn_1_THB_1+catdw_1_THV_51*catfd_1_THV_51/catpn_1_THV_51)/(((dagenperjaar1-VLOOKUP(B65,dagsoorttabel1,2,FALSE))-catfd_1_THV_51)/catpn_1_THB_1+catfd_1_THV_51/catpn_1_THV_51),0)</f>
        <v>0</v>
      </c>
      <c r="I65" s="52" t="s">
        <v>105</v>
      </c>
      <c r="J65" s="56">
        <f>IF(AND(catpn_1_THB_1&gt;0,catpn_1_THV_51&gt;0),(cattf_1_THB_1*((dagenperjaar1*VLOOKUP(B65,dagsoorttabel1,2,FALSE))-catfd_1_THV_51)/catpn_1_THB_1+cattf_1_THV_51*catfd_1_THV_51/catpn_1_THV_51)/(((dagenperjaar1*VLOOKUP(B65,dagsoorttabel1,2,FALSE))-catfd_1_THV_51)/catpn_1_THB_1+catfd_1_THV_51/catpn_1_THV_51),0)</f>
        <v>0</v>
      </c>
      <c r="K65" s="65">
        <f>IF(OR(ISBLANK(G65),G65=0),0,F65/ROUND(G65,4))</f>
        <v>0</v>
      </c>
      <c r="L65" s="56">
        <f>ROUND(J65,2)*K65</f>
        <v>0</v>
      </c>
      <c r="M65" s="65">
        <f>K65*dagenperjaar1</f>
        <v>0</v>
      </c>
      <c r="N65" s="56">
        <f>M65*ROUND(J65,2)</f>
        <v>0</v>
      </c>
    </row>
    <row r="66" spans="1:14" x14ac:dyDescent="0.2">
      <c r="A66" s="52" t="s">
        <v>310</v>
      </c>
      <c r="B66" s="52" t="s">
        <v>13</v>
      </c>
      <c r="C66" s="52" t="s">
        <v>255</v>
      </c>
      <c r="D66" s="52" t="s">
        <v>311</v>
      </c>
      <c r="E66" s="65">
        <v>31.04</v>
      </c>
      <c r="F66" s="65">
        <f>E66*VLOOKUP(B66,dagsoorttabel1,2,FALSE)</f>
        <v>24.345098039215685</v>
      </c>
      <c r="G66" s="66">
        <f>IF(AND(catpn_1_THB_1&gt;0,catpn_1_SHV_46&gt;0),(dagenperjaar1*VLOOKUP(B66,dagsoorttabel1,2,FALSE))/(((dagenperjaar1*VLOOKUP(B66,dagsoorttabel1,2,FALSE))-catfd_1_SHV_46)/catpn_1_THB_1+catfd_1_SHV_46/catpn_1_SHV_46),0)</f>
        <v>0</v>
      </c>
      <c r="H66" s="67">
        <f>IF(AND(catpn_1_THB_1&gt;0,catpn_1_SHV_46&gt;0),(catdw_1_THB_1*((dagenperjaar1-VLOOKUP(B66,dagsoorttabel1,2,FALSE))-catfd_1_SHV_46)/catpn_1_THB_1+catdw_1_SHV_46*catfd_1_SHV_46/catpn_1_SHV_46)/(((dagenperjaar1-VLOOKUP(B66,dagsoorttabel1,2,FALSE))-catfd_1_SHV_46)/catpn_1_THB_1+catfd_1_SHV_46/catpn_1_SHV_46),0)</f>
        <v>0</v>
      </c>
      <c r="I66" s="52" t="s">
        <v>105</v>
      </c>
      <c r="J66" s="56">
        <f>IF(AND(catpn_1_THB_1&gt;0,catpn_1_SHV_46&gt;0),(cattf_1_THB_1*((dagenperjaar1*VLOOKUP(B66,dagsoorttabel1,2,FALSE))-catfd_1_SHV_46)/catpn_1_THB_1+cattf_1_SHV_46*catfd_1_SHV_46/catpn_1_SHV_46)/(((dagenperjaar1*VLOOKUP(B66,dagsoorttabel1,2,FALSE))-catfd_1_SHV_46)/catpn_1_THB_1+catfd_1_SHV_46/catpn_1_SHV_46),0)</f>
        <v>0</v>
      </c>
      <c r="K66" s="65">
        <f>IF(OR(ISBLANK(G66),G66=0),0,F66/ROUND(G66,4))</f>
        <v>0</v>
      </c>
      <c r="L66" s="56">
        <f>ROUND(J66,2)*K66</f>
        <v>0</v>
      </c>
      <c r="M66" s="65">
        <f>K66*dagenperjaar1</f>
        <v>0</v>
      </c>
      <c r="N66" s="56">
        <f>M66*ROUND(J66,2)</f>
        <v>0</v>
      </c>
    </row>
    <row r="67" spans="1:14" x14ac:dyDescent="0.2">
      <c r="A67" s="52" t="s">
        <v>312</v>
      </c>
      <c r="B67" s="52" t="s">
        <v>10</v>
      </c>
      <c r="C67" s="52" t="s">
        <v>255</v>
      </c>
      <c r="D67" s="52" t="s">
        <v>313</v>
      </c>
      <c r="E67" s="65">
        <v>36.75</v>
      </c>
      <c r="F67" s="65">
        <f>E67*VLOOKUP(B67,dagsoorttabel1,2,FALSE)</f>
        <v>36.75</v>
      </c>
      <c r="G67" s="66">
        <f>IF(AND(catpn_1_TZB_1&gt;0,catpn_1_TZV_51&gt;0),(dagenperjaar1*VLOOKUP(B67,dagsoorttabel1,2,FALSE))/(((dagenperjaar1*VLOOKUP(B67,dagsoorttabel1,2,FALSE))-catfd_1_TZV_51)/catpn_1_TZB_1+catfd_1_TZV_51/catpn_1_TZV_51),0)</f>
        <v>0</v>
      </c>
      <c r="H67" s="67">
        <f>IF(AND(catpn_1_TZB_1&gt;0,catpn_1_TZV_51&gt;0),(catdw_1_TZB_1*((dagenperjaar1-VLOOKUP(B67,dagsoorttabel1,2,FALSE))-catfd_1_TZV_51)/catpn_1_TZB_1+catdw_1_TZV_51*catfd_1_TZV_51/catpn_1_TZV_51)/(((dagenperjaar1-VLOOKUP(B67,dagsoorttabel1,2,FALSE))-catfd_1_TZV_51)/catpn_1_TZB_1+catfd_1_TZV_51/catpn_1_TZV_51),0)</f>
        <v>0</v>
      </c>
      <c r="I67" s="52" t="s">
        <v>105</v>
      </c>
      <c r="J67" s="56">
        <f>IF(AND(catpn_1_TZB_1&gt;0,catpn_1_TZV_51&gt;0),(cattf_1_TZB_1*((dagenperjaar1*VLOOKUP(B67,dagsoorttabel1,2,FALSE))-catfd_1_TZV_51)/catpn_1_TZB_1+cattf_1_TZV_51*catfd_1_TZV_51/catpn_1_TZV_51)/(((dagenperjaar1*VLOOKUP(B67,dagsoorttabel1,2,FALSE))-catfd_1_TZV_51)/catpn_1_TZB_1+catfd_1_TZV_51/catpn_1_TZV_51),0)</f>
        <v>0</v>
      </c>
      <c r="K67" s="65">
        <f>IF(OR(ISBLANK(G67),G67=0),0,F67/ROUND(G67,4))</f>
        <v>0</v>
      </c>
      <c r="L67" s="56">
        <f>ROUND(J67,2)*K67</f>
        <v>0</v>
      </c>
      <c r="M67" s="65">
        <f>K67*dagenperjaar1</f>
        <v>0</v>
      </c>
      <c r="N67" s="56">
        <f>M67*ROUND(J67,2)</f>
        <v>0</v>
      </c>
    </row>
    <row r="68" spans="1:14" x14ac:dyDescent="0.2">
      <c r="A68" s="52" t="s">
        <v>314</v>
      </c>
      <c r="B68" s="52" t="s">
        <v>18</v>
      </c>
      <c r="C68" s="52" t="s">
        <v>255</v>
      </c>
      <c r="D68" s="52" t="s">
        <v>315</v>
      </c>
      <c r="E68" s="65">
        <v>178.29</v>
      </c>
      <c r="F68" s="65">
        <f>E68*VLOOKUP(B68,dagsoorttabel1,2,FALSE)</f>
        <v>71.316000000000003</v>
      </c>
      <c r="G68" s="66">
        <f>IF(AND(catpn_1_VHB_1&gt;0,catpn_1_VHV_51&gt;0),(dagenperjaar1*VLOOKUP(B68,dagsoorttabel1,2,FALSE))/(((dagenperjaar1*VLOOKUP(B68,dagsoorttabel1,2,FALSE))-catfd_1_VHV_51)/catpn_1_VHB_1+catfd_1_VHV_51/catpn_1_VHV_51),0)</f>
        <v>0</v>
      </c>
      <c r="H68" s="67">
        <f>IF(AND(catpn_1_VHB_1&gt;0,catpn_1_VHV_51&gt;0),(catdw_1_VHB_1*((dagenperjaar1-VLOOKUP(B68,dagsoorttabel1,2,FALSE))-catfd_1_VHV_51)/catpn_1_VHB_1+catdw_1_VHV_51*catfd_1_VHV_51/catpn_1_VHV_51)/(((dagenperjaar1-VLOOKUP(B68,dagsoorttabel1,2,FALSE))-catfd_1_VHV_51)/catpn_1_VHB_1+catfd_1_VHV_51/catpn_1_VHV_51),0)</f>
        <v>0</v>
      </c>
      <c r="I68" s="52" t="s">
        <v>105</v>
      </c>
      <c r="J68" s="56">
        <f>IF(AND(catpn_1_VHB_1&gt;0,catpn_1_VHV_51&gt;0),(cattf_1_VHB_1*((dagenperjaar1*VLOOKUP(B68,dagsoorttabel1,2,FALSE))-catfd_1_VHV_51)/catpn_1_VHB_1+cattf_1_VHV_51*catfd_1_VHV_51/catpn_1_VHV_51)/(((dagenperjaar1*VLOOKUP(B68,dagsoorttabel1,2,FALSE))-catfd_1_VHV_51)/catpn_1_VHB_1+catfd_1_VHV_51/catpn_1_VHV_51),0)</f>
        <v>0</v>
      </c>
      <c r="K68" s="65">
        <f>IF(OR(ISBLANK(G68),G68=0),0,F68/ROUND(G68,4))</f>
        <v>0</v>
      </c>
      <c r="L68" s="56">
        <f>ROUND(J68,2)*K68</f>
        <v>0</v>
      </c>
      <c r="M68" s="65">
        <f>K68*dagenperjaar1</f>
        <v>0</v>
      </c>
      <c r="N68" s="56">
        <f>M68*ROUND(J68,2)</f>
        <v>0</v>
      </c>
    </row>
    <row r="69" spans="1:14" x14ac:dyDescent="0.2">
      <c r="A69" s="52" t="s">
        <v>314</v>
      </c>
      <c r="B69" s="52" t="s">
        <v>13</v>
      </c>
      <c r="C69" s="52" t="s">
        <v>255</v>
      </c>
      <c r="D69" s="52" t="s">
        <v>315</v>
      </c>
      <c r="E69" s="65">
        <v>2680.5200000000009</v>
      </c>
      <c r="F69" s="65">
        <f>E69*VLOOKUP(B69,dagsoorttabel1,2,FALSE)</f>
        <v>2102.368627450981</v>
      </c>
      <c r="G69" s="66">
        <f>IF(AND(catpn_1_VHB_1&gt;0,catpn_1_VHV_40&gt;0),(dagenperjaar1*VLOOKUP(B69,dagsoorttabel1,2,FALSE))/(((dagenperjaar1*VLOOKUP(B69,dagsoorttabel1,2,FALSE))-catfd_1_VHV_40)/catpn_1_VHB_1+catfd_1_VHV_40/catpn_1_VHV_40),0)</f>
        <v>0</v>
      </c>
      <c r="H69" s="67">
        <f>IF(AND(catpn_1_VHB_1&gt;0,catpn_1_VHV_40&gt;0),(catdw_1_VHB_1*((dagenperjaar1-VLOOKUP(B69,dagsoorttabel1,2,FALSE))-catfd_1_VHV_40)/catpn_1_VHB_1+catdw_1_VHV_40*catfd_1_VHV_40/catpn_1_VHV_40)/(((dagenperjaar1-VLOOKUP(B69,dagsoorttabel1,2,FALSE))-catfd_1_VHV_40)/catpn_1_VHB_1+catfd_1_VHV_40/catpn_1_VHV_40),0)</f>
        <v>0</v>
      </c>
      <c r="I69" s="52" t="s">
        <v>105</v>
      </c>
      <c r="J69" s="56">
        <f>IF(AND(catpn_1_VHB_1&gt;0,catpn_1_VHV_40&gt;0),(cattf_1_VHB_1*((dagenperjaar1*VLOOKUP(B69,dagsoorttabel1,2,FALSE))-catfd_1_VHV_40)/catpn_1_VHB_1+cattf_1_VHV_40*catfd_1_VHV_40/catpn_1_VHV_40)/(((dagenperjaar1*VLOOKUP(B69,dagsoorttabel1,2,FALSE))-catfd_1_VHV_40)/catpn_1_VHB_1+catfd_1_VHV_40/catpn_1_VHV_40),0)</f>
        <v>0</v>
      </c>
      <c r="K69" s="65">
        <f>IF(OR(ISBLANK(G69),G69=0),0,F69/ROUND(G69,4))</f>
        <v>0</v>
      </c>
      <c r="L69" s="56">
        <f>ROUND(J69,2)*K69</f>
        <v>0</v>
      </c>
      <c r="M69" s="65">
        <f>K69*dagenperjaar1</f>
        <v>0</v>
      </c>
      <c r="N69" s="56">
        <f>M69*ROUND(J69,2)</f>
        <v>0</v>
      </c>
    </row>
    <row r="70" spans="1:14" x14ac:dyDescent="0.2">
      <c r="A70" s="52" t="s">
        <v>314</v>
      </c>
      <c r="B70" s="52" t="s">
        <v>10</v>
      </c>
      <c r="C70" s="52" t="s">
        <v>255</v>
      </c>
      <c r="D70" s="52" t="s">
        <v>315</v>
      </c>
      <c r="E70" s="65">
        <v>972.9799999999999</v>
      </c>
      <c r="F70" s="65">
        <f>E70*VLOOKUP(B70,dagsoorttabel1,2,FALSE)</f>
        <v>972.9799999999999</v>
      </c>
      <c r="G70" s="66">
        <f>IF(AND(catpn_1_VHB_1&gt;0,catpn_1_VHV_51&gt;0),(dagenperjaar1*VLOOKUP(B70,dagsoorttabel1,2,FALSE))/(((dagenperjaar1*VLOOKUP(B70,dagsoorttabel1,2,FALSE))-catfd_1_VHV_51)/catpn_1_VHB_1+catfd_1_VHV_51/catpn_1_VHV_51),0)</f>
        <v>0</v>
      </c>
      <c r="H70" s="67">
        <f>IF(AND(catpn_1_VHB_1&gt;0,catpn_1_VHV_51&gt;0),(catdw_1_VHB_1*((dagenperjaar1-VLOOKUP(B70,dagsoorttabel1,2,FALSE))-catfd_1_VHV_51)/catpn_1_VHB_1+catdw_1_VHV_51*catfd_1_VHV_51/catpn_1_VHV_51)/(((dagenperjaar1-VLOOKUP(B70,dagsoorttabel1,2,FALSE))-catfd_1_VHV_51)/catpn_1_VHB_1+catfd_1_VHV_51/catpn_1_VHV_51),0)</f>
        <v>0</v>
      </c>
      <c r="I70" s="52" t="s">
        <v>105</v>
      </c>
      <c r="J70" s="56">
        <f>IF(AND(catpn_1_VHB_1&gt;0,catpn_1_VHV_51&gt;0),(cattf_1_VHB_1*((dagenperjaar1*VLOOKUP(B70,dagsoorttabel1,2,FALSE))-catfd_1_VHV_51)/catpn_1_VHB_1+cattf_1_VHV_51*catfd_1_VHV_51/catpn_1_VHV_51)/(((dagenperjaar1*VLOOKUP(B70,dagsoorttabel1,2,FALSE))-catfd_1_VHV_51)/catpn_1_VHB_1+catfd_1_VHV_51/catpn_1_VHV_51),0)</f>
        <v>0</v>
      </c>
      <c r="K70" s="65">
        <f>IF(OR(ISBLANK(G70),G70=0),0,F70/ROUND(G70,4))</f>
        <v>0</v>
      </c>
      <c r="L70" s="56">
        <f>ROUND(J70,2)*K70</f>
        <v>0</v>
      </c>
      <c r="M70" s="65">
        <f>K70*dagenperjaar1</f>
        <v>0</v>
      </c>
      <c r="N70" s="56">
        <f>M70*ROUND(J70,2)</f>
        <v>0</v>
      </c>
    </row>
    <row r="71" spans="1:14" x14ac:dyDescent="0.2">
      <c r="A71" s="52" t="s">
        <v>314</v>
      </c>
      <c r="B71" s="52" t="s">
        <v>22</v>
      </c>
      <c r="C71" s="52" t="s">
        <v>255</v>
      </c>
      <c r="D71" s="52" t="s">
        <v>315</v>
      </c>
      <c r="E71" s="65">
        <v>45.25</v>
      </c>
      <c r="F71" s="65">
        <f>E71*VLOOKUP(B71,dagsoorttabel1,2,FALSE)</f>
        <v>7.0980392156862742</v>
      </c>
      <c r="G71" s="66">
        <f>IF(AND(catpn_1_VHB_1&gt;0,catpn_1_VHV_40&gt;0),(dagenperjaar1*VLOOKUP(B71,dagsoorttabel1,2,FALSE))/(((dagenperjaar1*VLOOKUP(B71,dagsoorttabel1,2,FALSE))-catfd_1_VHV_40)/catpn_1_VHB_1+catfd_1_VHV_40/catpn_1_VHV_40),0)</f>
        <v>0</v>
      </c>
      <c r="H71" s="67">
        <f>IF(AND(catpn_1_VHB_1&gt;0,catpn_1_VHV_40&gt;0),(catdw_1_VHB_1*((dagenperjaar1-VLOOKUP(B71,dagsoorttabel1,2,FALSE))-catfd_1_VHV_40)/catpn_1_VHB_1+catdw_1_VHV_40*catfd_1_VHV_40/catpn_1_VHV_40)/(((dagenperjaar1-VLOOKUP(B71,dagsoorttabel1,2,FALSE))-catfd_1_VHV_40)/catpn_1_VHB_1+catfd_1_VHV_40/catpn_1_VHV_40),0)</f>
        <v>0</v>
      </c>
      <c r="I71" s="52" t="s">
        <v>105</v>
      </c>
      <c r="J71" s="56">
        <f>IF(AND(catpn_1_VHB_1&gt;0,catpn_1_VHV_40&gt;0),(cattf_1_VHB_1*((dagenperjaar1*VLOOKUP(B71,dagsoorttabel1,2,FALSE))-catfd_1_VHV_40)/catpn_1_VHB_1+cattf_1_VHV_40*catfd_1_VHV_40/catpn_1_VHV_40)/(((dagenperjaar1*VLOOKUP(B71,dagsoorttabel1,2,FALSE))-catfd_1_VHV_40)/catpn_1_VHB_1+catfd_1_VHV_40/catpn_1_VHV_40),0)</f>
        <v>0</v>
      </c>
      <c r="K71" s="65">
        <f>IF(OR(ISBLANK(G71),G71=0),0,F71/ROUND(G71,4))</f>
        <v>0</v>
      </c>
      <c r="L71" s="56">
        <f>ROUND(J71,2)*K71</f>
        <v>0</v>
      </c>
      <c r="M71" s="65">
        <f>K71*dagenperjaar1</f>
        <v>0</v>
      </c>
      <c r="N71" s="56">
        <f>M71*ROUND(J71,2)</f>
        <v>0</v>
      </c>
    </row>
    <row r="72" spans="1:14" x14ac:dyDescent="0.2">
      <c r="A72" s="52" t="s">
        <v>314</v>
      </c>
      <c r="B72" s="52" t="s">
        <v>21</v>
      </c>
      <c r="C72" s="52" t="s">
        <v>255</v>
      </c>
      <c r="D72" s="52" t="s">
        <v>315</v>
      </c>
      <c r="E72" s="65">
        <v>710.54</v>
      </c>
      <c r="F72" s="65">
        <f>E72*VLOOKUP(B72,dagsoorttabel1,2,FALSE)</f>
        <v>142.108</v>
      </c>
      <c r="G72" s="66">
        <f>IF(AND(catpn_1_VHB_1&gt;0,catpn_1_VHV_51&gt;0),(dagenperjaar1*VLOOKUP(B72,dagsoorttabel1,2,FALSE))/(((dagenperjaar1*VLOOKUP(B72,dagsoorttabel1,2,FALSE))-catfd_1_VHV_51)/catpn_1_VHB_1+catfd_1_VHV_51/catpn_1_VHV_51),0)</f>
        <v>0</v>
      </c>
      <c r="H72" s="67">
        <f>IF(AND(catpn_1_VHB_1&gt;0,catpn_1_VHV_51&gt;0),(catdw_1_VHB_1*((dagenperjaar1-VLOOKUP(B72,dagsoorttabel1,2,FALSE))-catfd_1_VHV_51)/catpn_1_VHB_1+catdw_1_VHV_51*catfd_1_VHV_51/catpn_1_VHV_51)/(((dagenperjaar1-VLOOKUP(B72,dagsoorttabel1,2,FALSE))-catfd_1_VHV_51)/catpn_1_VHB_1+catfd_1_VHV_51/catpn_1_VHV_51),0)</f>
        <v>0</v>
      </c>
      <c r="I72" s="52" t="s">
        <v>105</v>
      </c>
      <c r="J72" s="56">
        <f>IF(AND(catpn_1_VHB_1&gt;0,catpn_1_VHV_51&gt;0),(cattf_1_VHB_1*((dagenperjaar1*VLOOKUP(B72,dagsoorttabel1,2,FALSE))-catfd_1_VHV_51)/catpn_1_VHB_1+cattf_1_VHV_51*catfd_1_VHV_51/catpn_1_VHV_51)/(((dagenperjaar1*VLOOKUP(B72,dagsoorttabel1,2,FALSE))-catfd_1_VHV_51)/catpn_1_VHB_1+catfd_1_VHV_51/catpn_1_VHV_51),0)</f>
        <v>0</v>
      </c>
      <c r="K72" s="65">
        <f>IF(OR(ISBLANK(G72),G72=0),0,F72/ROUND(G72,4))</f>
        <v>0</v>
      </c>
      <c r="L72" s="56">
        <f>ROUND(J72,2)*K72</f>
        <v>0</v>
      </c>
      <c r="M72" s="65">
        <f>K72*dagenperjaar1</f>
        <v>0</v>
      </c>
      <c r="N72" s="56">
        <f>M72*ROUND(J72,2)</f>
        <v>0</v>
      </c>
    </row>
    <row r="73" spans="1:14" x14ac:dyDescent="0.2">
      <c r="A73" s="52" t="s">
        <v>314</v>
      </c>
      <c r="B73" s="52" t="s">
        <v>27</v>
      </c>
      <c r="C73" s="52" t="s">
        <v>255</v>
      </c>
      <c r="D73" s="52" t="s">
        <v>315</v>
      </c>
      <c r="E73" s="65">
        <v>14.04</v>
      </c>
      <c r="F73" s="65">
        <f>E73*VLOOKUP(B73,dagsoorttabel1,2,FALSE)</f>
        <v>0.33035294117647057</v>
      </c>
      <c r="G73" s="66">
        <f>catpn_1_VHV_6</f>
        <v>0</v>
      </c>
      <c r="H73" s="67">
        <f>catdw_1_VHV_6</f>
        <v>0</v>
      </c>
      <c r="I73" s="52" t="s">
        <v>105</v>
      </c>
      <c r="J73" s="56">
        <f>cattf_1_VHV_6</f>
        <v>0</v>
      </c>
      <c r="K73" s="65">
        <f>IF(OR(ISBLANK(G73),G73=0),0,F73/ROUND(G73,4))</f>
        <v>0</v>
      </c>
      <c r="L73" s="56">
        <f>ROUND(J73,2)*K73</f>
        <v>0</v>
      </c>
      <c r="M73" s="65">
        <f>K73*dagenperjaar1</f>
        <v>0</v>
      </c>
      <c r="N73" s="56">
        <f>M73*ROUND(J73,2)</f>
        <v>0</v>
      </c>
    </row>
    <row r="74" spans="1:14" x14ac:dyDescent="0.2">
      <c r="A74" s="52" t="s">
        <v>316</v>
      </c>
      <c r="B74" s="52" t="s">
        <v>13</v>
      </c>
      <c r="C74" s="52" t="s">
        <v>255</v>
      </c>
      <c r="D74" s="52" t="s">
        <v>317</v>
      </c>
      <c r="E74" s="65">
        <v>1102.97</v>
      </c>
      <c r="F74" s="65">
        <f>E74*VLOOKUP(B74,dagsoorttabel1,2,FALSE)</f>
        <v>865.07450980392161</v>
      </c>
      <c r="G74" s="66">
        <f>catpn_1_VHB_1</f>
        <v>0</v>
      </c>
      <c r="H74" s="67">
        <f>catdw_1_VHB_1</f>
        <v>0</v>
      </c>
      <c r="I74" s="52" t="s">
        <v>105</v>
      </c>
      <c r="J74" s="56">
        <f>cattf_1_VHB_1</f>
        <v>0</v>
      </c>
      <c r="K74" s="65">
        <f>IF(OR(ISBLANK(G74),G74=0),0,F74/ROUND(G74,4))</f>
        <v>0</v>
      </c>
      <c r="L74" s="56">
        <f>ROUND(J74,2)*K74</f>
        <v>0</v>
      </c>
      <c r="M74" s="65">
        <f>K74*dagenperjaar1</f>
        <v>0</v>
      </c>
      <c r="N74" s="56">
        <f>M74*ROUND(J74,2)</f>
        <v>0</v>
      </c>
    </row>
    <row r="75" spans="1:14" x14ac:dyDescent="0.2">
      <c r="A75" s="52" t="s">
        <v>318</v>
      </c>
      <c r="B75" s="52" t="s">
        <v>10</v>
      </c>
      <c r="C75" s="52" t="s">
        <v>255</v>
      </c>
      <c r="D75" s="52" t="s">
        <v>319</v>
      </c>
      <c r="E75" s="65">
        <v>25.32</v>
      </c>
      <c r="F75" s="65">
        <f>E75*VLOOKUP(B75,dagsoorttabel1,2,FALSE)</f>
        <v>25.32</v>
      </c>
      <c r="G75" s="66">
        <f>IF(AND(catpn_1_VZB_1&gt;0,catpn_1_VZV_51&gt;0),(dagenperjaar1*VLOOKUP(B75,dagsoorttabel1,2,FALSE))/(((dagenperjaar1*VLOOKUP(B75,dagsoorttabel1,2,FALSE))-catfd_1_VZV_51)/catpn_1_VZB_1+catfd_1_VZV_51/catpn_1_VZV_51),0)</f>
        <v>0</v>
      </c>
      <c r="H75" s="67">
        <f>IF(AND(catpn_1_VZB_1&gt;0,catpn_1_VZV_51&gt;0),(catdw_1_VZB_1*((dagenperjaar1-VLOOKUP(B75,dagsoorttabel1,2,FALSE))-catfd_1_VZV_51)/catpn_1_VZB_1+catdw_1_VZV_51*catfd_1_VZV_51/catpn_1_VZV_51)/(((dagenperjaar1-VLOOKUP(B75,dagsoorttabel1,2,FALSE))-catfd_1_VZV_51)/catpn_1_VZB_1+catfd_1_VZV_51/catpn_1_VZV_51),0)</f>
        <v>0</v>
      </c>
      <c r="I75" s="52" t="s">
        <v>105</v>
      </c>
      <c r="J75" s="56">
        <f>IF(AND(catpn_1_VZB_1&gt;0,catpn_1_VZV_51&gt;0),(cattf_1_VZB_1*((dagenperjaar1*VLOOKUP(B75,dagsoorttabel1,2,FALSE))-catfd_1_VZV_51)/catpn_1_VZB_1+cattf_1_VZV_51*catfd_1_VZV_51/catpn_1_VZV_51)/(((dagenperjaar1*VLOOKUP(B75,dagsoorttabel1,2,FALSE))-catfd_1_VZV_51)/catpn_1_VZB_1+catfd_1_VZV_51/catpn_1_VZV_51),0)</f>
        <v>0</v>
      </c>
      <c r="K75" s="65">
        <f>IF(OR(ISBLANK(G75),G75=0),0,F75/ROUND(G75,4))</f>
        <v>0</v>
      </c>
      <c r="L75" s="56">
        <f>ROUND(J75,2)*K75</f>
        <v>0</v>
      </c>
      <c r="M75" s="65">
        <f>K75*dagenperjaar1</f>
        <v>0</v>
      </c>
      <c r="N75" s="56">
        <f>M75*ROUND(J75,2)</f>
        <v>0</v>
      </c>
    </row>
    <row r="76" spans="1:14" x14ac:dyDescent="0.2">
      <c r="A76" s="52" t="s">
        <v>320</v>
      </c>
      <c r="B76" s="52" t="s">
        <v>21</v>
      </c>
      <c r="C76" s="52" t="s">
        <v>255</v>
      </c>
      <c r="D76" s="52" t="s">
        <v>321</v>
      </c>
      <c r="E76" s="65">
        <v>82.24</v>
      </c>
      <c r="F76" s="65">
        <f>E76*VLOOKUP(B76,dagsoorttabel1,2,FALSE)</f>
        <v>16.448</v>
      </c>
      <c r="G76" s="66">
        <f>IF(AND(catpn_1_ZBHB_1&gt;0,catpn_1_ZBHB_51&gt;0),(dagenperjaar1*VLOOKUP(B76,dagsoorttabel1,2,FALSE))/(((dagenperjaar1*VLOOKUP(B76,dagsoorttabel1,2,FALSE))-catfd_1_ZBHB_51)/catpn_1_ZBHB_1+catfd_1_ZBHB_51/catpn_1_ZBHB_51),0)</f>
        <v>0</v>
      </c>
      <c r="H76" s="67">
        <f>IF(AND(catpn_1_ZBHB_1&gt;0,catpn_1_ZBHB_51&gt;0),(catdw_1_ZBHB_1*((dagenperjaar1-VLOOKUP(B76,dagsoorttabel1,2,FALSE))-catfd_1_ZBHB_51)/catpn_1_ZBHB_1+catdw_1_ZBHB_51*catfd_1_ZBHB_51/catpn_1_ZBHB_51)/(((dagenperjaar1-VLOOKUP(B76,dagsoorttabel1,2,FALSE))-catfd_1_ZBHB_51)/catpn_1_ZBHB_1+catfd_1_ZBHB_51/catpn_1_ZBHB_51),0)</f>
        <v>0</v>
      </c>
      <c r="I76" s="52" t="s">
        <v>105</v>
      </c>
      <c r="J76" s="56">
        <f>IF(AND(catpn_1_ZBHB_1&gt;0,catpn_1_ZBHB_51&gt;0),(cattf_1_ZBHB_1*((dagenperjaar1*VLOOKUP(B76,dagsoorttabel1,2,FALSE))-catfd_1_ZBHB_51)/catpn_1_ZBHB_1+cattf_1_ZBHB_51*catfd_1_ZBHB_51/catpn_1_ZBHB_51)/(((dagenperjaar1*VLOOKUP(B76,dagsoorttabel1,2,FALSE))-catfd_1_ZBHB_51)/catpn_1_ZBHB_1+catfd_1_ZBHB_51/catpn_1_ZBHB_51),0)</f>
        <v>0</v>
      </c>
      <c r="K76" s="65">
        <f>IF(OR(ISBLANK(G76),G76=0),0,F76/ROUND(G76,4))</f>
        <v>0</v>
      </c>
      <c r="L76" s="56">
        <f>ROUND(J76,2)*K76</f>
        <v>0</v>
      </c>
      <c r="M76" s="65">
        <f>K76*dagenperjaar1</f>
        <v>0</v>
      </c>
      <c r="N76" s="56">
        <f>M76*ROUND(J76,2)</f>
        <v>0</v>
      </c>
    </row>
    <row r="77" spans="1:14" x14ac:dyDescent="0.2">
      <c r="A77" s="52" t="s">
        <v>322</v>
      </c>
      <c r="B77" s="52" t="s">
        <v>10</v>
      </c>
      <c r="C77" s="52" t="s">
        <v>255</v>
      </c>
      <c r="D77" s="52" t="s">
        <v>323</v>
      </c>
      <c r="E77" s="65">
        <v>73.89</v>
      </c>
      <c r="F77" s="65">
        <f>E77*VLOOKUP(B77,dagsoorttabel1,2,FALSE)</f>
        <v>73.89</v>
      </c>
      <c r="G77" s="66">
        <f>catpn_1_ZDHB_1</f>
        <v>0</v>
      </c>
      <c r="H77" s="67">
        <f>catdw_1_ZDHB_1</f>
        <v>0</v>
      </c>
      <c r="I77" s="52" t="s">
        <v>105</v>
      </c>
      <c r="J77" s="56">
        <f>cattf_1_ZDHB_1</f>
        <v>0</v>
      </c>
      <c r="K77" s="65">
        <f>IF(OR(ISBLANK(G77),G77=0),0,F77/ROUND(G77,4))</f>
        <v>0</v>
      </c>
      <c r="L77" s="56">
        <f>ROUND(J77,2)*K77</f>
        <v>0</v>
      </c>
      <c r="M77" s="65">
        <f>K77*dagenperjaar1</f>
        <v>0</v>
      </c>
      <c r="N77" s="56">
        <f>M77*ROUND(J77,2)</f>
        <v>0</v>
      </c>
    </row>
    <row r="78" spans="1:14" x14ac:dyDescent="0.2">
      <c r="A78" s="52" t="s">
        <v>322</v>
      </c>
      <c r="B78" s="52" t="s">
        <v>19</v>
      </c>
      <c r="C78" s="52" t="s">
        <v>255</v>
      </c>
      <c r="D78" s="52" t="s">
        <v>323</v>
      </c>
      <c r="E78" s="65">
        <v>10</v>
      </c>
      <c r="F78" s="65">
        <f>E78*VLOOKUP(B78,dagsoorttabel1,2,FALSE)</f>
        <v>2.0392156862745097</v>
      </c>
      <c r="G78" s="66">
        <f>IF(AND(catpn_1_ZDHB_1&gt;0,catpn_1_ZDHV_51&gt;0),(dagenperjaar1*VLOOKUP(B78,dagsoorttabel1,2,FALSE))/(((dagenperjaar1*VLOOKUP(B78,dagsoorttabel1,2,FALSE))-catfd_1_ZDHV_51)/catpn_1_ZDHB_1+catfd_1_ZDHV_51/catpn_1_ZDHV_51),0)</f>
        <v>0</v>
      </c>
      <c r="H78" s="67">
        <f>IF(AND(catpn_1_ZDHB_1&gt;0,catpn_1_ZDHV_51&gt;0),(catdw_1_ZDHB_1*((dagenperjaar1-VLOOKUP(B78,dagsoorttabel1,2,FALSE))-catfd_1_ZDHV_51)/catpn_1_ZDHB_1+catdw_1_ZDHV_51*catfd_1_ZDHV_51/catpn_1_ZDHV_51)/(((dagenperjaar1-VLOOKUP(B78,dagsoorttabel1,2,FALSE))-catfd_1_ZDHV_51)/catpn_1_ZDHB_1+catfd_1_ZDHV_51/catpn_1_ZDHV_51),0)</f>
        <v>0</v>
      </c>
      <c r="I78" s="52" t="s">
        <v>105</v>
      </c>
      <c r="J78" s="56">
        <f>IF(AND(catpn_1_ZDHB_1&gt;0,catpn_1_ZDHV_51&gt;0),(cattf_1_ZDHB_1*((dagenperjaar1*VLOOKUP(B78,dagsoorttabel1,2,FALSE))-catfd_1_ZDHV_51)/catpn_1_ZDHB_1+cattf_1_ZDHV_51*catfd_1_ZDHV_51/catpn_1_ZDHV_51)/(((dagenperjaar1*VLOOKUP(B78,dagsoorttabel1,2,FALSE))-catfd_1_ZDHV_51)/catpn_1_ZDHB_1+catfd_1_ZDHV_51/catpn_1_ZDHV_51),0)</f>
        <v>0</v>
      </c>
      <c r="K78" s="65">
        <f>IF(OR(ISBLANK(G78),G78=0),0,F78/ROUND(G78,4))</f>
        <v>0</v>
      </c>
      <c r="L78" s="56">
        <f>ROUND(J78,2)*K78</f>
        <v>0</v>
      </c>
      <c r="M78" s="65">
        <f>K78*dagenperjaar1</f>
        <v>0</v>
      </c>
      <c r="N78" s="56">
        <f>M78*ROUND(J78,2)</f>
        <v>0</v>
      </c>
    </row>
    <row r="79" spans="1:14" x14ac:dyDescent="0.2">
      <c r="A79" s="52" t="s">
        <v>324</v>
      </c>
      <c r="B79" s="52" t="s">
        <v>10</v>
      </c>
      <c r="C79" s="52" t="s">
        <v>255</v>
      </c>
      <c r="D79" s="52" t="s">
        <v>325</v>
      </c>
      <c r="E79" s="65">
        <v>46.46</v>
      </c>
      <c r="F79" s="65">
        <f>E79*VLOOKUP(B79,dagsoorttabel1,2,FALSE)</f>
        <v>46.46</v>
      </c>
      <c r="G79" s="66">
        <f>IF(AND(catpn_1_ZEHB_1&gt;0,catpn_1_ZEHV_51&gt;0),(dagenperjaar1*VLOOKUP(B79,dagsoorttabel1,2,FALSE))/(((dagenperjaar1*VLOOKUP(B79,dagsoorttabel1,2,FALSE))-catfd_1_ZEHV_51)/catpn_1_ZEHB_1+catfd_1_ZEHV_51/catpn_1_ZEHV_51),0)</f>
        <v>0</v>
      </c>
      <c r="H79" s="67">
        <f>IF(AND(catpn_1_ZEHB_1&gt;0,catpn_1_ZEHV_51&gt;0),(catdw_1_ZEHB_1*((dagenperjaar1-VLOOKUP(B79,dagsoorttabel1,2,FALSE))-catfd_1_ZEHV_51)/catpn_1_ZEHB_1+catdw_1_ZEHV_51*catfd_1_ZEHV_51/catpn_1_ZEHV_51)/(((dagenperjaar1-VLOOKUP(B79,dagsoorttabel1,2,FALSE))-catfd_1_ZEHV_51)/catpn_1_ZEHB_1+catfd_1_ZEHV_51/catpn_1_ZEHV_51),0)</f>
        <v>0</v>
      </c>
      <c r="I79" s="52" t="s">
        <v>105</v>
      </c>
      <c r="J79" s="56">
        <f>IF(AND(catpn_1_ZEHB_1&gt;0,catpn_1_ZEHV_51&gt;0),(cattf_1_ZEHB_1*((dagenperjaar1*VLOOKUP(B79,dagsoorttabel1,2,FALSE))-catfd_1_ZEHV_51)/catpn_1_ZEHB_1+cattf_1_ZEHV_51*catfd_1_ZEHV_51/catpn_1_ZEHV_51)/(((dagenperjaar1*VLOOKUP(B79,dagsoorttabel1,2,FALSE))-catfd_1_ZEHV_51)/catpn_1_ZEHB_1+catfd_1_ZEHV_51/catpn_1_ZEHV_51),0)</f>
        <v>0</v>
      </c>
      <c r="K79" s="65">
        <f>IF(OR(ISBLANK(G79),G79=0),0,F79/ROUND(G79,4))</f>
        <v>0</v>
      </c>
      <c r="L79" s="56">
        <f>ROUND(J79,2)*K79</f>
        <v>0</v>
      </c>
      <c r="M79" s="65">
        <f>K79*dagenperjaar1</f>
        <v>0</v>
      </c>
      <c r="N79" s="56">
        <f>M79*ROUND(J79,2)</f>
        <v>0</v>
      </c>
    </row>
    <row r="80" spans="1:14" x14ac:dyDescent="0.2">
      <c r="A80" s="52" t="s">
        <v>326</v>
      </c>
      <c r="B80" s="52" t="s">
        <v>10</v>
      </c>
      <c r="C80" s="52" t="s">
        <v>255</v>
      </c>
      <c r="D80" s="52" t="s">
        <v>327</v>
      </c>
      <c r="E80" s="65">
        <v>46.46</v>
      </c>
      <c r="F80" s="65">
        <f>E80*VLOOKUP(B80,dagsoorttabel1,2,FALSE)</f>
        <v>46.46</v>
      </c>
      <c r="G80" s="66">
        <f>catpn_1_ZEHB_1</f>
        <v>0</v>
      </c>
      <c r="H80" s="67">
        <f>catdw_1_ZEHB_1</f>
        <v>0</v>
      </c>
      <c r="I80" s="52" t="s">
        <v>105</v>
      </c>
      <c r="J80" s="56">
        <f>cattf_1_ZEHB_1</f>
        <v>0</v>
      </c>
      <c r="K80" s="65">
        <f>IF(OR(ISBLANK(G80),G80=0),0,F80/ROUND(G80,4))</f>
        <v>0</v>
      </c>
      <c r="L80" s="56">
        <f>ROUND(J80,2)*K80</f>
        <v>0</v>
      </c>
      <c r="M80" s="65">
        <f>K80*dagenperjaar1</f>
        <v>0</v>
      </c>
      <c r="N80" s="56">
        <f>M80*ROUND(J80,2)</f>
        <v>0</v>
      </c>
    </row>
    <row r="81" spans="1:14" x14ac:dyDescent="0.2">
      <c r="A81" s="52" t="s">
        <v>328</v>
      </c>
      <c r="B81" s="52" t="s">
        <v>21</v>
      </c>
      <c r="C81" s="52" t="s">
        <v>255</v>
      </c>
      <c r="D81" s="52" t="s">
        <v>329</v>
      </c>
      <c r="E81" s="65">
        <v>1020</v>
      </c>
      <c r="F81" s="65">
        <f>E81*VLOOKUP(B81,dagsoorttabel1,2,FALSE)</f>
        <v>204</v>
      </c>
      <c r="G81" s="66">
        <f>IF(AND(catpn_1_ZHB_1&gt;0,catpn_1_ZHV_51&gt;0),(dagenperjaar1*VLOOKUP(B81,dagsoorttabel1,2,FALSE))/(((dagenperjaar1*VLOOKUP(B81,dagsoorttabel1,2,FALSE))-catfd_1_ZHV_51)/catpn_1_ZHB_1+catfd_1_ZHV_51/catpn_1_ZHV_51),0)</f>
        <v>0</v>
      </c>
      <c r="H81" s="67">
        <f>IF(AND(catpn_1_ZHB_1&gt;0,catpn_1_ZHV_51&gt;0),(catdw_1_ZHB_1*((dagenperjaar1-VLOOKUP(B81,dagsoorttabel1,2,FALSE))-catfd_1_ZHV_51)/catpn_1_ZHB_1+catdw_1_ZHV_51*catfd_1_ZHV_51/catpn_1_ZHV_51)/(((dagenperjaar1-VLOOKUP(B81,dagsoorttabel1,2,FALSE))-catfd_1_ZHV_51)/catpn_1_ZHB_1+catfd_1_ZHV_51/catpn_1_ZHV_51),0)</f>
        <v>0</v>
      </c>
      <c r="I81" s="52" t="s">
        <v>105</v>
      </c>
      <c r="J81" s="56">
        <f>IF(AND(catpn_1_ZHB_1&gt;0,catpn_1_ZHV_51&gt;0),(cattf_1_ZHB_1*((dagenperjaar1*VLOOKUP(B81,dagsoorttabel1,2,FALSE))-catfd_1_ZHV_51)/catpn_1_ZHB_1+cattf_1_ZHV_51*catfd_1_ZHV_51/catpn_1_ZHV_51)/(((dagenperjaar1*VLOOKUP(B81,dagsoorttabel1,2,FALSE))-catfd_1_ZHV_51)/catpn_1_ZHB_1+catfd_1_ZHV_51/catpn_1_ZHV_51),0)</f>
        <v>0</v>
      </c>
      <c r="K81" s="65">
        <f>IF(OR(ISBLANK(G81),G81=0),0,F81/ROUND(G81,4))</f>
        <v>0</v>
      </c>
      <c r="L81" s="56">
        <f>ROUND(J81,2)*K81</f>
        <v>0</v>
      </c>
      <c r="M81" s="65">
        <f>K81*dagenperjaar1</f>
        <v>0</v>
      </c>
      <c r="N81" s="56">
        <f>M81*ROUND(J81,2)</f>
        <v>0</v>
      </c>
    </row>
    <row r="82" spans="1:14" x14ac:dyDescent="0.2">
      <c r="A82" s="52" t="s">
        <v>330</v>
      </c>
      <c r="B82" s="52" t="s">
        <v>18</v>
      </c>
      <c r="C82" s="52" t="s">
        <v>255</v>
      </c>
      <c r="D82" s="52" t="s">
        <v>331</v>
      </c>
      <c r="E82" s="65">
        <v>25.02</v>
      </c>
      <c r="F82" s="65">
        <f>E82*VLOOKUP(B82,dagsoorttabel1,2,FALSE)</f>
        <v>10.008000000000001</v>
      </c>
      <c r="G82" s="66">
        <f>IF(AND(catpn_1_ZKLHB_1&gt;0,catpn_1_ZKLHV_51&gt;0),(dagenperjaar1*VLOOKUP(B82,dagsoorttabel1,2,FALSE))/(((dagenperjaar1*VLOOKUP(B82,dagsoorttabel1,2,FALSE))-catfd_1_ZKLHV_51)/catpn_1_ZKLHB_1+catfd_1_ZKLHV_51/catpn_1_ZKLHV_51),0)</f>
        <v>0</v>
      </c>
      <c r="H82" s="67">
        <f>IF(AND(catpn_1_ZKLHB_1&gt;0,catpn_1_ZKLHV_51&gt;0),(catdw_1_ZKLHB_1*((dagenperjaar1-VLOOKUP(B82,dagsoorttabel1,2,FALSE))-catfd_1_ZKLHV_51)/catpn_1_ZKLHB_1+catdw_1_ZKLHV_51*catfd_1_ZKLHV_51/catpn_1_ZKLHV_51)/(((dagenperjaar1-VLOOKUP(B82,dagsoorttabel1,2,FALSE))-catfd_1_ZKLHV_51)/catpn_1_ZKLHB_1+catfd_1_ZKLHV_51/catpn_1_ZKLHV_51),0)</f>
        <v>0</v>
      </c>
      <c r="I82" s="52" t="s">
        <v>105</v>
      </c>
      <c r="J82" s="56">
        <f>IF(AND(catpn_1_ZKLHB_1&gt;0,catpn_1_ZKLHV_51&gt;0),(cattf_1_ZKLHB_1*((dagenperjaar1*VLOOKUP(B82,dagsoorttabel1,2,FALSE))-catfd_1_ZKLHV_51)/catpn_1_ZKLHB_1+cattf_1_ZKLHV_51*catfd_1_ZKLHV_51/catpn_1_ZKLHV_51)/(((dagenperjaar1*VLOOKUP(B82,dagsoorttabel1,2,FALSE))-catfd_1_ZKLHV_51)/catpn_1_ZKLHB_1+catfd_1_ZKLHV_51/catpn_1_ZKLHV_51),0)</f>
        <v>0</v>
      </c>
      <c r="K82" s="65">
        <f>IF(OR(ISBLANK(G82),G82=0),0,F82/ROUND(G82,4))</f>
        <v>0</v>
      </c>
      <c r="L82" s="56">
        <f>ROUND(J82,2)*K82</f>
        <v>0</v>
      </c>
      <c r="M82" s="65">
        <f>K82*dagenperjaar1</f>
        <v>0</v>
      </c>
      <c r="N82" s="56">
        <f>M82*ROUND(J82,2)</f>
        <v>0</v>
      </c>
    </row>
    <row r="83" spans="1:14" x14ac:dyDescent="0.2">
      <c r="A83" s="52" t="s">
        <v>330</v>
      </c>
      <c r="B83" s="52" t="s">
        <v>10</v>
      </c>
      <c r="C83" s="52" t="s">
        <v>255</v>
      </c>
      <c r="D83" s="52" t="s">
        <v>331</v>
      </c>
      <c r="E83" s="65">
        <v>373.22</v>
      </c>
      <c r="F83" s="65">
        <f>E83*VLOOKUP(B83,dagsoorttabel1,2,FALSE)</f>
        <v>373.22</v>
      </c>
      <c r="G83" s="66">
        <f>IF(AND(catpn_1_ZKLHB_1&gt;0,catpn_1_ZKLHV_51&gt;0),(dagenperjaar1*VLOOKUP(B83,dagsoorttabel1,2,FALSE))/(((dagenperjaar1*VLOOKUP(B83,dagsoorttabel1,2,FALSE))-catfd_1_ZKLHV_51)/catpn_1_ZKLHB_1+catfd_1_ZKLHV_51/catpn_1_ZKLHV_51),0)</f>
        <v>0</v>
      </c>
      <c r="H83" s="67">
        <f>IF(AND(catpn_1_ZKLHB_1&gt;0,catpn_1_ZKLHV_51&gt;0),(catdw_1_ZKLHB_1*((dagenperjaar1-VLOOKUP(B83,dagsoorttabel1,2,FALSE))-catfd_1_ZKLHV_51)/catpn_1_ZKLHB_1+catdw_1_ZKLHV_51*catfd_1_ZKLHV_51/catpn_1_ZKLHV_51)/(((dagenperjaar1-VLOOKUP(B83,dagsoorttabel1,2,FALSE))-catfd_1_ZKLHV_51)/catpn_1_ZKLHB_1+catfd_1_ZKLHV_51/catpn_1_ZKLHV_51),0)</f>
        <v>0</v>
      </c>
      <c r="I83" s="52" t="s">
        <v>105</v>
      </c>
      <c r="J83" s="56">
        <f>IF(AND(catpn_1_ZKLHB_1&gt;0,catpn_1_ZKLHV_51&gt;0),(cattf_1_ZKLHB_1*((dagenperjaar1*VLOOKUP(B83,dagsoorttabel1,2,FALSE))-catfd_1_ZKLHV_51)/catpn_1_ZKLHB_1+cattf_1_ZKLHV_51*catfd_1_ZKLHV_51/catpn_1_ZKLHV_51)/(((dagenperjaar1*VLOOKUP(B83,dagsoorttabel1,2,FALSE))-catfd_1_ZKLHV_51)/catpn_1_ZKLHB_1+catfd_1_ZKLHV_51/catpn_1_ZKLHV_51),0)</f>
        <v>0</v>
      </c>
      <c r="K83" s="65">
        <f>IF(OR(ISBLANK(G83),G83=0),0,F83/ROUND(G83,4))</f>
        <v>0</v>
      </c>
      <c r="L83" s="56">
        <f>ROUND(J83,2)*K83</f>
        <v>0</v>
      </c>
      <c r="M83" s="65">
        <f>K83*dagenperjaar1</f>
        <v>0</v>
      </c>
      <c r="N83" s="56">
        <f>M83*ROUND(J83,2)</f>
        <v>0</v>
      </c>
    </row>
    <row r="84" spans="1:14" x14ac:dyDescent="0.2">
      <c r="A84" s="52" t="s">
        <v>330</v>
      </c>
      <c r="B84" s="52" t="s">
        <v>21</v>
      </c>
      <c r="C84" s="52" t="s">
        <v>255</v>
      </c>
      <c r="D84" s="52" t="s">
        <v>331</v>
      </c>
      <c r="E84" s="65">
        <v>195.89</v>
      </c>
      <c r="F84" s="65">
        <f>E84*VLOOKUP(B84,dagsoorttabel1,2,FALSE)</f>
        <v>39.177999999999997</v>
      </c>
      <c r="G84" s="66">
        <f>IF(AND(catpn_1_ZKLHB_1&gt;0,catpn_1_ZKLHV_51&gt;0),(dagenperjaar1*VLOOKUP(B84,dagsoorttabel1,2,FALSE))/(((dagenperjaar1*VLOOKUP(B84,dagsoorttabel1,2,FALSE))-catfd_1_ZKLHV_51)/catpn_1_ZKLHB_1+catfd_1_ZKLHV_51/catpn_1_ZKLHV_51),0)</f>
        <v>0</v>
      </c>
      <c r="H84" s="67">
        <f>IF(AND(catpn_1_ZKLHB_1&gt;0,catpn_1_ZKLHV_51&gt;0),(catdw_1_ZKLHB_1*((dagenperjaar1-VLOOKUP(B84,dagsoorttabel1,2,FALSE))-catfd_1_ZKLHV_51)/catpn_1_ZKLHB_1+catdw_1_ZKLHV_51*catfd_1_ZKLHV_51/catpn_1_ZKLHV_51)/(((dagenperjaar1-VLOOKUP(B84,dagsoorttabel1,2,FALSE))-catfd_1_ZKLHV_51)/catpn_1_ZKLHB_1+catfd_1_ZKLHV_51/catpn_1_ZKLHV_51),0)</f>
        <v>0</v>
      </c>
      <c r="I84" s="52" t="s">
        <v>105</v>
      </c>
      <c r="J84" s="56">
        <f>IF(AND(catpn_1_ZKLHB_1&gt;0,catpn_1_ZKLHV_51&gt;0),(cattf_1_ZKLHB_1*((dagenperjaar1*VLOOKUP(B84,dagsoorttabel1,2,FALSE))-catfd_1_ZKLHV_51)/catpn_1_ZKLHB_1+cattf_1_ZKLHV_51*catfd_1_ZKLHV_51/catpn_1_ZKLHV_51)/(((dagenperjaar1*VLOOKUP(B84,dagsoorttabel1,2,FALSE))-catfd_1_ZKLHV_51)/catpn_1_ZKLHB_1+catfd_1_ZKLHV_51/catpn_1_ZKLHV_51),0)</f>
        <v>0</v>
      </c>
      <c r="K84" s="65">
        <f>IF(OR(ISBLANK(G84),G84=0),0,F84/ROUND(G84,4))</f>
        <v>0</v>
      </c>
      <c r="L84" s="56">
        <f>ROUND(J84,2)*K84</f>
        <v>0</v>
      </c>
      <c r="M84" s="65">
        <f>K84*dagenperjaar1</f>
        <v>0</v>
      </c>
      <c r="N84" s="56">
        <f>M84*ROUND(J84,2)</f>
        <v>0</v>
      </c>
    </row>
    <row r="85" spans="1:14" x14ac:dyDescent="0.2">
      <c r="A85" s="52" t="s">
        <v>332</v>
      </c>
      <c r="B85" s="52" t="s">
        <v>10</v>
      </c>
      <c r="C85" s="52" t="s">
        <v>255</v>
      </c>
      <c r="D85" s="52" t="s">
        <v>333</v>
      </c>
      <c r="E85" s="65">
        <v>373.22</v>
      </c>
      <c r="F85" s="65">
        <f>E85*VLOOKUP(B85,dagsoorttabel1,2,FALSE)</f>
        <v>373.22</v>
      </c>
      <c r="G85" s="66">
        <f>catpn_1_ZKLHB_1</f>
        <v>0</v>
      </c>
      <c r="H85" s="67">
        <f>catdw_1_ZKLHB_1</f>
        <v>0</v>
      </c>
      <c r="I85" s="52" t="s">
        <v>105</v>
      </c>
      <c r="J85" s="56">
        <f>cattf_1_ZKLHB_1</f>
        <v>0</v>
      </c>
      <c r="K85" s="65">
        <f>IF(OR(ISBLANK(G85),G85=0),0,F85/ROUND(G85,4))</f>
        <v>0</v>
      </c>
      <c r="L85" s="56">
        <f>ROUND(J85,2)*K85</f>
        <v>0</v>
      </c>
      <c r="M85" s="65">
        <f>K85*dagenperjaar1</f>
        <v>0</v>
      </c>
      <c r="N85" s="56">
        <f>M85*ROUND(J85,2)</f>
        <v>0</v>
      </c>
    </row>
    <row r="86" spans="1:14" x14ac:dyDescent="0.2">
      <c r="A86" s="52" t="s">
        <v>334</v>
      </c>
      <c r="B86" s="52" t="s">
        <v>10</v>
      </c>
      <c r="C86" s="52" t="s">
        <v>255</v>
      </c>
      <c r="D86" s="52" t="s">
        <v>335</v>
      </c>
      <c r="E86" s="65">
        <v>1678.99</v>
      </c>
      <c r="F86" s="65">
        <f>E86*VLOOKUP(B86,dagsoorttabel1,2,FALSE)</f>
        <v>1678.99</v>
      </c>
      <c r="G86" s="66">
        <f>IF(AND(catpn_1_ZPHB_1&gt;0,catpn_1_ZPHV_51&gt;0),(dagenperjaar1*VLOOKUP(B86,dagsoorttabel1,2,FALSE))/(((dagenperjaar1*VLOOKUP(B86,dagsoorttabel1,2,FALSE))-catfd_1_ZPHV_51)/catpn_1_ZPHB_1+catfd_1_ZPHV_51/catpn_1_ZPHV_51),0)</f>
        <v>0</v>
      </c>
      <c r="H86" s="67">
        <f>IF(AND(catpn_1_ZPHB_1&gt;0,catpn_1_ZPHV_51&gt;0),(catdw_1_ZPHB_1*((dagenperjaar1-VLOOKUP(B86,dagsoorttabel1,2,FALSE))-catfd_1_ZPHV_51)/catpn_1_ZPHB_1+catdw_1_ZPHV_51*catfd_1_ZPHV_51/catpn_1_ZPHV_51)/(((dagenperjaar1-VLOOKUP(B86,dagsoorttabel1,2,FALSE))-catfd_1_ZPHV_51)/catpn_1_ZPHB_1+catfd_1_ZPHV_51/catpn_1_ZPHV_51),0)</f>
        <v>0</v>
      </c>
      <c r="I86" s="52" t="s">
        <v>105</v>
      </c>
      <c r="J86" s="56">
        <f>IF(AND(catpn_1_ZPHB_1&gt;0,catpn_1_ZPHV_51&gt;0),(cattf_1_ZPHB_1*((dagenperjaar1*VLOOKUP(B86,dagsoorttabel1,2,FALSE))-catfd_1_ZPHV_51)/catpn_1_ZPHB_1+cattf_1_ZPHV_51*catfd_1_ZPHV_51/catpn_1_ZPHV_51)/(((dagenperjaar1*VLOOKUP(B86,dagsoorttabel1,2,FALSE))-catfd_1_ZPHV_51)/catpn_1_ZPHB_1+catfd_1_ZPHV_51/catpn_1_ZPHV_51),0)</f>
        <v>0</v>
      </c>
      <c r="K86" s="65">
        <f>IF(OR(ISBLANK(G86),G86=0),0,F86/ROUND(G86,4))</f>
        <v>0</v>
      </c>
      <c r="L86" s="56">
        <f>ROUND(J86,2)*K86</f>
        <v>0</v>
      </c>
      <c r="M86" s="65">
        <f>K86*dagenperjaar1</f>
        <v>0</v>
      </c>
      <c r="N86" s="56">
        <f>M86*ROUND(J86,2)</f>
        <v>0</v>
      </c>
    </row>
    <row r="87" spans="1:14" x14ac:dyDescent="0.2">
      <c r="A87" s="52" t="s">
        <v>336</v>
      </c>
      <c r="B87" s="52" t="s">
        <v>10</v>
      </c>
      <c r="C87" s="52" t="s">
        <v>255</v>
      </c>
      <c r="D87" s="52" t="s">
        <v>337</v>
      </c>
      <c r="E87" s="65">
        <v>1678.99</v>
      </c>
      <c r="F87" s="65">
        <f>E87*VLOOKUP(B87,dagsoorttabel1,2,FALSE)</f>
        <v>1678.99</v>
      </c>
      <c r="G87" s="66">
        <f>catpn_1_ZPHB_1</f>
        <v>0</v>
      </c>
      <c r="H87" s="67">
        <f>catdw_1_ZPHB_1</f>
        <v>0</v>
      </c>
      <c r="I87" s="52" t="s">
        <v>105</v>
      </c>
      <c r="J87" s="56">
        <f>cattf_1_ZPHB_1</f>
        <v>0</v>
      </c>
      <c r="K87" s="65">
        <f>IF(OR(ISBLANK(G87),G87=0),0,F87/ROUND(G87,4))</f>
        <v>0</v>
      </c>
      <c r="L87" s="56">
        <f>ROUND(J87,2)*K87</f>
        <v>0</v>
      </c>
      <c r="M87" s="65">
        <f>K87*dagenperjaar1</f>
        <v>0</v>
      </c>
      <c r="N87" s="56">
        <f>M87*ROUND(J87,2)</f>
        <v>0</v>
      </c>
    </row>
    <row r="88" spans="1:14" x14ac:dyDescent="0.2">
      <c r="A88" s="52" t="s">
        <v>338</v>
      </c>
      <c r="B88" s="52" t="s">
        <v>10</v>
      </c>
      <c r="C88" s="52" t="s">
        <v>255</v>
      </c>
      <c r="D88" s="52" t="s">
        <v>339</v>
      </c>
      <c r="E88" s="65">
        <v>12.43</v>
      </c>
      <c r="F88" s="65">
        <f>E88*VLOOKUP(B88,dagsoorttabel1,2,FALSE)</f>
        <v>12.43</v>
      </c>
      <c r="G88" s="66">
        <f>IF(AND(catpn_1_ZSAHB_1&gt;0,catpn_1_ZSAHV_51&gt;0),(dagenperjaar1*VLOOKUP(B88,dagsoorttabel1,2,FALSE))/(((dagenperjaar1*VLOOKUP(B88,dagsoorttabel1,2,FALSE))-catfd_1_ZSAHV_51)/catpn_1_ZSAHB_1+catfd_1_ZSAHV_51/catpn_1_ZSAHV_51),0)</f>
        <v>0</v>
      </c>
      <c r="H88" s="67">
        <f>IF(AND(catpn_1_ZSAHB_1&gt;0,catpn_1_ZSAHV_51&gt;0),(catdw_1_ZSAHB_1*((dagenperjaar1-VLOOKUP(B88,dagsoorttabel1,2,FALSE))-catfd_1_ZSAHV_51)/catpn_1_ZSAHB_1+catdw_1_ZSAHV_51*catfd_1_ZSAHV_51/catpn_1_ZSAHV_51)/(((dagenperjaar1-VLOOKUP(B88,dagsoorttabel1,2,FALSE))-catfd_1_ZSAHV_51)/catpn_1_ZSAHB_1+catfd_1_ZSAHV_51/catpn_1_ZSAHV_51),0)</f>
        <v>0</v>
      </c>
      <c r="I88" s="52" t="s">
        <v>105</v>
      </c>
      <c r="J88" s="56">
        <f>IF(AND(catpn_1_ZSAHB_1&gt;0,catpn_1_ZSAHV_51&gt;0),(cattf_1_ZSAHB_1*((dagenperjaar1*VLOOKUP(B88,dagsoorttabel1,2,FALSE))-catfd_1_ZSAHV_51)/catpn_1_ZSAHB_1+cattf_1_ZSAHV_51*catfd_1_ZSAHV_51/catpn_1_ZSAHV_51)/(((dagenperjaar1*VLOOKUP(B88,dagsoorttabel1,2,FALSE))-catfd_1_ZSAHV_51)/catpn_1_ZSAHB_1+catfd_1_ZSAHV_51/catpn_1_ZSAHV_51),0)</f>
        <v>0</v>
      </c>
      <c r="K88" s="65">
        <f>IF(OR(ISBLANK(G88),G88=0),0,F88/ROUND(G88,4))</f>
        <v>0</v>
      </c>
      <c r="L88" s="56">
        <f>ROUND(J88,2)*K88</f>
        <v>0</v>
      </c>
      <c r="M88" s="65">
        <f>K88*dagenperjaar1</f>
        <v>0</v>
      </c>
      <c r="N88" s="56">
        <f>M88*ROUND(J88,2)</f>
        <v>0</v>
      </c>
    </row>
    <row r="89" spans="1:14" x14ac:dyDescent="0.2">
      <c r="A89" s="52" t="s">
        <v>340</v>
      </c>
      <c r="B89" s="52" t="s">
        <v>10</v>
      </c>
      <c r="C89" s="52" t="s">
        <v>255</v>
      </c>
      <c r="D89" s="52" t="s">
        <v>341</v>
      </c>
      <c r="E89" s="65">
        <v>12.43</v>
      </c>
      <c r="F89" s="65">
        <f>E89*VLOOKUP(B89,dagsoorttabel1,2,FALSE)</f>
        <v>12.43</v>
      </c>
      <c r="G89" s="66">
        <f>catpn_1_ZSAHB_1</f>
        <v>0</v>
      </c>
      <c r="H89" s="67">
        <f>catdw_1_ZSAHB_1</f>
        <v>0</v>
      </c>
      <c r="I89" s="52" t="s">
        <v>105</v>
      </c>
      <c r="J89" s="56">
        <f>cattf_1_ZSAHB_1</f>
        <v>0</v>
      </c>
      <c r="K89" s="65">
        <f>IF(OR(ISBLANK(G89),G89=0),0,F89/ROUND(G89,4))</f>
        <v>0</v>
      </c>
      <c r="L89" s="56">
        <f>ROUND(J89,2)*K89</f>
        <v>0</v>
      </c>
      <c r="M89" s="65">
        <f>K89*dagenperjaar1</f>
        <v>0</v>
      </c>
      <c r="N89" s="56">
        <f>M89*ROUND(J89,2)</f>
        <v>0</v>
      </c>
    </row>
    <row r="90" spans="1:14" x14ac:dyDescent="0.2">
      <c r="A90" s="52" t="s">
        <v>342</v>
      </c>
      <c r="B90" s="52" t="s">
        <v>10</v>
      </c>
      <c r="C90" s="52" t="s">
        <v>255</v>
      </c>
      <c r="D90" s="52" t="s">
        <v>343</v>
      </c>
      <c r="E90" s="65">
        <v>87</v>
      </c>
      <c r="F90" s="65">
        <f>E90*VLOOKUP(B90,dagsoorttabel1,2,FALSE)</f>
        <v>87</v>
      </c>
      <c r="G90" s="66">
        <f>IF(AND(catpn_1_ZSHB_1&gt;0,catpn_1_ZSHV_51&gt;0),(dagenperjaar1*VLOOKUP(B90,dagsoorttabel1,2,FALSE))/(((dagenperjaar1*VLOOKUP(B90,dagsoorttabel1,2,FALSE))-catfd_1_ZSHV_51)/catpn_1_ZSHB_1+catfd_1_ZSHV_51/catpn_1_ZSHV_51),0)</f>
        <v>0</v>
      </c>
      <c r="H90" s="67">
        <f>IF(AND(catpn_1_ZSHB_1&gt;0,catpn_1_ZSHV_51&gt;0),(catdw_1_ZSHB_1*((dagenperjaar1-VLOOKUP(B90,dagsoorttabel1,2,FALSE))-catfd_1_ZSHV_51)/catpn_1_ZSHB_1+catdw_1_ZSHV_51*catfd_1_ZSHV_51/catpn_1_ZSHV_51)/(((dagenperjaar1-VLOOKUP(B90,dagsoorttabel1,2,FALSE))-catfd_1_ZSHV_51)/catpn_1_ZSHB_1+catfd_1_ZSHV_51/catpn_1_ZSHV_51),0)</f>
        <v>0</v>
      </c>
      <c r="I90" s="52" t="s">
        <v>105</v>
      </c>
      <c r="J90" s="56">
        <f>IF(AND(catpn_1_ZSHB_1&gt;0,catpn_1_ZSHV_51&gt;0),(cattf_1_ZSHB_1*((dagenperjaar1*VLOOKUP(B90,dagsoorttabel1,2,FALSE))-catfd_1_ZSHV_51)/catpn_1_ZSHB_1+cattf_1_ZSHV_51*catfd_1_ZSHV_51/catpn_1_ZSHV_51)/(((dagenperjaar1*VLOOKUP(B90,dagsoorttabel1,2,FALSE))-catfd_1_ZSHV_51)/catpn_1_ZSHB_1+catfd_1_ZSHV_51/catpn_1_ZSHV_51),0)</f>
        <v>0</v>
      </c>
      <c r="K90" s="65">
        <f>IF(OR(ISBLANK(G90),G90=0),0,F90/ROUND(G90,4))</f>
        <v>0</v>
      </c>
      <c r="L90" s="56">
        <f>ROUND(J90,2)*K90</f>
        <v>0</v>
      </c>
      <c r="M90" s="65">
        <f>K90*dagenperjaar1</f>
        <v>0</v>
      </c>
      <c r="N90" s="56">
        <f>M90*ROUND(J90,2)</f>
        <v>0</v>
      </c>
    </row>
    <row r="91" spans="1:14" x14ac:dyDescent="0.2">
      <c r="A91" s="52" t="s">
        <v>342</v>
      </c>
      <c r="B91" s="52" t="s">
        <v>21</v>
      </c>
      <c r="C91" s="52" t="s">
        <v>255</v>
      </c>
      <c r="D91" s="52" t="s">
        <v>343</v>
      </c>
      <c r="E91" s="65">
        <v>61</v>
      </c>
      <c r="F91" s="65">
        <f>E91*VLOOKUP(B91,dagsoorttabel1,2,FALSE)</f>
        <v>12.200000000000001</v>
      </c>
      <c r="G91" s="66">
        <f>IF(AND(catpn_1_ZSHB_1&gt;0,catpn_1_ZSHV_51&gt;0),(dagenperjaar1*VLOOKUP(B91,dagsoorttabel1,2,FALSE))/(((dagenperjaar1*VLOOKUP(B91,dagsoorttabel1,2,FALSE))-catfd_1_ZSHV_51)/catpn_1_ZSHB_1+catfd_1_ZSHV_51/catpn_1_ZSHV_51),0)</f>
        <v>0</v>
      </c>
      <c r="H91" s="67">
        <f>IF(AND(catpn_1_ZSHB_1&gt;0,catpn_1_ZSHV_51&gt;0),(catdw_1_ZSHB_1*((dagenperjaar1-VLOOKUP(B91,dagsoorttabel1,2,FALSE))-catfd_1_ZSHV_51)/catpn_1_ZSHB_1+catdw_1_ZSHV_51*catfd_1_ZSHV_51/catpn_1_ZSHV_51)/(((dagenperjaar1-VLOOKUP(B91,dagsoorttabel1,2,FALSE))-catfd_1_ZSHV_51)/catpn_1_ZSHB_1+catfd_1_ZSHV_51/catpn_1_ZSHV_51),0)</f>
        <v>0</v>
      </c>
      <c r="I91" s="52" t="s">
        <v>105</v>
      </c>
      <c r="J91" s="56">
        <f>IF(AND(catpn_1_ZSHB_1&gt;0,catpn_1_ZSHV_51&gt;0),(cattf_1_ZSHB_1*((dagenperjaar1*VLOOKUP(B91,dagsoorttabel1,2,FALSE))-catfd_1_ZSHV_51)/catpn_1_ZSHB_1+cattf_1_ZSHV_51*catfd_1_ZSHV_51/catpn_1_ZSHV_51)/(((dagenperjaar1*VLOOKUP(B91,dagsoorttabel1,2,FALSE))-catfd_1_ZSHV_51)/catpn_1_ZSHB_1+catfd_1_ZSHV_51/catpn_1_ZSHV_51),0)</f>
        <v>0</v>
      </c>
      <c r="K91" s="65">
        <f>IF(OR(ISBLANK(G91),G91=0),0,F91/ROUND(G91,4))</f>
        <v>0</v>
      </c>
      <c r="L91" s="56">
        <f>ROUND(J91,2)*K91</f>
        <v>0</v>
      </c>
      <c r="M91" s="65">
        <f>K91*dagenperjaar1</f>
        <v>0</v>
      </c>
      <c r="N91" s="56">
        <f>M91*ROUND(J91,2)</f>
        <v>0</v>
      </c>
    </row>
    <row r="92" spans="1:14" x14ac:dyDescent="0.2">
      <c r="A92" s="52" t="s">
        <v>344</v>
      </c>
      <c r="B92" s="52" t="s">
        <v>10</v>
      </c>
      <c r="C92" s="52" t="s">
        <v>255</v>
      </c>
      <c r="D92" s="52" t="s">
        <v>345</v>
      </c>
      <c r="E92" s="65">
        <v>59.039999999999992</v>
      </c>
      <c r="F92" s="65">
        <f>E92*VLOOKUP(B92,dagsoorttabel1,2,FALSE)</f>
        <v>59.039999999999992</v>
      </c>
      <c r="G92" s="66">
        <f>catpn_1_ZSHB_1</f>
        <v>0</v>
      </c>
      <c r="H92" s="67">
        <f>catdw_1_ZSHB_1</f>
        <v>0</v>
      </c>
      <c r="I92" s="52" t="s">
        <v>105</v>
      </c>
      <c r="J92" s="56">
        <f>cattf_1_ZSHB_1</f>
        <v>0</v>
      </c>
      <c r="K92" s="65">
        <f>IF(OR(ISBLANK(G92),G92=0),0,F92/ROUND(G92,4))</f>
        <v>0</v>
      </c>
      <c r="L92" s="56">
        <f>ROUND(J92,2)*K92</f>
        <v>0</v>
      </c>
      <c r="M92" s="65">
        <f>K92*dagenperjaar1</f>
        <v>0</v>
      </c>
      <c r="N92" s="56">
        <f>M92*ROUND(J92,2)</f>
        <v>0</v>
      </c>
    </row>
    <row r="93" spans="1:14" x14ac:dyDescent="0.2">
      <c r="A93" s="52" t="s">
        <v>346</v>
      </c>
      <c r="B93" s="52" t="s">
        <v>10</v>
      </c>
      <c r="C93" s="52" t="s">
        <v>255</v>
      </c>
      <c r="D93" s="52" t="s">
        <v>347</v>
      </c>
      <c r="E93" s="65">
        <v>290.15999999999997</v>
      </c>
      <c r="F93" s="65">
        <f>E93*VLOOKUP(B93,dagsoorttabel1,2,FALSE)</f>
        <v>290.15999999999997</v>
      </c>
      <c r="G93" s="66">
        <f>IF(AND(catpn_1_ZVHB_1&gt;0,catpn_1_ZVHV_51&gt;0),(dagenperjaar1*VLOOKUP(B93,dagsoorttabel1,2,FALSE))/(((dagenperjaar1*VLOOKUP(B93,dagsoorttabel1,2,FALSE))-catfd_1_ZVHV_51)/catpn_1_ZVHB_1+catfd_1_ZVHV_51/catpn_1_ZVHV_51),0)</f>
        <v>0</v>
      </c>
      <c r="H93" s="67">
        <f>IF(AND(catpn_1_ZVHB_1&gt;0,catpn_1_ZVHV_51&gt;0),(catdw_1_ZVHB_1*((dagenperjaar1-VLOOKUP(B93,dagsoorttabel1,2,FALSE))-catfd_1_ZVHV_51)/catpn_1_ZVHB_1+catdw_1_ZVHV_51*catfd_1_ZVHV_51/catpn_1_ZVHV_51)/(((dagenperjaar1-VLOOKUP(B93,dagsoorttabel1,2,FALSE))-catfd_1_ZVHV_51)/catpn_1_ZVHB_1+catfd_1_ZVHV_51/catpn_1_ZVHV_51),0)</f>
        <v>0</v>
      </c>
      <c r="I93" s="52" t="s">
        <v>105</v>
      </c>
      <c r="J93" s="56">
        <f>IF(AND(catpn_1_ZVHB_1&gt;0,catpn_1_ZVHV_51&gt;0),(cattf_1_ZVHB_1*((dagenperjaar1*VLOOKUP(B93,dagsoorttabel1,2,FALSE))-catfd_1_ZVHV_51)/catpn_1_ZVHB_1+cattf_1_ZVHV_51*catfd_1_ZVHV_51/catpn_1_ZVHV_51)/(((dagenperjaar1*VLOOKUP(B93,dagsoorttabel1,2,FALSE))-catfd_1_ZVHV_51)/catpn_1_ZVHB_1+catfd_1_ZVHV_51/catpn_1_ZVHV_51),0)</f>
        <v>0</v>
      </c>
      <c r="K93" s="65">
        <f>IF(OR(ISBLANK(G93),G93=0),0,F93/ROUND(G93,4))</f>
        <v>0</v>
      </c>
      <c r="L93" s="56">
        <f>ROUND(J93,2)*K93</f>
        <v>0</v>
      </c>
      <c r="M93" s="65">
        <f>K93*dagenperjaar1</f>
        <v>0</v>
      </c>
      <c r="N93" s="56">
        <f>M93*ROUND(J93,2)</f>
        <v>0</v>
      </c>
    </row>
    <row r="94" spans="1:14" x14ac:dyDescent="0.2">
      <c r="A94" s="52" t="s">
        <v>346</v>
      </c>
      <c r="B94" s="52" t="s">
        <v>21</v>
      </c>
      <c r="C94" s="52" t="s">
        <v>255</v>
      </c>
      <c r="D94" s="52" t="s">
        <v>347</v>
      </c>
      <c r="E94" s="65">
        <v>295</v>
      </c>
      <c r="F94" s="65">
        <f>E94*VLOOKUP(B94,dagsoorttabel1,2,FALSE)</f>
        <v>59</v>
      </c>
      <c r="G94" s="66">
        <f>IF(AND(catpn_1_ZVHB_1&gt;0,catpn_1_ZVHV_51&gt;0),(dagenperjaar1*VLOOKUP(B94,dagsoorttabel1,2,FALSE))/(((dagenperjaar1*VLOOKUP(B94,dagsoorttabel1,2,FALSE))-catfd_1_ZVHV_51)/catpn_1_ZVHB_1+catfd_1_ZVHV_51/catpn_1_ZVHV_51),0)</f>
        <v>0</v>
      </c>
      <c r="H94" s="67">
        <f>IF(AND(catpn_1_ZVHB_1&gt;0,catpn_1_ZVHV_51&gt;0),(catdw_1_ZVHB_1*((dagenperjaar1-VLOOKUP(B94,dagsoorttabel1,2,FALSE))-catfd_1_ZVHV_51)/catpn_1_ZVHB_1+catdw_1_ZVHV_51*catfd_1_ZVHV_51/catpn_1_ZVHV_51)/(((dagenperjaar1-VLOOKUP(B94,dagsoorttabel1,2,FALSE))-catfd_1_ZVHV_51)/catpn_1_ZVHB_1+catfd_1_ZVHV_51/catpn_1_ZVHV_51),0)</f>
        <v>0</v>
      </c>
      <c r="I94" s="52" t="s">
        <v>105</v>
      </c>
      <c r="J94" s="56">
        <f>IF(AND(catpn_1_ZVHB_1&gt;0,catpn_1_ZVHV_51&gt;0),(cattf_1_ZVHB_1*((dagenperjaar1*VLOOKUP(B94,dagsoorttabel1,2,FALSE))-catfd_1_ZVHV_51)/catpn_1_ZVHB_1+cattf_1_ZVHV_51*catfd_1_ZVHV_51/catpn_1_ZVHV_51)/(((dagenperjaar1*VLOOKUP(B94,dagsoorttabel1,2,FALSE))-catfd_1_ZVHV_51)/catpn_1_ZVHB_1+catfd_1_ZVHV_51/catpn_1_ZVHV_51),0)</f>
        <v>0</v>
      </c>
      <c r="K94" s="65">
        <f>IF(OR(ISBLANK(G94),G94=0),0,F94/ROUND(G94,4))</f>
        <v>0</v>
      </c>
      <c r="L94" s="56">
        <f>ROUND(J94,2)*K94</f>
        <v>0</v>
      </c>
      <c r="M94" s="65">
        <f>K94*dagenperjaar1</f>
        <v>0</v>
      </c>
      <c r="N94" s="56">
        <f>M94*ROUND(J94,2)</f>
        <v>0</v>
      </c>
    </row>
    <row r="95" spans="1:14" x14ac:dyDescent="0.2">
      <c r="A95" s="52" t="s">
        <v>348</v>
      </c>
      <c r="B95" s="52" t="s">
        <v>10</v>
      </c>
      <c r="C95" s="52" t="s">
        <v>255</v>
      </c>
      <c r="D95" s="52" t="s">
        <v>349</v>
      </c>
      <c r="E95" s="65">
        <v>264.02</v>
      </c>
      <c r="F95" s="65">
        <f>E95*VLOOKUP(B95,dagsoorttabel1,2,FALSE)</f>
        <v>264.02</v>
      </c>
      <c r="G95" s="66">
        <f>catpn_1_ZVHB_1</f>
        <v>0</v>
      </c>
      <c r="H95" s="67">
        <f>catdw_1_ZVHB_1</f>
        <v>0</v>
      </c>
      <c r="I95" s="52" t="s">
        <v>105</v>
      </c>
      <c r="J95" s="56">
        <f>cattf_1_ZVHB_1</f>
        <v>0</v>
      </c>
      <c r="K95" s="65">
        <f>IF(OR(ISBLANK(G95),G95=0),0,F95/ROUND(G95,4))</f>
        <v>0</v>
      </c>
      <c r="L95" s="56">
        <f>ROUND(J95,2)*K95</f>
        <v>0</v>
      </c>
      <c r="M95" s="65">
        <f>K95*dagenperjaar1</f>
        <v>0</v>
      </c>
      <c r="N95" s="56">
        <f>M95*ROUND(J95,2)</f>
        <v>0</v>
      </c>
    </row>
    <row r="96" spans="1:14" x14ac:dyDescent="0.2">
      <c r="A96" s="52" t="s">
        <v>350</v>
      </c>
      <c r="B96" s="52" t="s">
        <v>26</v>
      </c>
      <c r="C96" s="52" t="s">
        <v>255</v>
      </c>
      <c r="D96" s="52" t="s">
        <v>351</v>
      </c>
      <c r="E96" s="65">
        <v>1330</v>
      </c>
      <c r="F96" s="65">
        <f>E96*VLOOKUP(B96,dagsoorttabel1,2,FALSE)</f>
        <v>41.725490196078432</v>
      </c>
      <c r="G96" s="68"/>
      <c r="H96" s="55"/>
      <c r="I96" s="52" t="s">
        <v>105</v>
      </c>
      <c r="J96" s="56">
        <f>Tariefopbouw1</f>
        <v>0</v>
      </c>
      <c r="K96" s="65">
        <f>IF(OR(ISBLANK(G96),G96=0),0,F96/ROUND(G96,4))</f>
        <v>0</v>
      </c>
      <c r="L96" s="56">
        <f>ROUND(J96,2)*K96</f>
        <v>0</v>
      </c>
      <c r="M96" s="65">
        <f>K96*dagenperjaar1</f>
        <v>0</v>
      </c>
      <c r="N96" s="56">
        <f>M96*ROUND(J96,2)</f>
        <v>0</v>
      </c>
    </row>
    <row r="97" spans="1:14" x14ac:dyDescent="0.2">
      <c r="A97" s="52" t="s">
        <v>350</v>
      </c>
      <c r="B97" s="52" t="s">
        <v>25</v>
      </c>
      <c r="C97" s="52" t="s">
        <v>352</v>
      </c>
      <c r="D97" s="52" t="s">
        <v>351</v>
      </c>
      <c r="E97" s="65">
        <v>1294.3</v>
      </c>
      <c r="F97" s="65">
        <f>E97*VLOOKUP(B97,dagsoorttabel1,2,FALSE)</f>
        <v>50.75686274509804</v>
      </c>
      <c r="G97" s="68"/>
      <c r="H97" s="55"/>
      <c r="I97" s="52" t="s">
        <v>105</v>
      </c>
      <c r="J97" s="56">
        <f>Tariefopbouw1</f>
        <v>0</v>
      </c>
      <c r="K97" s="65">
        <f>IF(OR(ISBLANK(G97),G97=0),0,F97/ROUND(G97,4))</f>
        <v>0</v>
      </c>
      <c r="L97" s="56">
        <f>ROUND(J97,2)*K97</f>
        <v>0</v>
      </c>
      <c r="M97" s="65">
        <f>K97*dagenperjaar1</f>
        <v>0</v>
      </c>
      <c r="N97" s="56">
        <f>M97*ROUND(J97,2)</f>
        <v>0</v>
      </c>
    </row>
    <row r="98" spans="1:14" x14ac:dyDescent="0.2">
      <c r="A98" s="52" t="s">
        <v>350</v>
      </c>
      <c r="B98" s="52" t="s">
        <v>26</v>
      </c>
      <c r="C98" s="52" t="s">
        <v>352</v>
      </c>
      <c r="D98" s="52" t="s">
        <v>351</v>
      </c>
      <c r="E98" s="65">
        <v>2077.3000000000002</v>
      </c>
      <c r="F98" s="65">
        <f>E98*VLOOKUP(B98,dagsoorttabel1,2,FALSE)</f>
        <v>65.170196078431374</v>
      </c>
      <c r="G98" s="68"/>
      <c r="H98" s="55"/>
      <c r="I98" s="52" t="s">
        <v>105</v>
      </c>
      <c r="J98" s="56">
        <f>Tariefopbouw1</f>
        <v>0</v>
      </c>
      <c r="K98" s="65">
        <f>IF(OR(ISBLANK(G98),G98=0),0,F98/ROUND(G98,4))</f>
        <v>0</v>
      </c>
      <c r="L98" s="56">
        <f>ROUND(J98,2)*K98</f>
        <v>0</v>
      </c>
      <c r="M98" s="65">
        <f>K98*dagenperjaar1</f>
        <v>0</v>
      </c>
      <c r="N98" s="56">
        <f>M98*ROUND(J98,2)</f>
        <v>0</v>
      </c>
    </row>
    <row r="99" spans="1:14" x14ac:dyDescent="0.2">
      <c r="A99" s="52" t="s">
        <v>353</v>
      </c>
      <c r="B99" s="52" t="s">
        <v>10</v>
      </c>
      <c r="C99" s="52" t="s">
        <v>354</v>
      </c>
      <c r="D99" s="52" t="s">
        <v>355</v>
      </c>
      <c r="E99" s="65">
        <v>3</v>
      </c>
      <c r="F99" s="65">
        <f>E99*VLOOKUP(B99,dagsoorttabel1,2,FALSE)</f>
        <v>3</v>
      </c>
      <c r="G99" s="66"/>
      <c r="H99" s="67"/>
      <c r="I99" s="52" t="s">
        <v>356</v>
      </c>
      <c r="J99" s="56">
        <f>Tariefopbouw1</f>
        <v>0</v>
      </c>
      <c r="K99" s="65">
        <f>F99</f>
        <v>3</v>
      </c>
      <c r="L99" s="56">
        <f>ROUND(J99,2)*K99</f>
        <v>0</v>
      </c>
      <c r="M99" s="65">
        <f>K99*dagenperjaar1</f>
        <v>765</v>
      </c>
      <c r="N99" s="56">
        <f>M99*ROUND(J99,2)</f>
        <v>0</v>
      </c>
    </row>
    <row r="100" spans="1:14" x14ac:dyDescent="0.2">
      <c r="A100" s="57" t="s">
        <v>357</v>
      </c>
      <c r="B100" s="57" t="s">
        <v>10</v>
      </c>
      <c r="C100" s="57" t="s">
        <v>354</v>
      </c>
      <c r="D100" s="57" t="s">
        <v>358</v>
      </c>
      <c r="E100" s="69">
        <v>6</v>
      </c>
      <c r="F100" s="69">
        <f>E100*VLOOKUP(B100,dagsoorttabel1,2,FALSE)</f>
        <v>6</v>
      </c>
      <c r="G100" s="70"/>
      <c r="H100" s="60"/>
      <c r="I100" s="57" t="s">
        <v>359</v>
      </c>
      <c r="J100" s="61">
        <f>Tariefopbouw1</f>
        <v>0</v>
      </c>
      <c r="K100" s="69">
        <f>F100*ROUND(G100,4)/60</f>
        <v>0</v>
      </c>
      <c r="L100" s="61">
        <f>ROUND(J100,2)*K100</f>
        <v>0</v>
      </c>
      <c r="M100" s="69">
        <f>K100*dagenperjaar1</f>
        <v>0</v>
      </c>
      <c r="N100" s="61">
        <f>M100*ROUND(J100,2)</f>
        <v>0</v>
      </c>
    </row>
    <row r="101" spans="1:14" x14ac:dyDescent="0.2">
      <c r="A101" s="72" t="s">
        <v>360</v>
      </c>
      <c r="B101" s="73"/>
      <c r="C101" s="73"/>
      <c r="D101" s="73"/>
      <c r="E101" s="73"/>
      <c r="F101" s="73"/>
      <c r="G101" s="73"/>
      <c r="H101" s="73"/>
      <c r="I101" s="73"/>
      <c r="J101" s="73"/>
      <c r="K101" s="74">
        <f>SUM(K6:K100)</f>
        <v>3</v>
      </c>
      <c r="L101" s="75">
        <f>SUM(L6:L100)</f>
        <v>0</v>
      </c>
      <c r="M101" s="74">
        <f>SUM(M6:M100)</f>
        <v>765</v>
      </c>
      <c r="N101" s="76">
        <f>SUM(N6:N100)</f>
        <v>0</v>
      </c>
    </row>
    <row r="102" spans="1:14" x14ac:dyDescent="0.2">
      <c r="A102" s="77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8"/>
    </row>
    <row r="103" spans="1:14" x14ac:dyDescent="0.2">
      <c r="A103" s="72" t="s">
        <v>361</v>
      </c>
      <c r="B103" s="73"/>
      <c r="C103" s="73"/>
      <c r="D103" s="73"/>
      <c r="E103" s="73"/>
      <c r="F103" s="73"/>
      <c r="G103" s="73"/>
      <c r="H103" s="73"/>
      <c r="I103" s="73"/>
      <c r="J103" s="75">
        <f>IF(urenjaar1&gt;0,SUMIF(M6:M100,"&gt;0",N6:N100)/urenjaar1,0)</f>
        <v>0</v>
      </c>
      <c r="K103" s="73"/>
      <c r="L103" s="73"/>
      <c r="M103" s="73"/>
      <c r="N103" s="78"/>
    </row>
    <row r="104" spans="1:14" x14ac:dyDescent="0.2">
      <c r="A104" s="77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8"/>
    </row>
    <row r="105" spans="1:14" x14ac:dyDescent="0.2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3"/>
    </row>
    <row r="106" spans="1:14" x14ac:dyDescent="0.2">
      <c r="A106" s="44" t="s">
        <v>231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6"/>
    </row>
    <row r="107" spans="1:14" x14ac:dyDescent="0.2">
      <c r="A107" s="47" t="s">
        <v>362</v>
      </c>
      <c r="B107" s="47" t="s">
        <v>18</v>
      </c>
      <c r="C107" s="47" t="s">
        <v>255</v>
      </c>
      <c r="D107" s="47" t="s">
        <v>271</v>
      </c>
      <c r="E107" s="62">
        <v>176.46</v>
      </c>
      <c r="F107" s="62">
        <f>E107*VLOOKUP(B107,dagsoorttabel3,2,FALSE)</f>
        <v>176.46</v>
      </c>
      <c r="G107" s="63">
        <f>catpn_3_WEHB_1</f>
        <v>0</v>
      </c>
      <c r="H107" s="64">
        <f>catdw_3_WEHB_1</f>
        <v>0</v>
      </c>
      <c r="I107" s="47" t="s">
        <v>105</v>
      </c>
      <c r="J107" s="51">
        <f>cattf_3_WEHB_1</f>
        <v>0</v>
      </c>
      <c r="K107" s="62">
        <f>IF(OR(ISBLANK(G107),G107=0),0,F107/ROUND(G107,4))</f>
        <v>0</v>
      </c>
      <c r="L107" s="51">
        <f>ROUND(J107,2)*K107</f>
        <v>0</v>
      </c>
      <c r="M107" s="62">
        <f>K107*dagenperjaar3</f>
        <v>0</v>
      </c>
      <c r="N107" s="51">
        <f>M107*ROUND(J107,2)</f>
        <v>0</v>
      </c>
    </row>
    <row r="108" spans="1:14" x14ac:dyDescent="0.2">
      <c r="A108" s="52" t="s">
        <v>363</v>
      </c>
      <c r="B108" s="52" t="s">
        <v>18</v>
      </c>
      <c r="C108" s="52" t="s">
        <v>255</v>
      </c>
      <c r="D108" s="52" t="s">
        <v>305</v>
      </c>
      <c r="E108" s="65">
        <v>64.330000000000013</v>
      </c>
      <c r="F108" s="65">
        <f>E108*VLOOKUP(B108,dagsoorttabel3,2,FALSE)</f>
        <v>64.330000000000013</v>
      </c>
      <c r="G108" s="66">
        <f>catpn_3_WSHB_1</f>
        <v>0</v>
      </c>
      <c r="H108" s="67">
        <f>catdw_3_WSHB_1</f>
        <v>0</v>
      </c>
      <c r="I108" s="52" t="s">
        <v>105</v>
      </c>
      <c r="J108" s="56">
        <f>cattf_3_WSHB_1</f>
        <v>0</v>
      </c>
      <c r="K108" s="65">
        <f>IF(OR(ISBLANK(G108),G108=0),0,F108/ROUND(G108,4))</f>
        <v>0</v>
      </c>
      <c r="L108" s="56">
        <f>ROUND(J108,2)*K108</f>
        <v>0</v>
      </c>
      <c r="M108" s="65">
        <f>K108*dagenperjaar3</f>
        <v>0</v>
      </c>
      <c r="N108" s="56">
        <f>M108*ROUND(J108,2)</f>
        <v>0</v>
      </c>
    </row>
    <row r="109" spans="1:14" x14ac:dyDescent="0.2">
      <c r="A109" s="52" t="s">
        <v>364</v>
      </c>
      <c r="B109" s="52" t="s">
        <v>18</v>
      </c>
      <c r="C109" s="52" t="s">
        <v>255</v>
      </c>
      <c r="D109" s="52" t="s">
        <v>365</v>
      </c>
      <c r="E109" s="65">
        <v>53.97</v>
      </c>
      <c r="F109" s="65">
        <f>E109*VLOOKUP(B109,dagsoorttabel3,2,FALSE)</f>
        <v>53.97</v>
      </c>
      <c r="G109" s="66">
        <f>catpn_3_WSHB_1</f>
        <v>0</v>
      </c>
      <c r="H109" s="67">
        <f>catdw_3_WSHB_1</f>
        <v>0</v>
      </c>
      <c r="I109" s="52" t="s">
        <v>105</v>
      </c>
      <c r="J109" s="56">
        <f>cattf_3_WSHB_1</f>
        <v>0</v>
      </c>
      <c r="K109" s="65">
        <f>IF(OR(ISBLANK(G109),G109=0),0,F109/ROUND(G109,4))</f>
        <v>0</v>
      </c>
      <c r="L109" s="56">
        <f>ROUND(J109,2)*K109</f>
        <v>0</v>
      </c>
      <c r="M109" s="65">
        <f>K109*dagenperjaar3</f>
        <v>0</v>
      </c>
      <c r="N109" s="56">
        <f>M109*ROUND(J109,2)</f>
        <v>0</v>
      </c>
    </row>
    <row r="110" spans="1:14" x14ac:dyDescent="0.2">
      <c r="A110" s="52" t="s">
        <v>366</v>
      </c>
      <c r="B110" s="52" t="s">
        <v>18</v>
      </c>
      <c r="C110" s="52" t="s">
        <v>255</v>
      </c>
      <c r="D110" s="52" t="s">
        <v>309</v>
      </c>
      <c r="E110" s="65">
        <v>18.02</v>
      </c>
      <c r="F110" s="65">
        <f>E110*VLOOKUP(B110,dagsoorttabel3,2,FALSE)</f>
        <v>18.02</v>
      </c>
      <c r="G110" s="66">
        <f>catpn_3_WTHB_1</f>
        <v>0</v>
      </c>
      <c r="H110" s="67">
        <f>catdw_3_WTHB_1</f>
        <v>0</v>
      </c>
      <c r="I110" s="52" t="s">
        <v>105</v>
      </c>
      <c r="J110" s="56">
        <f>cattf_3_WTHB_1</f>
        <v>0</v>
      </c>
      <c r="K110" s="65">
        <f>IF(OR(ISBLANK(G110),G110=0),0,F110/ROUND(G110,4))</f>
        <v>0</v>
      </c>
      <c r="L110" s="56">
        <f>ROUND(J110,2)*K110</f>
        <v>0</v>
      </c>
      <c r="M110" s="65">
        <f>K110*dagenperjaar3</f>
        <v>0</v>
      </c>
      <c r="N110" s="56">
        <f>M110*ROUND(J110,2)</f>
        <v>0</v>
      </c>
    </row>
    <row r="111" spans="1:14" x14ac:dyDescent="0.2">
      <c r="A111" s="52" t="s">
        <v>367</v>
      </c>
      <c r="B111" s="52" t="s">
        <v>18</v>
      </c>
      <c r="C111" s="52" t="s">
        <v>255</v>
      </c>
      <c r="D111" s="52" t="s">
        <v>368</v>
      </c>
      <c r="E111" s="65">
        <v>25.32</v>
      </c>
      <c r="F111" s="65">
        <f>E111*VLOOKUP(B111,dagsoorttabel3,2,FALSE)</f>
        <v>25.32</v>
      </c>
      <c r="G111" s="66">
        <f>catpn_3_WVZB_1</f>
        <v>0</v>
      </c>
      <c r="H111" s="67">
        <f>catdw_3_WVZB_1</f>
        <v>0</v>
      </c>
      <c r="I111" s="52" t="s">
        <v>105</v>
      </c>
      <c r="J111" s="56">
        <f>cattf_3_WVZB_1</f>
        <v>0</v>
      </c>
      <c r="K111" s="65">
        <f>IF(OR(ISBLANK(G111),G111=0),0,F111/ROUND(G111,4))</f>
        <v>0</v>
      </c>
      <c r="L111" s="56">
        <f>ROUND(J111,2)*K111</f>
        <v>0</v>
      </c>
      <c r="M111" s="65">
        <f>K111*dagenperjaar3</f>
        <v>0</v>
      </c>
      <c r="N111" s="56">
        <f>M111*ROUND(J111,2)</f>
        <v>0</v>
      </c>
    </row>
    <row r="112" spans="1:14" x14ac:dyDescent="0.2">
      <c r="A112" s="52" t="s">
        <v>369</v>
      </c>
      <c r="B112" s="52" t="s">
        <v>18</v>
      </c>
      <c r="C112" s="52" t="s">
        <v>255</v>
      </c>
      <c r="D112" s="52" t="s">
        <v>323</v>
      </c>
      <c r="E112" s="65">
        <v>73.89</v>
      </c>
      <c r="F112" s="65">
        <f>E112*VLOOKUP(B112,dagsoorttabel3,2,FALSE)</f>
        <v>73.89</v>
      </c>
      <c r="G112" s="66">
        <f>catpn_3_WDHB_1</f>
        <v>0</v>
      </c>
      <c r="H112" s="67">
        <f>catdw_3_WDHB_1</f>
        <v>0</v>
      </c>
      <c r="I112" s="52" t="s">
        <v>105</v>
      </c>
      <c r="J112" s="56">
        <f>cattf_3_WDHB_1</f>
        <v>0</v>
      </c>
      <c r="K112" s="65">
        <f>IF(OR(ISBLANK(G112),G112=0),0,F112/ROUND(G112,4))</f>
        <v>0</v>
      </c>
      <c r="L112" s="56">
        <f>ROUND(J112,2)*K112</f>
        <v>0</v>
      </c>
      <c r="M112" s="65">
        <f>K112*dagenperjaar3</f>
        <v>0</v>
      </c>
      <c r="N112" s="56">
        <f>M112*ROUND(J112,2)</f>
        <v>0</v>
      </c>
    </row>
    <row r="113" spans="1:14" x14ac:dyDescent="0.2">
      <c r="A113" s="52" t="s">
        <v>370</v>
      </c>
      <c r="B113" s="52" t="s">
        <v>18</v>
      </c>
      <c r="C113" s="52" t="s">
        <v>255</v>
      </c>
      <c r="D113" s="52" t="s">
        <v>325</v>
      </c>
      <c r="E113" s="65">
        <v>46.46</v>
      </c>
      <c r="F113" s="65">
        <f>E113*VLOOKUP(B113,dagsoorttabel3,2,FALSE)</f>
        <v>46.46</v>
      </c>
      <c r="G113" s="66">
        <f>catpn_3_WZEHB_1</f>
        <v>0</v>
      </c>
      <c r="H113" s="67">
        <f>catdw_3_WZEHB_1</f>
        <v>0</v>
      </c>
      <c r="I113" s="52" t="s">
        <v>105</v>
      </c>
      <c r="J113" s="56">
        <f>cattf_3_WZEHB_1</f>
        <v>0</v>
      </c>
      <c r="K113" s="65">
        <f>IF(OR(ISBLANK(G113),G113=0),0,F113/ROUND(G113,4))</f>
        <v>0</v>
      </c>
      <c r="L113" s="56">
        <f>ROUND(J113,2)*K113</f>
        <v>0</v>
      </c>
      <c r="M113" s="65">
        <f>K113*dagenperjaar3</f>
        <v>0</v>
      </c>
      <c r="N113" s="56">
        <f>M113*ROUND(J113,2)</f>
        <v>0</v>
      </c>
    </row>
    <row r="114" spans="1:14" x14ac:dyDescent="0.2">
      <c r="A114" s="52" t="s">
        <v>371</v>
      </c>
      <c r="B114" s="52" t="s">
        <v>18</v>
      </c>
      <c r="C114" s="52" t="s">
        <v>255</v>
      </c>
      <c r="D114" s="52" t="s">
        <v>327</v>
      </c>
      <c r="E114" s="65">
        <v>46.46</v>
      </c>
      <c r="F114" s="65">
        <f>E114*VLOOKUP(B114,dagsoorttabel3,2,FALSE)</f>
        <v>46.46</v>
      </c>
      <c r="G114" s="66">
        <f>catpn_3_WZEHB_1</f>
        <v>0</v>
      </c>
      <c r="H114" s="67">
        <f>catdw_3_WZEHB_1</f>
        <v>0</v>
      </c>
      <c r="I114" s="52" t="s">
        <v>105</v>
      </c>
      <c r="J114" s="56">
        <f>cattf_3_WZEHB_1</f>
        <v>0</v>
      </c>
      <c r="K114" s="65">
        <f>IF(OR(ISBLANK(G114),G114=0),0,F114/ROUND(G114,4))</f>
        <v>0</v>
      </c>
      <c r="L114" s="56">
        <f>ROUND(J114,2)*K114</f>
        <v>0</v>
      </c>
      <c r="M114" s="65">
        <f>K114*dagenperjaar3</f>
        <v>0</v>
      </c>
      <c r="N114" s="56">
        <f>M114*ROUND(J114,2)</f>
        <v>0</v>
      </c>
    </row>
    <row r="115" spans="1:14" x14ac:dyDescent="0.2">
      <c r="A115" s="52" t="s">
        <v>372</v>
      </c>
      <c r="B115" s="52" t="s">
        <v>18</v>
      </c>
      <c r="C115" s="52" t="s">
        <v>255</v>
      </c>
      <c r="D115" s="52" t="s">
        <v>331</v>
      </c>
      <c r="E115" s="65">
        <v>373.22</v>
      </c>
      <c r="F115" s="65">
        <f>E115*VLOOKUP(B115,dagsoorttabel3,2,FALSE)</f>
        <v>373.22</v>
      </c>
      <c r="G115" s="66">
        <f>catpn_3_WZKHB_1</f>
        <v>0</v>
      </c>
      <c r="H115" s="67">
        <f>catdw_3_WZKHB_1</f>
        <v>0</v>
      </c>
      <c r="I115" s="52" t="s">
        <v>105</v>
      </c>
      <c r="J115" s="56">
        <f>cattf_3_WZKHB_1</f>
        <v>0</v>
      </c>
      <c r="K115" s="65">
        <f>IF(OR(ISBLANK(G115),G115=0),0,F115/ROUND(G115,4))</f>
        <v>0</v>
      </c>
      <c r="L115" s="56">
        <f>ROUND(J115,2)*K115</f>
        <v>0</v>
      </c>
      <c r="M115" s="65">
        <f>K115*dagenperjaar3</f>
        <v>0</v>
      </c>
      <c r="N115" s="56">
        <f>M115*ROUND(J115,2)</f>
        <v>0</v>
      </c>
    </row>
    <row r="116" spans="1:14" x14ac:dyDescent="0.2">
      <c r="A116" s="52" t="s">
        <v>373</v>
      </c>
      <c r="B116" s="52" t="s">
        <v>18</v>
      </c>
      <c r="C116" s="52" t="s">
        <v>255</v>
      </c>
      <c r="D116" s="52" t="s">
        <v>333</v>
      </c>
      <c r="E116" s="65">
        <v>64.400000000000006</v>
      </c>
      <c r="F116" s="65">
        <f>E116*VLOOKUP(B116,dagsoorttabel3,2,FALSE)</f>
        <v>64.400000000000006</v>
      </c>
      <c r="G116" s="66">
        <f>catpn_3_WZKHB_1</f>
        <v>0</v>
      </c>
      <c r="H116" s="67">
        <f>catdw_3_WZKHB_1</f>
        <v>0</v>
      </c>
      <c r="I116" s="52" t="s">
        <v>105</v>
      </c>
      <c r="J116" s="56">
        <f>cattf_3_WZKHB_1</f>
        <v>0</v>
      </c>
      <c r="K116" s="65">
        <f>IF(OR(ISBLANK(G116),G116=0),0,F116/ROUND(G116,4))</f>
        <v>0</v>
      </c>
      <c r="L116" s="56">
        <f>ROUND(J116,2)*K116</f>
        <v>0</v>
      </c>
      <c r="M116" s="65">
        <f>K116*dagenperjaar3</f>
        <v>0</v>
      </c>
      <c r="N116" s="56">
        <f>M116*ROUND(J116,2)</f>
        <v>0</v>
      </c>
    </row>
    <row r="117" spans="1:14" x14ac:dyDescent="0.2">
      <c r="A117" s="52" t="s">
        <v>374</v>
      </c>
      <c r="B117" s="52" t="s">
        <v>18</v>
      </c>
      <c r="C117" s="52" t="s">
        <v>255</v>
      </c>
      <c r="D117" s="52" t="s">
        <v>343</v>
      </c>
      <c r="E117" s="65">
        <v>62.219999999999992</v>
      </c>
      <c r="F117" s="65">
        <f>E117*VLOOKUP(B117,dagsoorttabel3,2,FALSE)</f>
        <v>62.219999999999992</v>
      </c>
      <c r="G117" s="66">
        <f>catpn_3_WZSHB_1</f>
        <v>0</v>
      </c>
      <c r="H117" s="67">
        <f>catdw_3_WZSHB_1</f>
        <v>0</v>
      </c>
      <c r="I117" s="52" t="s">
        <v>105</v>
      </c>
      <c r="J117" s="56">
        <f>cattf_3_WZSHB_1</f>
        <v>0</v>
      </c>
      <c r="K117" s="65">
        <f>IF(OR(ISBLANK(G117),G117=0),0,F117/ROUND(G117,4))</f>
        <v>0</v>
      </c>
      <c r="L117" s="56">
        <f>ROUND(J117,2)*K117</f>
        <v>0</v>
      </c>
      <c r="M117" s="65">
        <f>K117*dagenperjaar3</f>
        <v>0</v>
      </c>
      <c r="N117" s="56">
        <f>M117*ROUND(J117,2)</f>
        <v>0</v>
      </c>
    </row>
    <row r="118" spans="1:14" x14ac:dyDescent="0.2">
      <c r="A118" s="52" t="s">
        <v>375</v>
      </c>
      <c r="B118" s="52" t="s">
        <v>18</v>
      </c>
      <c r="C118" s="52" t="s">
        <v>255</v>
      </c>
      <c r="D118" s="52" t="s">
        <v>376</v>
      </c>
      <c r="E118" s="65">
        <v>36.529999999999994</v>
      </c>
      <c r="F118" s="65">
        <f>E118*VLOOKUP(B118,dagsoorttabel3,2,FALSE)</f>
        <v>36.529999999999994</v>
      </c>
      <c r="G118" s="66">
        <f>catpn_3_WZSHB_1</f>
        <v>0</v>
      </c>
      <c r="H118" s="67">
        <f>catdw_3_WZSHB_1</f>
        <v>0</v>
      </c>
      <c r="I118" s="52" t="s">
        <v>105</v>
      </c>
      <c r="J118" s="56">
        <f>cattf_3_WZSHB_1</f>
        <v>0</v>
      </c>
      <c r="K118" s="65">
        <f>IF(OR(ISBLANK(G118),G118=0),0,F118/ROUND(G118,4))</f>
        <v>0</v>
      </c>
      <c r="L118" s="56">
        <f>ROUND(J118,2)*K118</f>
        <v>0</v>
      </c>
      <c r="M118" s="65">
        <f>K118*dagenperjaar3</f>
        <v>0</v>
      </c>
      <c r="N118" s="56">
        <f>M118*ROUND(J118,2)</f>
        <v>0</v>
      </c>
    </row>
    <row r="119" spans="1:14" x14ac:dyDescent="0.2">
      <c r="A119" s="52" t="s">
        <v>377</v>
      </c>
      <c r="B119" s="52" t="s">
        <v>18</v>
      </c>
      <c r="C119" s="52" t="s">
        <v>255</v>
      </c>
      <c r="D119" s="52" t="s">
        <v>347</v>
      </c>
      <c r="E119" s="65">
        <v>113.09</v>
      </c>
      <c r="F119" s="65">
        <f>E119*VLOOKUP(B119,dagsoorttabel3,2,FALSE)</f>
        <v>113.09</v>
      </c>
      <c r="G119" s="66">
        <f>catpn_3_WZVHB_1</f>
        <v>0</v>
      </c>
      <c r="H119" s="67">
        <f>catdw_3_WZVHB_1</f>
        <v>0</v>
      </c>
      <c r="I119" s="52" t="s">
        <v>105</v>
      </c>
      <c r="J119" s="56">
        <f>cattf_3_WZVHB_1</f>
        <v>0</v>
      </c>
      <c r="K119" s="65">
        <f>IF(OR(ISBLANK(G119),G119=0),0,F119/ROUND(G119,4))</f>
        <v>0</v>
      </c>
      <c r="L119" s="56">
        <f>ROUND(J119,2)*K119</f>
        <v>0</v>
      </c>
      <c r="M119" s="65">
        <f>K119*dagenperjaar3</f>
        <v>0</v>
      </c>
      <c r="N119" s="56">
        <f>M119*ROUND(J119,2)</f>
        <v>0</v>
      </c>
    </row>
    <row r="120" spans="1:14" x14ac:dyDescent="0.2">
      <c r="A120" s="57" t="s">
        <v>378</v>
      </c>
      <c r="B120" s="57" t="s">
        <v>18</v>
      </c>
      <c r="C120" s="57" t="s">
        <v>255</v>
      </c>
      <c r="D120" s="57" t="s">
        <v>349</v>
      </c>
      <c r="E120" s="69">
        <v>57.339999999999996</v>
      </c>
      <c r="F120" s="69">
        <f>E120*VLOOKUP(B120,dagsoorttabel3,2,FALSE)</f>
        <v>57.339999999999996</v>
      </c>
      <c r="G120" s="79">
        <f>catpn_3_WZVHB_1</f>
        <v>0</v>
      </c>
      <c r="H120" s="80">
        <f>catdw_3_WZVHB_1</f>
        <v>0</v>
      </c>
      <c r="I120" s="57" t="s">
        <v>105</v>
      </c>
      <c r="J120" s="61">
        <f>cattf_3_WZVHB_1</f>
        <v>0</v>
      </c>
      <c r="K120" s="69">
        <f>IF(OR(ISBLANK(G120),G120=0),0,F120/ROUND(G120,4))</f>
        <v>0</v>
      </c>
      <c r="L120" s="61">
        <f>ROUND(J120,2)*K120</f>
        <v>0</v>
      </c>
      <c r="M120" s="69">
        <f>K120*dagenperjaar3</f>
        <v>0</v>
      </c>
      <c r="N120" s="61">
        <f>M120*ROUND(J120,2)</f>
        <v>0</v>
      </c>
    </row>
    <row r="121" spans="1:14" x14ac:dyDescent="0.2">
      <c r="A121" s="72" t="s">
        <v>379</v>
      </c>
      <c r="B121" s="73"/>
      <c r="C121" s="73"/>
      <c r="D121" s="73"/>
      <c r="E121" s="73"/>
      <c r="F121" s="73"/>
      <c r="G121" s="73"/>
      <c r="H121" s="73"/>
      <c r="I121" s="73"/>
      <c r="J121" s="73"/>
      <c r="K121" s="74">
        <f>SUM(K107:K120)</f>
        <v>0</v>
      </c>
      <c r="L121" s="75">
        <f>SUM(L107:L120)</f>
        <v>0</v>
      </c>
      <c r="M121" s="74">
        <f>SUM(M107:M120)</f>
        <v>0</v>
      </c>
      <c r="N121" s="76">
        <f>SUM(N107:N120)</f>
        <v>0</v>
      </c>
    </row>
    <row r="122" spans="1:14" x14ac:dyDescent="0.2">
      <c r="A122" s="77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8"/>
    </row>
    <row r="123" spans="1:14" x14ac:dyDescent="0.2">
      <c r="A123" s="72" t="s">
        <v>380</v>
      </c>
      <c r="B123" s="73"/>
      <c r="C123" s="73"/>
      <c r="D123" s="73"/>
      <c r="E123" s="73"/>
      <c r="F123" s="73"/>
      <c r="G123" s="73"/>
      <c r="H123" s="73"/>
      <c r="I123" s="73"/>
      <c r="J123" s="75">
        <f>IF(urenjaar3&gt;0,SUMIF(M107:M120,"&gt;0",N107:N120)/urenjaar3,0)</f>
        <v>0</v>
      </c>
      <c r="K123" s="73"/>
      <c r="L123" s="73"/>
      <c r="M123" s="73"/>
      <c r="N123" s="78"/>
    </row>
    <row r="124" spans="1:14" x14ac:dyDescent="0.2">
      <c r="A124" s="77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8"/>
    </row>
    <row r="126" spans="1:14" x14ac:dyDescent="0.2">
      <c r="A126" s="72" t="s">
        <v>381</v>
      </c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4">
        <f>urenjaar1+urenjaar3</f>
        <v>765</v>
      </c>
      <c r="N126" s="75">
        <f>prijsjaar1+prijsjaar3</f>
        <v>0</v>
      </c>
    </row>
  </sheetData>
  <sheetProtection algorithmName="SHA-512" hashValue="0EAOkyylefUhALI8S9wzrJQZ0OJZvrb4l1ve7UlP1//fm+XCsnIu/tdyH0JmWIuSCYwU3lDFPqmTzNMCAy5fhw==" saltValue="VacH5YFodAabyyJVL/5oWQ==" spinCount="100000" sheet="1" objects="1" scenarios="1" autoFilter="0"/>
  <pageMargins left="0.7" right="0.7" top="0.75" bottom="0.75" header="0.3" footer="0.3"/>
  <pageSetup scale="70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F564-E880-4B4F-9E5B-3AB9C7526A76}">
  <dimension ref="A1:V1227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9" width="8.6328125" customWidth="1"/>
    <col min="10" max="10" width="12.6328125" customWidth="1"/>
    <col min="11" max="11" width="8.6328125" customWidth="1"/>
    <col min="12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2">
      <c r="A1" s="1" t="str">
        <f>CONCATENATE("Bijlage F.1.3: ",tabeltype," ruimten werkdag")</f>
        <v>Bijlage F.1.3: Invultabel ruimten werkdag</v>
      </c>
    </row>
    <row r="3" spans="1:22" ht="37.799999999999997" x14ac:dyDescent="0.2">
      <c r="A3" s="81" t="s">
        <v>382</v>
      </c>
      <c r="B3" s="40" t="s">
        <v>383</v>
      </c>
      <c r="C3" s="40" t="s">
        <v>384</v>
      </c>
      <c r="D3" s="40" t="s">
        <v>385</v>
      </c>
      <c r="E3" s="40" t="s">
        <v>386</v>
      </c>
      <c r="F3" s="40" t="s">
        <v>387</v>
      </c>
      <c r="G3" s="40" t="s">
        <v>246</v>
      </c>
      <c r="H3" s="40" t="s">
        <v>7</v>
      </c>
      <c r="I3" s="40" t="s">
        <v>388</v>
      </c>
      <c r="J3" s="40" t="s">
        <v>389</v>
      </c>
      <c r="K3" s="40" t="s">
        <v>390</v>
      </c>
      <c r="L3" s="40" t="s">
        <v>248</v>
      </c>
      <c r="M3" s="40" t="s">
        <v>249</v>
      </c>
      <c r="N3" s="40" t="s">
        <v>98</v>
      </c>
      <c r="O3" s="40" t="s">
        <v>99</v>
      </c>
      <c r="P3" s="40" t="s">
        <v>100</v>
      </c>
      <c r="Q3" s="40" t="s">
        <v>101</v>
      </c>
      <c r="R3" s="40" t="s">
        <v>250</v>
      </c>
      <c r="S3" s="40" t="s">
        <v>391</v>
      </c>
      <c r="T3" s="40" t="s">
        <v>251</v>
      </c>
      <c r="U3" s="40" t="s">
        <v>252</v>
      </c>
      <c r="V3" s="82" t="s">
        <v>253</v>
      </c>
    </row>
    <row r="4" spans="1:22" x14ac:dyDescent="0.2">
      <c r="A4" s="83" t="s">
        <v>392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71"/>
    </row>
    <row r="5" spans="1:22" x14ac:dyDescent="0.2">
      <c r="A5" s="84" t="s">
        <v>393</v>
      </c>
      <c r="B5" s="85" t="s">
        <v>47</v>
      </c>
      <c r="C5" s="85" t="s">
        <v>394</v>
      </c>
      <c r="D5" s="85" t="s">
        <v>395</v>
      </c>
      <c r="E5" s="86" t="s">
        <v>396</v>
      </c>
      <c r="F5" s="85" t="s">
        <v>397</v>
      </c>
      <c r="G5" s="85" t="s">
        <v>270</v>
      </c>
      <c r="H5" s="85" t="s">
        <v>13</v>
      </c>
      <c r="I5" s="85" t="s">
        <v>255</v>
      </c>
      <c r="J5" s="85" t="s">
        <v>47</v>
      </c>
      <c r="K5" s="85"/>
      <c r="L5" s="87">
        <v>18.399999999999999</v>
      </c>
      <c r="M5" s="87">
        <f>L5*VLOOKUP(H5,dagsoorttabel1,2,FALSE)</f>
        <v>14.431372549019606</v>
      </c>
      <c r="N5" s="88">
        <f>prodnorm43</f>
        <v>0</v>
      </c>
      <c r="O5" s="89">
        <f>dagwerk43</f>
        <v>0</v>
      </c>
      <c r="P5" s="85" t="s">
        <v>105</v>
      </c>
      <c r="Q5" s="90">
        <f>uurtarief43</f>
        <v>0</v>
      </c>
      <c r="R5" s="87" t="e">
        <f>IF(ISBLANK(N5),0,M5/ROUND(N5,4))</f>
        <v>#DIV/0!</v>
      </c>
      <c r="S5" s="87" t="e">
        <f>IF(ISBLANK(N5),0,R5*ROUND(O5,2))</f>
        <v>#DIV/0!</v>
      </c>
      <c r="T5" s="90" t="e">
        <f>ROUND(Q5,2)*R5</f>
        <v>#DIV/0!</v>
      </c>
      <c r="U5" s="87" t="e">
        <f>R5*dagenperjaar1</f>
        <v>#DIV/0!</v>
      </c>
      <c r="V5" s="91" t="e">
        <f>U5*ROUND(Q5,2)</f>
        <v>#DIV/0!</v>
      </c>
    </row>
    <row r="6" spans="1:22" x14ac:dyDescent="0.2">
      <c r="A6" s="92" t="s">
        <v>393</v>
      </c>
      <c r="B6" s="93" t="s">
        <v>47</v>
      </c>
      <c r="C6" s="93" t="s">
        <v>394</v>
      </c>
      <c r="D6" s="93" t="s">
        <v>398</v>
      </c>
      <c r="E6" s="94" t="s">
        <v>399</v>
      </c>
      <c r="F6" s="93" t="s">
        <v>397</v>
      </c>
      <c r="G6" s="93" t="s">
        <v>314</v>
      </c>
      <c r="H6" s="93" t="s">
        <v>13</v>
      </c>
      <c r="I6" s="93" t="s">
        <v>255</v>
      </c>
      <c r="J6" s="93" t="s">
        <v>47</v>
      </c>
      <c r="K6" s="93"/>
      <c r="L6" s="95">
        <v>46.3</v>
      </c>
      <c r="M6" s="95">
        <f>L6*VLOOKUP(H6,dagsoorttabel1,2,FALSE)</f>
        <v>36.313725490196077</v>
      </c>
      <c r="N6" s="96">
        <f>prodnorm88</f>
        <v>0</v>
      </c>
      <c r="O6" s="37">
        <f>dagwerk88</f>
        <v>0</v>
      </c>
      <c r="P6" s="93" t="s">
        <v>105</v>
      </c>
      <c r="Q6" s="24">
        <f>uurtarief88</f>
        <v>0</v>
      </c>
      <c r="R6" s="95" t="e">
        <f>IF(ISBLANK(N6),0,M6/ROUND(N6,4))</f>
        <v>#DIV/0!</v>
      </c>
      <c r="S6" s="95" t="e">
        <f>IF(ISBLANK(N6),0,R6*ROUND(O6,2))</f>
        <v>#DIV/0!</v>
      </c>
      <c r="T6" s="24" t="e">
        <f>ROUND(Q6,2)*R6</f>
        <v>#DIV/0!</v>
      </c>
      <c r="U6" s="95" t="e">
        <f>R6*dagenperjaar1</f>
        <v>#DIV/0!</v>
      </c>
      <c r="V6" s="25" t="e">
        <f>U6*ROUND(Q6,2)</f>
        <v>#DIV/0!</v>
      </c>
    </row>
    <row r="7" spans="1:22" x14ac:dyDescent="0.2">
      <c r="A7" s="92" t="s">
        <v>393</v>
      </c>
      <c r="B7" s="93" t="s">
        <v>47</v>
      </c>
      <c r="C7" s="93" t="s">
        <v>394</v>
      </c>
      <c r="D7" s="93" t="s">
        <v>400</v>
      </c>
      <c r="E7" s="94" t="s">
        <v>401</v>
      </c>
      <c r="F7" s="93" t="s">
        <v>397</v>
      </c>
      <c r="G7" s="93" t="s">
        <v>304</v>
      </c>
      <c r="H7" s="93" t="s">
        <v>13</v>
      </c>
      <c r="I7" s="93" t="s">
        <v>255</v>
      </c>
      <c r="J7" s="93" t="s">
        <v>47</v>
      </c>
      <c r="K7" s="93"/>
      <c r="L7" s="95">
        <v>8.25</v>
      </c>
      <c r="M7" s="95">
        <f>L7*VLOOKUP(H7,dagsoorttabel1,2,FALSE)</f>
        <v>6.4705882352941178</v>
      </c>
      <c r="N7" s="96">
        <f>prodnorm74</f>
        <v>0</v>
      </c>
      <c r="O7" s="37">
        <f>dagwerk74</f>
        <v>0</v>
      </c>
      <c r="P7" s="93" t="s">
        <v>105</v>
      </c>
      <c r="Q7" s="24">
        <f>uurtarief74</f>
        <v>0</v>
      </c>
      <c r="R7" s="95" t="e">
        <f>IF(ISBLANK(N7),0,M7/ROUND(N7,4))</f>
        <v>#DIV/0!</v>
      </c>
      <c r="S7" s="95" t="e">
        <f>IF(ISBLANK(N7),0,R7*ROUND(O7,2))</f>
        <v>#DIV/0!</v>
      </c>
      <c r="T7" s="24" t="e">
        <f>ROUND(Q7,2)*R7</f>
        <v>#DIV/0!</v>
      </c>
      <c r="U7" s="95" t="e">
        <f>R7*dagenperjaar1</f>
        <v>#DIV/0!</v>
      </c>
      <c r="V7" s="25" t="e">
        <f>U7*ROUND(Q7,2)</f>
        <v>#DIV/0!</v>
      </c>
    </row>
    <row r="8" spans="1:22" x14ac:dyDescent="0.2">
      <c r="A8" s="92" t="s">
        <v>393</v>
      </c>
      <c r="B8" s="93" t="s">
        <v>47</v>
      </c>
      <c r="C8" s="93" t="s">
        <v>394</v>
      </c>
      <c r="D8" s="93" t="s">
        <v>402</v>
      </c>
      <c r="E8" s="94" t="s">
        <v>403</v>
      </c>
      <c r="F8" s="93" t="s">
        <v>397</v>
      </c>
      <c r="G8" s="93" t="s">
        <v>314</v>
      </c>
      <c r="H8" s="93" t="s">
        <v>13</v>
      </c>
      <c r="I8" s="93" t="s">
        <v>255</v>
      </c>
      <c r="J8" s="93" t="s">
        <v>47</v>
      </c>
      <c r="K8" s="93"/>
      <c r="L8" s="95">
        <v>153.45000000000002</v>
      </c>
      <c r="M8" s="95">
        <f>L8*VLOOKUP(H8,dagsoorttabel1,2,FALSE)</f>
        <v>120.35294117647059</v>
      </c>
      <c r="N8" s="96">
        <f>prodnorm88</f>
        <v>0</v>
      </c>
      <c r="O8" s="37">
        <f>dagwerk88</f>
        <v>0</v>
      </c>
      <c r="P8" s="93" t="s">
        <v>105</v>
      </c>
      <c r="Q8" s="24">
        <f>uurtarief88</f>
        <v>0</v>
      </c>
      <c r="R8" s="95" t="e">
        <f>IF(ISBLANK(N8),0,M8/ROUND(N8,4))</f>
        <v>#DIV/0!</v>
      </c>
      <c r="S8" s="95" t="e">
        <f>IF(ISBLANK(N8),0,R8*ROUND(O8,2))</f>
        <v>#DIV/0!</v>
      </c>
      <c r="T8" s="24" t="e">
        <f>ROUND(Q8,2)*R8</f>
        <v>#DIV/0!</v>
      </c>
      <c r="U8" s="95" t="e">
        <f>R8*dagenperjaar1</f>
        <v>#DIV/0!</v>
      </c>
      <c r="V8" s="25" t="e">
        <f>U8*ROUND(Q8,2)</f>
        <v>#DIV/0!</v>
      </c>
    </row>
    <row r="9" spans="1:22" x14ac:dyDescent="0.2">
      <c r="A9" s="92" t="s">
        <v>393</v>
      </c>
      <c r="B9" s="93" t="s">
        <v>47</v>
      </c>
      <c r="C9" s="93" t="s">
        <v>394</v>
      </c>
      <c r="D9" s="93" t="s">
        <v>404</v>
      </c>
      <c r="E9" s="94" t="s">
        <v>405</v>
      </c>
      <c r="F9" s="93" t="s">
        <v>397</v>
      </c>
      <c r="G9" s="93" t="s">
        <v>284</v>
      </c>
      <c r="H9" s="93" t="s">
        <v>13</v>
      </c>
      <c r="I9" s="93" t="s">
        <v>255</v>
      </c>
      <c r="J9" s="93" t="s">
        <v>47</v>
      </c>
      <c r="K9" s="93"/>
      <c r="L9" s="95">
        <v>25.34</v>
      </c>
      <c r="M9" s="95">
        <f>L9*VLOOKUP(H9,dagsoorttabel1,2,FALSE)</f>
        <v>19.874509803921569</v>
      </c>
      <c r="N9" s="96">
        <f>prodnorm58</f>
        <v>0</v>
      </c>
      <c r="O9" s="37">
        <f>dagwerk58</f>
        <v>0</v>
      </c>
      <c r="P9" s="93" t="s">
        <v>105</v>
      </c>
      <c r="Q9" s="24">
        <f>uurtarief58</f>
        <v>0</v>
      </c>
      <c r="R9" s="95" t="e">
        <f>IF(ISBLANK(N9),0,M9/ROUND(N9,4))</f>
        <v>#DIV/0!</v>
      </c>
      <c r="S9" s="95" t="e">
        <f>IF(ISBLANK(N9),0,R9*ROUND(O9,2))</f>
        <v>#DIV/0!</v>
      </c>
      <c r="T9" s="24" t="e">
        <f>ROUND(Q9,2)*R9</f>
        <v>#DIV/0!</v>
      </c>
      <c r="U9" s="95" t="e">
        <f>R9*dagenperjaar1</f>
        <v>#DIV/0!</v>
      </c>
      <c r="V9" s="25" t="e">
        <f>U9*ROUND(Q9,2)</f>
        <v>#DIV/0!</v>
      </c>
    </row>
    <row r="10" spans="1:22" x14ac:dyDescent="0.2">
      <c r="A10" s="92" t="s">
        <v>393</v>
      </c>
      <c r="B10" s="93" t="s">
        <v>47</v>
      </c>
      <c r="C10" s="93" t="s">
        <v>394</v>
      </c>
      <c r="D10" s="93" t="s">
        <v>404</v>
      </c>
      <c r="E10" s="94" t="s">
        <v>405</v>
      </c>
      <c r="F10" s="93" t="s">
        <v>397</v>
      </c>
      <c r="G10" s="93" t="s">
        <v>286</v>
      </c>
      <c r="H10" s="93" t="s">
        <v>13</v>
      </c>
      <c r="I10" s="93" t="s">
        <v>255</v>
      </c>
      <c r="J10" s="93" t="s">
        <v>47</v>
      </c>
      <c r="K10" s="93"/>
      <c r="L10" s="95">
        <v>25.34</v>
      </c>
      <c r="M10" s="95">
        <f>L10*VLOOKUP(H10,dagsoorttabel1,2,FALSE)</f>
        <v>19.874509803921569</v>
      </c>
      <c r="N10" s="96">
        <f>prodnorm61</f>
        <v>0</v>
      </c>
      <c r="O10" s="37">
        <f>dagwerk61</f>
        <v>0</v>
      </c>
      <c r="P10" s="93" t="s">
        <v>105</v>
      </c>
      <c r="Q10" s="24">
        <f>uurtarief61</f>
        <v>0</v>
      </c>
      <c r="R10" s="95" t="e">
        <f>IF(ISBLANK(N10),0,M10/ROUND(N10,4))</f>
        <v>#DIV/0!</v>
      </c>
      <c r="S10" s="95" t="e">
        <f>IF(ISBLANK(N10),0,R10*ROUND(O10,2))</f>
        <v>#DIV/0!</v>
      </c>
      <c r="T10" s="24" t="e">
        <f>ROUND(Q10,2)*R10</f>
        <v>#DIV/0!</v>
      </c>
      <c r="U10" s="95" t="e">
        <f>R10*dagenperjaar1</f>
        <v>#DIV/0!</v>
      </c>
      <c r="V10" s="25" t="e">
        <f>U10*ROUND(Q10,2)</f>
        <v>#DIV/0!</v>
      </c>
    </row>
    <row r="11" spans="1:22" x14ac:dyDescent="0.2">
      <c r="A11" s="92" t="s">
        <v>393</v>
      </c>
      <c r="B11" s="93" t="s">
        <v>47</v>
      </c>
      <c r="C11" s="93" t="s">
        <v>394</v>
      </c>
      <c r="D11" s="93" t="s">
        <v>406</v>
      </c>
      <c r="E11" s="94" t="s">
        <v>407</v>
      </c>
      <c r="F11" s="93" t="s">
        <v>408</v>
      </c>
      <c r="G11" s="93" t="s">
        <v>266</v>
      </c>
      <c r="H11" s="93" t="s">
        <v>13</v>
      </c>
      <c r="I11" s="93" t="s">
        <v>255</v>
      </c>
      <c r="J11" s="93" t="s">
        <v>47</v>
      </c>
      <c r="K11" s="93"/>
      <c r="L11" s="95">
        <v>8.4</v>
      </c>
      <c r="M11" s="95">
        <f>L11*VLOOKUP(H11,dagsoorttabel1,2,FALSE)</f>
        <v>6.5882352941176476</v>
      </c>
      <c r="N11" s="96">
        <f>prodnorm40</f>
        <v>0</v>
      </c>
      <c r="O11" s="37">
        <f>dagwerk40</f>
        <v>0</v>
      </c>
      <c r="P11" s="93" t="s">
        <v>105</v>
      </c>
      <c r="Q11" s="24">
        <f>uurtarief40</f>
        <v>0</v>
      </c>
      <c r="R11" s="95" t="e">
        <f>IF(ISBLANK(N11),0,M11/ROUND(N11,4))</f>
        <v>#DIV/0!</v>
      </c>
      <c r="S11" s="95" t="e">
        <f>IF(ISBLANK(N11),0,R11*ROUND(O11,2))</f>
        <v>#DIV/0!</v>
      </c>
      <c r="T11" s="24" t="e">
        <f>ROUND(Q11,2)*R11</f>
        <v>#DIV/0!</v>
      </c>
      <c r="U11" s="95" t="e">
        <f>R11*dagenperjaar1</f>
        <v>#DIV/0!</v>
      </c>
      <c r="V11" s="25" t="e">
        <f>U11*ROUND(Q11,2)</f>
        <v>#DIV/0!</v>
      </c>
    </row>
    <row r="12" spans="1:22" x14ac:dyDescent="0.2">
      <c r="A12" s="92" t="s">
        <v>393</v>
      </c>
      <c r="B12" s="93" t="s">
        <v>47</v>
      </c>
      <c r="C12" s="93" t="s">
        <v>394</v>
      </c>
      <c r="D12" s="93" t="s">
        <v>406</v>
      </c>
      <c r="E12" s="94" t="s">
        <v>407</v>
      </c>
      <c r="F12" s="93" t="s">
        <v>408</v>
      </c>
      <c r="G12" s="93" t="s">
        <v>268</v>
      </c>
      <c r="H12" s="93" t="s">
        <v>13</v>
      </c>
      <c r="I12" s="93" t="s">
        <v>255</v>
      </c>
      <c r="J12" s="93" t="s">
        <v>47</v>
      </c>
      <c r="K12" s="93"/>
      <c r="L12" s="95">
        <v>8.4</v>
      </c>
      <c r="M12" s="95">
        <f>L12*VLOOKUP(H12,dagsoorttabel1,2,FALSE)</f>
        <v>6.5882352941176476</v>
      </c>
      <c r="N12" s="96">
        <f>prodnorm42</f>
        <v>0</v>
      </c>
      <c r="O12" s="37">
        <f>dagwerk42</f>
        <v>0</v>
      </c>
      <c r="P12" s="93" t="s">
        <v>105</v>
      </c>
      <c r="Q12" s="24">
        <f>uurtarief42</f>
        <v>0</v>
      </c>
      <c r="R12" s="95" t="e">
        <f>IF(ISBLANK(N12),0,M12/ROUND(N12,4))</f>
        <v>#DIV/0!</v>
      </c>
      <c r="S12" s="95" t="e">
        <f>IF(ISBLANK(N12),0,R12*ROUND(O12,2))</f>
        <v>#DIV/0!</v>
      </c>
      <c r="T12" s="24" t="e">
        <f>ROUND(Q12,2)*R12</f>
        <v>#DIV/0!</v>
      </c>
      <c r="U12" s="95" t="e">
        <f>R12*dagenperjaar1</f>
        <v>#DIV/0!</v>
      </c>
      <c r="V12" s="25" t="e">
        <f>U12*ROUND(Q12,2)</f>
        <v>#DIV/0!</v>
      </c>
    </row>
    <row r="13" spans="1:22" x14ac:dyDescent="0.2">
      <c r="A13" s="92" t="s">
        <v>393</v>
      </c>
      <c r="B13" s="93" t="s">
        <v>47</v>
      </c>
      <c r="C13" s="93" t="s">
        <v>394</v>
      </c>
      <c r="D13" s="93" t="s">
        <v>409</v>
      </c>
      <c r="E13" s="94" t="s">
        <v>410</v>
      </c>
      <c r="F13" s="93" t="s">
        <v>397</v>
      </c>
      <c r="G13" s="93" t="s">
        <v>304</v>
      </c>
      <c r="H13" s="93" t="s">
        <v>13</v>
      </c>
      <c r="I13" s="93" t="s">
        <v>255</v>
      </c>
      <c r="J13" s="93" t="s">
        <v>47</v>
      </c>
      <c r="K13" s="93"/>
      <c r="L13" s="95">
        <v>2.9699999999999998</v>
      </c>
      <c r="M13" s="95">
        <f>L13*VLOOKUP(H13,dagsoorttabel1,2,FALSE)</f>
        <v>2.3294117647058821</v>
      </c>
      <c r="N13" s="96">
        <f>prodnorm74</f>
        <v>0</v>
      </c>
      <c r="O13" s="37">
        <f>dagwerk74</f>
        <v>0</v>
      </c>
      <c r="P13" s="93" t="s">
        <v>105</v>
      </c>
      <c r="Q13" s="24">
        <f>uurtarief74</f>
        <v>0</v>
      </c>
      <c r="R13" s="95" t="e">
        <f>IF(ISBLANK(N13),0,M13/ROUND(N13,4))</f>
        <v>#DIV/0!</v>
      </c>
      <c r="S13" s="95" t="e">
        <f>IF(ISBLANK(N13),0,R13*ROUND(O13,2))</f>
        <v>#DIV/0!</v>
      </c>
      <c r="T13" s="24" t="e">
        <f>ROUND(Q13,2)*R13</f>
        <v>#DIV/0!</v>
      </c>
      <c r="U13" s="95" t="e">
        <f>R13*dagenperjaar1</f>
        <v>#DIV/0!</v>
      </c>
      <c r="V13" s="25" t="e">
        <f>U13*ROUND(Q13,2)</f>
        <v>#DIV/0!</v>
      </c>
    </row>
    <row r="14" spans="1:22" x14ac:dyDescent="0.2">
      <c r="A14" s="92" t="s">
        <v>393</v>
      </c>
      <c r="B14" s="93" t="s">
        <v>47</v>
      </c>
      <c r="C14" s="93" t="s">
        <v>394</v>
      </c>
      <c r="D14" s="93" t="s">
        <v>409</v>
      </c>
      <c r="E14" s="94" t="s">
        <v>410</v>
      </c>
      <c r="F14" s="93" t="s">
        <v>397</v>
      </c>
      <c r="G14" s="93" t="s">
        <v>306</v>
      </c>
      <c r="H14" s="93" t="s">
        <v>13</v>
      </c>
      <c r="I14" s="93" t="s">
        <v>255</v>
      </c>
      <c r="J14" s="93" t="s">
        <v>47</v>
      </c>
      <c r="K14" s="93"/>
      <c r="L14" s="95">
        <v>2.9699999999999998</v>
      </c>
      <c r="M14" s="95">
        <f>L14*VLOOKUP(H14,dagsoorttabel1,2,FALSE)</f>
        <v>2.3294117647058821</v>
      </c>
      <c r="N14" s="96">
        <f>prodnorm78</f>
        <v>0</v>
      </c>
      <c r="O14" s="37">
        <f>dagwerk78</f>
        <v>0</v>
      </c>
      <c r="P14" s="93" t="s">
        <v>105</v>
      </c>
      <c r="Q14" s="24">
        <f>uurtarief78</f>
        <v>0</v>
      </c>
      <c r="R14" s="95" t="e">
        <f>IF(ISBLANK(N14),0,M14/ROUND(N14,4))</f>
        <v>#DIV/0!</v>
      </c>
      <c r="S14" s="95" t="e">
        <f>IF(ISBLANK(N14),0,R14*ROUND(O14,2))</f>
        <v>#DIV/0!</v>
      </c>
      <c r="T14" s="24" t="e">
        <f>ROUND(Q14,2)*R14</f>
        <v>#DIV/0!</v>
      </c>
      <c r="U14" s="95" t="e">
        <f>R14*dagenperjaar1</f>
        <v>#DIV/0!</v>
      </c>
      <c r="V14" s="25" t="e">
        <f>U14*ROUND(Q14,2)</f>
        <v>#DIV/0!</v>
      </c>
    </row>
    <row r="15" spans="1:22" x14ac:dyDescent="0.2">
      <c r="A15" s="92" t="s">
        <v>393</v>
      </c>
      <c r="B15" s="93" t="s">
        <v>47</v>
      </c>
      <c r="C15" s="93" t="s">
        <v>394</v>
      </c>
      <c r="D15" s="93" t="s">
        <v>411</v>
      </c>
      <c r="E15" s="94" t="s">
        <v>412</v>
      </c>
      <c r="F15" s="93" t="s">
        <v>397</v>
      </c>
      <c r="G15" s="93" t="s">
        <v>284</v>
      </c>
      <c r="H15" s="93" t="s">
        <v>13</v>
      </c>
      <c r="I15" s="93" t="s">
        <v>255</v>
      </c>
      <c r="J15" s="93" t="s">
        <v>47</v>
      </c>
      <c r="K15" s="93"/>
      <c r="L15" s="95">
        <v>25.1</v>
      </c>
      <c r="M15" s="95">
        <f>L15*VLOOKUP(H15,dagsoorttabel1,2,FALSE)</f>
        <v>19.686274509803923</v>
      </c>
      <c r="N15" s="96">
        <f>prodnorm58</f>
        <v>0</v>
      </c>
      <c r="O15" s="37">
        <f>dagwerk58</f>
        <v>0</v>
      </c>
      <c r="P15" s="93" t="s">
        <v>105</v>
      </c>
      <c r="Q15" s="24">
        <f>uurtarief58</f>
        <v>0</v>
      </c>
      <c r="R15" s="95" t="e">
        <f>IF(ISBLANK(N15),0,M15/ROUND(N15,4))</f>
        <v>#DIV/0!</v>
      </c>
      <c r="S15" s="95" t="e">
        <f>IF(ISBLANK(N15),0,R15*ROUND(O15,2))</f>
        <v>#DIV/0!</v>
      </c>
      <c r="T15" s="24" t="e">
        <f>ROUND(Q15,2)*R15</f>
        <v>#DIV/0!</v>
      </c>
      <c r="U15" s="95" t="e">
        <f>R15*dagenperjaar1</f>
        <v>#DIV/0!</v>
      </c>
      <c r="V15" s="25" t="e">
        <f>U15*ROUND(Q15,2)</f>
        <v>#DIV/0!</v>
      </c>
    </row>
    <row r="16" spans="1:22" x14ac:dyDescent="0.2">
      <c r="A16" s="92" t="s">
        <v>393</v>
      </c>
      <c r="B16" s="93" t="s">
        <v>47</v>
      </c>
      <c r="C16" s="93" t="s">
        <v>394</v>
      </c>
      <c r="D16" s="93" t="s">
        <v>411</v>
      </c>
      <c r="E16" s="94" t="s">
        <v>412</v>
      </c>
      <c r="F16" s="93" t="s">
        <v>397</v>
      </c>
      <c r="G16" s="93" t="s">
        <v>286</v>
      </c>
      <c r="H16" s="93" t="s">
        <v>13</v>
      </c>
      <c r="I16" s="93" t="s">
        <v>255</v>
      </c>
      <c r="J16" s="93" t="s">
        <v>47</v>
      </c>
      <c r="K16" s="93"/>
      <c r="L16" s="95">
        <v>25.1</v>
      </c>
      <c r="M16" s="95">
        <f>L16*VLOOKUP(H16,dagsoorttabel1,2,FALSE)</f>
        <v>19.686274509803923</v>
      </c>
      <c r="N16" s="96">
        <f>prodnorm61</f>
        <v>0</v>
      </c>
      <c r="O16" s="37">
        <f>dagwerk61</f>
        <v>0</v>
      </c>
      <c r="P16" s="93" t="s">
        <v>105</v>
      </c>
      <c r="Q16" s="24">
        <f>uurtarief61</f>
        <v>0</v>
      </c>
      <c r="R16" s="95" t="e">
        <f>IF(ISBLANK(N16),0,M16/ROUND(N16,4))</f>
        <v>#DIV/0!</v>
      </c>
      <c r="S16" s="95" t="e">
        <f>IF(ISBLANK(N16),0,R16*ROUND(O16,2))</f>
        <v>#DIV/0!</v>
      </c>
      <c r="T16" s="24" t="e">
        <f>ROUND(Q16,2)*R16</f>
        <v>#DIV/0!</v>
      </c>
      <c r="U16" s="95" t="e">
        <f>R16*dagenperjaar1</f>
        <v>#DIV/0!</v>
      </c>
      <c r="V16" s="25" t="e">
        <f>U16*ROUND(Q16,2)</f>
        <v>#DIV/0!</v>
      </c>
    </row>
    <row r="17" spans="1:22" x14ac:dyDescent="0.2">
      <c r="A17" s="92" t="s">
        <v>393</v>
      </c>
      <c r="B17" s="93" t="s">
        <v>47</v>
      </c>
      <c r="C17" s="93" t="s">
        <v>394</v>
      </c>
      <c r="D17" s="93" t="s">
        <v>413</v>
      </c>
      <c r="E17" s="94" t="s">
        <v>414</v>
      </c>
      <c r="F17" s="93" t="s">
        <v>397</v>
      </c>
      <c r="G17" s="93" t="s">
        <v>304</v>
      </c>
      <c r="H17" s="93" t="s">
        <v>13</v>
      </c>
      <c r="I17" s="93" t="s">
        <v>255</v>
      </c>
      <c r="J17" s="93" t="s">
        <v>47</v>
      </c>
      <c r="K17" s="93"/>
      <c r="L17" s="95">
        <v>2.9699999999999998</v>
      </c>
      <c r="M17" s="95">
        <f>L17*VLOOKUP(H17,dagsoorttabel1,2,FALSE)</f>
        <v>2.3294117647058821</v>
      </c>
      <c r="N17" s="96">
        <f>prodnorm74</f>
        <v>0</v>
      </c>
      <c r="O17" s="37">
        <f>dagwerk74</f>
        <v>0</v>
      </c>
      <c r="P17" s="93" t="s">
        <v>105</v>
      </c>
      <c r="Q17" s="24">
        <f>uurtarief74</f>
        <v>0</v>
      </c>
      <c r="R17" s="95" t="e">
        <f>IF(ISBLANK(N17),0,M17/ROUND(N17,4))</f>
        <v>#DIV/0!</v>
      </c>
      <c r="S17" s="95" t="e">
        <f>IF(ISBLANK(N17),0,R17*ROUND(O17,2))</f>
        <v>#DIV/0!</v>
      </c>
      <c r="T17" s="24" t="e">
        <f>ROUND(Q17,2)*R17</f>
        <v>#DIV/0!</v>
      </c>
      <c r="U17" s="95" t="e">
        <f>R17*dagenperjaar1</f>
        <v>#DIV/0!</v>
      </c>
      <c r="V17" s="25" t="e">
        <f>U17*ROUND(Q17,2)</f>
        <v>#DIV/0!</v>
      </c>
    </row>
    <row r="18" spans="1:22" x14ac:dyDescent="0.2">
      <c r="A18" s="92" t="s">
        <v>393</v>
      </c>
      <c r="B18" s="93" t="s">
        <v>47</v>
      </c>
      <c r="C18" s="93" t="s">
        <v>394</v>
      </c>
      <c r="D18" s="93" t="s">
        <v>413</v>
      </c>
      <c r="E18" s="94" t="s">
        <v>414</v>
      </c>
      <c r="F18" s="93" t="s">
        <v>397</v>
      </c>
      <c r="G18" s="93" t="s">
        <v>306</v>
      </c>
      <c r="H18" s="93" t="s">
        <v>13</v>
      </c>
      <c r="I18" s="93" t="s">
        <v>255</v>
      </c>
      <c r="J18" s="93" t="s">
        <v>47</v>
      </c>
      <c r="K18" s="93"/>
      <c r="L18" s="95">
        <v>2.9699999999999998</v>
      </c>
      <c r="M18" s="95">
        <f>L18*VLOOKUP(H18,dagsoorttabel1,2,FALSE)</f>
        <v>2.3294117647058821</v>
      </c>
      <c r="N18" s="96">
        <f>prodnorm78</f>
        <v>0</v>
      </c>
      <c r="O18" s="37">
        <f>dagwerk78</f>
        <v>0</v>
      </c>
      <c r="P18" s="93" t="s">
        <v>105</v>
      </c>
      <c r="Q18" s="24">
        <f>uurtarief78</f>
        <v>0</v>
      </c>
      <c r="R18" s="95" t="e">
        <f>IF(ISBLANK(N18),0,M18/ROUND(N18,4))</f>
        <v>#DIV/0!</v>
      </c>
      <c r="S18" s="95" t="e">
        <f>IF(ISBLANK(N18),0,R18*ROUND(O18,2))</f>
        <v>#DIV/0!</v>
      </c>
      <c r="T18" s="24" t="e">
        <f>ROUND(Q18,2)*R18</f>
        <v>#DIV/0!</v>
      </c>
      <c r="U18" s="95" t="e">
        <f>R18*dagenperjaar1</f>
        <v>#DIV/0!</v>
      </c>
      <c r="V18" s="25" t="e">
        <f>U18*ROUND(Q18,2)</f>
        <v>#DIV/0!</v>
      </c>
    </row>
    <row r="19" spans="1:22" x14ac:dyDescent="0.2">
      <c r="A19" s="92" t="s">
        <v>393</v>
      </c>
      <c r="B19" s="93" t="s">
        <v>47</v>
      </c>
      <c r="C19" s="93" t="s">
        <v>394</v>
      </c>
      <c r="D19" s="93" t="s">
        <v>415</v>
      </c>
      <c r="E19" s="94" t="s">
        <v>407</v>
      </c>
      <c r="F19" s="93" t="s">
        <v>408</v>
      </c>
      <c r="G19" s="93" t="s">
        <v>266</v>
      </c>
      <c r="H19" s="93" t="s">
        <v>13</v>
      </c>
      <c r="I19" s="93" t="s">
        <v>255</v>
      </c>
      <c r="J19" s="93" t="s">
        <v>47</v>
      </c>
      <c r="K19" s="93"/>
      <c r="L19" s="95">
        <v>8.98</v>
      </c>
      <c r="M19" s="95">
        <f>L19*VLOOKUP(H19,dagsoorttabel1,2,FALSE)</f>
        <v>7.0431372549019606</v>
      </c>
      <c r="N19" s="96">
        <f>prodnorm40</f>
        <v>0</v>
      </c>
      <c r="O19" s="37">
        <f>dagwerk40</f>
        <v>0</v>
      </c>
      <c r="P19" s="93" t="s">
        <v>105</v>
      </c>
      <c r="Q19" s="24">
        <f>uurtarief40</f>
        <v>0</v>
      </c>
      <c r="R19" s="95" t="e">
        <f>IF(ISBLANK(N19),0,M19/ROUND(N19,4))</f>
        <v>#DIV/0!</v>
      </c>
      <c r="S19" s="95" t="e">
        <f>IF(ISBLANK(N19),0,R19*ROUND(O19,2))</f>
        <v>#DIV/0!</v>
      </c>
      <c r="T19" s="24" t="e">
        <f>ROUND(Q19,2)*R19</f>
        <v>#DIV/0!</v>
      </c>
      <c r="U19" s="95" t="e">
        <f>R19*dagenperjaar1</f>
        <v>#DIV/0!</v>
      </c>
      <c r="V19" s="25" t="e">
        <f>U19*ROUND(Q19,2)</f>
        <v>#DIV/0!</v>
      </c>
    </row>
    <row r="20" spans="1:22" x14ac:dyDescent="0.2">
      <c r="A20" s="92" t="s">
        <v>393</v>
      </c>
      <c r="B20" s="93" t="s">
        <v>47</v>
      </c>
      <c r="C20" s="93" t="s">
        <v>394</v>
      </c>
      <c r="D20" s="93" t="s">
        <v>415</v>
      </c>
      <c r="E20" s="94" t="s">
        <v>407</v>
      </c>
      <c r="F20" s="93" t="s">
        <v>408</v>
      </c>
      <c r="G20" s="93" t="s">
        <v>268</v>
      </c>
      <c r="H20" s="93" t="s">
        <v>13</v>
      </c>
      <c r="I20" s="93" t="s">
        <v>255</v>
      </c>
      <c r="J20" s="93" t="s">
        <v>47</v>
      </c>
      <c r="K20" s="93"/>
      <c r="L20" s="95">
        <v>8.98</v>
      </c>
      <c r="M20" s="95">
        <f>L20*VLOOKUP(H20,dagsoorttabel1,2,FALSE)</f>
        <v>7.0431372549019606</v>
      </c>
      <c r="N20" s="96">
        <f>prodnorm42</f>
        <v>0</v>
      </c>
      <c r="O20" s="37">
        <f>dagwerk42</f>
        <v>0</v>
      </c>
      <c r="P20" s="93" t="s">
        <v>105</v>
      </c>
      <c r="Q20" s="24">
        <f>uurtarief42</f>
        <v>0</v>
      </c>
      <c r="R20" s="95" t="e">
        <f>IF(ISBLANK(N20),0,M20/ROUND(N20,4))</f>
        <v>#DIV/0!</v>
      </c>
      <c r="S20" s="95" t="e">
        <f>IF(ISBLANK(N20),0,R20*ROUND(O20,2))</f>
        <v>#DIV/0!</v>
      </c>
      <c r="T20" s="24" t="e">
        <f>ROUND(Q20,2)*R20</f>
        <v>#DIV/0!</v>
      </c>
      <c r="U20" s="95" t="e">
        <f>R20*dagenperjaar1</f>
        <v>#DIV/0!</v>
      </c>
      <c r="V20" s="25" t="e">
        <f>U20*ROUND(Q20,2)</f>
        <v>#DIV/0!</v>
      </c>
    </row>
    <row r="21" spans="1:22" x14ac:dyDescent="0.2">
      <c r="A21" s="92" t="s">
        <v>393</v>
      </c>
      <c r="B21" s="93" t="s">
        <v>47</v>
      </c>
      <c r="C21" s="93" t="s">
        <v>394</v>
      </c>
      <c r="D21" s="93" t="s">
        <v>416</v>
      </c>
      <c r="E21" s="94" t="s">
        <v>417</v>
      </c>
      <c r="F21" s="93" t="s">
        <v>397</v>
      </c>
      <c r="G21" s="93" t="s">
        <v>284</v>
      </c>
      <c r="H21" s="93" t="s">
        <v>13</v>
      </c>
      <c r="I21" s="93" t="s">
        <v>255</v>
      </c>
      <c r="J21" s="93" t="s">
        <v>47</v>
      </c>
      <c r="K21" s="93"/>
      <c r="L21" s="95">
        <v>25.34</v>
      </c>
      <c r="M21" s="95">
        <f>L21*VLOOKUP(H21,dagsoorttabel1,2,FALSE)</f>
        <v>19.874509803921569</v>
      </c>
      <c r="N21" s="96">
        <f>prodnorm58</f>
        <v>0</v>
      </c>
      <c r="O21" s="37">
        <f>dagwerk58</f>
        <v>0</v>
      </c>
      <c r="P21" s="93" t="s">
        <v>105</v>
      </c>
      <c r="Q21" s="24">
        <f>uurtarief58</f>
        <v>0</v>
      </c>
      <c r="R21" s="95" t="e">
        <f>IF(ISBLANK(N21),0,M21/ROUND(N21,4))</f>
        <v>#DIV/0!</v>
      </c>
      <c r="S21" s="95" t="e">
        <f>IF(ISBLANK(N21),0,R21*ROUND(O21,2))</f>
        <v>#DIV/0!</v>
      </c>
      <c r="T21" s="24" t="e">
        <f>ROUND(Q21,2)*R21</f>
        <v>#DIV/0!</v>
      </c>
      <c r="U21" s="95" t="e">
        <f>R21*dagenperjaar1</f>
        <v>#DIV/0!</v>
      </c>
      <c r="V21" s="25" t="e">
        <f>U21*ROUND(Q21,2)</f>
        <v>#DIV/0!</v>
      </c>
    </row>
    <row r="22" spans="1:22" x14ac:dyDescent="0.2">
      <c r="A22" s="92" t="s">
        <v>393</v>
      </c>
      <c r="B22" s="93" t="s">
        <v>47</v>
      </c>
      <c r="C22" s="93" t="s">
        <v>394</v>
      </c>
      <c r="D22" s="93" t="s">
        <v>416</v>
      </c>
      <c r="E22" s="94" t="s">
        <v>417</v>
      </c>
      <c r="F22" s="93" t="s">
        <v>397</v>
      </c>
      <c r="G22" s="93" t="s">
        <v>286</v>
      </c>
      <c r="H22" s="93" t="s">
        <v>13</v>
      </c>
      <c r="I22" s="93" t="s">
        <v>255</v>
      </c>
      <c r="J22" s="93" t="s">
        <v>47</v>
      </c>
      <c r="K22" s="93"/>
      <c r="L22" s="95">
        <v>25.34</v>
      </c>
      <c r="M22" s="95">
        <f>L22*VLOOKUP(H22,dagsoorttabel1,2,FALSE)</f>
        <v>19.874509803921569</v>
      </c>
      <c r="N22" s="96">
        <f>prodnorm61</f>
        <v>0</v>
      </c>
      <c r="O22" s="37">
        <f>dagwerk61</f>
        <v>0</v>
      </c>
      <c r="P22" s="93" t="s">
        <v>105</v>
      </c>
      <c r="Q22" s="24">
        <f>uurtarief61</f>
        <v>0</v>
      </c>
      <c r="R22" s="95" t="e">
        <f>IF(ISBLANK(N22),0,M22/ROUND(N22,4))</f>
        <v>#DIV/0!</v>
      </c>
      <c r="S22" s="95" t="e">
        <f>IF(ISBLANK(N22),0,R22*ROUND(O22,2))</f>
        <v>#DIV/0!</v>
      </c>
      <c r="T22" s="24" t="e">
        <f>ROUND(Q22,2)*R22</f>
        <v>#DIV/0!</v>
      </c>
      <c r="U22" s="95" t="e">
        <f>R22*dagenperjaar1</f>
        <v>#DIV/0!</v>
      </c>
      <c r="V22" s="25" t="e">
        <f>U22*ROUND(Q22,2)</f>
        <v>#DIV/0!</v>
      </c>
    </row>
    <row r="23" spans="1:22" x14ac:dyDescent="0.2">
      <c r="A23" s="92" t="s">
        <v>393</v>
      </c>
      <c r="B23" s="93" t="s">
        <v>47</v>
      </c>
      <c r="C23" s="93" t="s">
        <v>394</v>
      </c>
      <c r="D23" s="93" t="s">
        <v>418</v>
      </c>
      <c r="E23" s="94" t="s">
        <v>410</v>
      </c>
      <c r="F23" s="93" t="s">
        <v>397</v>
      </c>
      <c r="G23" s="93" t="s">
        <v>304</v>
      </c>
      <c r="H23" s="93" t="s">
        <v>13</v>
      </c>
      <c r="I23" s="93" t="s">
        <v>255</v>
      </c>
      <c r="J23" s="93" t="s">
        <v>47</v>
      </c>
      <c r="K23" s="93"/>
      <c r="L23" s="95">
        <v>1.1500000000000001</v>
      </c>
      <c r="M23" s="95">
        <f>L23*VLOOKUP(H23,dagsoorttabel1,2,FALSE)</f>
        <v>0.90196078431372562</v>
      </c>
      <c r="N23" s="96">
        <f>prodnorm74</f>
        <v>0</v>
      </c>
      <c r="O23" s="37">
        <f>dagwerk74</f>
        <v>0</v>
      </c>
      <c r="P23" s="93" t="s">
        <v>105</v>
      </c>
      <c r="Q23" s="24">
        <f>uurtarief74</f>
        <v>0</v>
      </c>
      <c r="R23" s="95" t="e">
        <f>IF(ISBLANK(N23),0,M23/ROUND(N23,4))</f>
        <v>#DIV/0!</v>
      </c>
      <c r="S23" s="95" t="e">
        <f>IF(ISBLANK(N23),0,R23*ROUND(O23,2))</f>
        <v>#DIV/0!</v>
      </c>
      <c r="T23" s="24" t="e">
        <f>ROUND(Q23,2)*R23</f>
        <v>#DIV/0!</v>
      </c>
      <c r="U23" s="95" t="e">
        <f>R23*dagenperjaar1</f>
        <v>#DIV/0!</v>
      </c>
      <c r="V23" s="25" t="e">
        <f>U23*ROUND(Q23,2)</f>
        <v>#DIV/0!</v>
      </c>
    </row>
    <row r="24" spans="1:22" x14ac:dyDescent="0.2">
      <c r="A24" s="92" t="s">
        <v>393</v>
      </c>
      <c r="B24" s="93" t="s">
        <v>47</v>
      </c>
      <c r="C24" s="93" t="s">
        <v>394</v>
      </c>
      <c r="D24" s="93" t="s">
        <v>418</v>
      </c>
      <c r="E24" s="94" t="s">
        <v>410</v>
      </c>
      <c r="F24" s="93" t="s">
        <v>397</v>
      </c>
      <c r="G24" s="93" t="s">
        <v>306</v>
      </c>
      <c r="H24" s="93" t="s">
        <v>13</v>
      </c>
      <c r="I24" s="93" t="s">
        <v>255</v>
      </c>
      <c r="J24" s="93" t="s">
        <v>47</v>
      </c>
      <c r="K24" s="93"/>
      <c r="L24" s="95">
        <v>1.1500000000000001</v>
      </c>
      <c r="M24" s="95">
        <f>L24*VLOOKUP(H24,dagsoorttabel1,2,FALSE)</f>
        <v>0.90196078431372562</v>
      </c>
      <c r="N24" s="96">
        <f>prodnorm78</f>
        <v>0</v>
      </c>
      <c r="O24" s="37">
        <f>dagwerk78</f>
        <v>0</v>
      </c>
      <c r="P24" s="93" t="s">
        <v>105</v>
      </c>
      <c r="Q24" s="24">
        <f>uurtarief78</f>
        <v>0</v>
      </c>
      <c r="R24" s="95" t="e">
        <f>IF(ISBLANK(N24),0,M24/ROUND(N24,4))</f>
        <v>#DIV/0!</v>
      </c>
      <c r="S24" s="95" t="e">
        <f>IF(ISBLANK(N24),0,R24*ROUND(O24,2))</f>
        <v>#DIV/0!</v>
      </c>
      <c r="T24" s="24" t="e">
        <f>ROUND(Q24,2)*R24</f>
        <v>#DIV/0!</v>
      </c>
      <c r="U24" s="95" t="e">
        <f>R24*dagenperjaar1</f>
        <v>#DIV/0!</v>
      </c>
      <c r="V24" s="25" t="e">
        <f>U24*ROUND(Q24,2)</f>
        <v>#DIV/0!</v>
      </c>
    </row>
    <row r="25" spans="1:22" x14ac:dyDescent="0.2">
      <c r="A25" s="92" t="s">
        <v>393</v>
      </c>
      <c r="B25" s="93" t="s">
        <v>47</v>
      </c>
      <c r="C25" s="93" t="s">
        <v>394</v>
      </c>
      <c r="D25" s="93" t="s">
        <v>419</v>
      </c>
      <c r="E25" s="94" t="s">
        <v>407</v>
      </c>
      <c r="F25" s="93" t="s">
        <v>408</v>
      </c>
      <c r="G25" s="93" t="s">
        <v>266</v>
      </c>
      <c r="H25" s="93" t="s">
        <v>13</v>
      </c>
      <c r="I25" s="93" t="s">
        <v>255</v>
      </c>
      <c r="J25" s="93" t="s">
        <v>47</v>
      </c>
      <c r="K25" s="93"/>
      <c r="L25" s="95">
        <v>8.4</v>
      </c>
      <c r="M25" s="95">
        <f>L25*VLOOKUP(H25,dagsoorttabel1,2,FALSE)</f>
        <v>6.5882352941176476</v>
      </c>
      <c r="N25" s="96">
        <f>prodnorm40</f>
        <v>0</v>
      </c>
      <c r="O25" s="37">
        <f>dagwerk40</f>
        <v>0</v>
      </c>
      <c r="P25" s="93" t="s">
        <v>105</v>
      </c>
      <c r="Q25" s="24">
        <f>uurtarief40</f>
        <v>0</v>
      </c>
      <c r="R25" s="95" t="e">
        <f>IF(ISBLANK(N25),0,M25/ROUND(N25,4))</f>
        <v>#DIV/0!</v>
      </c>
      <c r="S25" s="95" t="e">
        <f>IF(ISBLANK(N25),0,R25*ROUND(O25,2))</f>
        <v>#DIV/0!</v>
      </c>
      <c r="T25" s="24" t="e">
        <f>ROUND(Q25,2)*R25</f>
        <v>#DIV/0!</v>
      </c>
      <c r="U25" s="95" t="e">
        <f>R25*dagenperjaar1</f>
        <v>#DIV/0!</v>
      </c>
      <c r="V25" s="25" t="e">
        <f>U25*ROUND(Q25,2)</f>
        <v>#DIV/0!</v>
      </c>
    </row>
    <row r="26" spans="1:22" x14ac:dyDescent="0.2">
      <c r="A26" s="92" t="s">
        <v>393</v>
      </c>
      <c r="B26" s="93" t="s">
        <v>47</v>
      </c>
      <c r="C26" s="93" t="s">
        <v>394</v>
      </c>
      <c r="D26" s="93" t="s">
        <v>419</v>
      </c>
      <c r="E26" s="94" t="s">
        <v>407</v>
      </c>
      <c r="F26" s="93" t="s">
        <v>408</v>
      </c>
      <c r="G26" s="93" t="s">
        <v>268</v>
      </c>
      <c r="H26" s="93" t="s">
        <v>13</v>
      </c>
      <c r="I26" s="93" t="s">
        <v>255</v>
      </c>
      <c r="J26" s="93" t="s">
        <v>47</v>
      </c>
      <c r="K26" s="93"/>
      <c r="L26" s="95">
        <v>8.4</v>
      </c>
      <c r="M26" s="95">
        <f>L26*VLOOKUP(H26,dagsoorttabel1,2,FALSE)</f>
        <v>6.5882352941176476</v>
      </c>
      <c r="N26" s="96">
        <f>prodnorm42</f>
        <v>0</v>
      </c>
      <c r="O26" s="37">
        <f>dagwerk42</f>
        <v>0</v>
      </c>
      <c r="P26" s="93" t="s">
        <v>105</v>
      </c>
      <c r="Q26" s="24">
        <f>uurtarief42</f>
        <v>0</v>
      </c>
      <c r="R26" s="95" t="e">
        <f>IF(ISBLANK(N26),0,M26/ROUND(N26,4))</f>
        <v>#DIV/0!</v>
      </c>
      <c r="S26" s="95" t="e">
        <f>IF(ISBLANK(N26),0,R26*ROUND(O26,2))</f>
        <v>#DIV/0!</v>
      </c>
      <c r="T26" s="24" t="e">
        <f>ROUND(Q26,2)*R26</f>
        <v>#DIV/0!</v>
      </c>
      <c r="U26" s="95" t="e">
        <f>R26*dagenperjaar1</f>
        <v>#DIV/0!</v>
      </c>
      <c r="V26" s="25" t="e">
        <f>U26*ROUND(Q26,2)</f>
        <v>#DIV/0!</v>
      </c>
    </row>
    <row r="27" spans="1:22" x14ac:dyDescent="0.2">
      <c r="A27" s="92" t="s">
        <v>393</v>
      </c>
      <c r="B27" s="93" t="s">
        <v>47</v>
      </c>
      <c r="C27" s="93" t="s">
        <v>394</v>
      </c>
      <c r="D27" s="93" t="s">
        <v>420</v>
      </c>
      <c r="E27" s="94" t="s">
        <v>421</v>
      </c>
      <c r="F27" s="93" t="s">
        <v>397</v>
      </c>
      <c r="G27" s="93" t="s">
        <v>284</v>
      </c>
      <c r="H27" s="93" t="s">
        <v>13</v>
      </c>
      <c r="I27" s="93" t="s">
        <v>255</v>
      </c>
      <c r="J27" s="93" t="s">
        <v>47</v>
      </c>
      <c r="K27" s="93"/>
      <c r="L27" s="95">
        <v>25.34</v>
      </c>
      <c r="M27" s="95">
        <f>L27*VLOOKUP(H27,dagsoorttabel1,2,FALSE)</f>
        <v>19.874509803921569</v>
      </c>
      <c r="N27" s="96">
        <f>prodnorm58</f>
        <v>0</v>
      </c>
      <c r="O27" s="37">
        <f>dagwerk58</f>
        <v>0</v>
      </c>
      <c r="P27" s="93" t="s">
        <v>105</v>
      </c>
      <c r="Q27" s="24">
        <f>uurtarief58</f>
        <v>0</v>
      </c>
      <c r="R27" s="95" t="e">
        <f>IF(ISBLANK(N27),0,M27/ROUND(N27,4))</f>
        <v>#DIV/0!</v>
      </c>
      <c r="S27" s="95" t="e">
        <f>IF(ISBLANK(N27),0,R27*ROUND(O27,2))</f>
        <v>#DIV/0!</v>
      </c>
      <c r="T27" s="24" t="e">
        <f>ROUND(Q27,2)*R27</f>
        <v>#DIV/0!</v>
      </c>
      <c r="U27" s="95" t="e">
        <f>R27*dagenperjaar1</f>
        <v>#DIV/0!</v>
      </c>
      <c r="V27" s="25" t="e">
        <f>U27*ROUND(Q27,2)</f>
        <v>#DIV/0!</v>
      </c>
    </row>
    <row r="28" spans="1:22" x14ac:dyDescent="0.2">
      <c r="A28" s="92" t="s">
        <v>393</v>
      </c>
      <c r="B28" s="93" t="s">
        <v>47</v>
      </c>
      <c r="C28" s="93" t="s">
        <v>394</v>
      </c>
      <c r="D28" s="93" t="s">
        <v>420</v>
      </c>
      <c r="E28" s="94" t="s">
        <v>421</v>
      </c>
      <c r="F28" s="93" t="s">
        <v>397</v>
      </c>
      <c r="G28" s="93" t="s">
        <v>286</v>
      </c>
      <c r="H28" s="93" t="s">
        <v>13</v>
      </c>
      <c r="I28" s="93" t="s">
        <v>255</v>
      </c>
      <c r="J28" s="93" t="s">
        <v>47</v>
      </c>
      <c r="K28" s="93"/>
      <c r="L28" s="95">
        <v>25.34</v>
      </c>
      <c r="M28" s="95">
        <f>L28*VLOOKUP(H28,dagsoorttabel1,2,FALSE)</f>
        <v>19.874509803921569</v>
      </c>
      <c r="N28" s="96">
        <f>prodnorm61</f>
        <v>0</v>
      </c>
      <c r="O28" s="37">
        <f>dagwerk61</f>
        <v>0</v>
      </c>
      <c r="P28" s="93" t="s">
        <v>105</v>
      </c>
      <c r="Q28" s="24">
        <f>uurtarief61</f>
        <v>0</v>
      </c>
      <c r="R28" s="95" t="e">
        <f>IF(ISBLANK(N28),0,M28/ROUND(N28,4))</f>
        <v>#DIV/0!</v>
      </c>
      <c r="S28" s="95" t="e">
        <f>IF(ISBLANK(N28),0,R28*ROUND(O28,2))</f>
        <v>#DIV/0!</v>
      </c>
      <c r="T28" s="24" t="e">
        <f>ROUND(Q28,2)*R28</f>
        <v>#DIV/0!</v>
      </c>
      <c r="U28" s="95" t="e">
        <f>R28*dagenperjaar1</f>
        <v>#DIV/0!</v>
      </c>
      <c r="V28" s="25" t="e">
        <f>U28*ROUND(Q28,2)</f>
        <v>#DIV/0!</v>
      </c>
    </row>
    <row r="29" spans="1:22" x14ac:dyDescent="0.2">
      <c r="A29" s="92" t="s">
        <v>393</v>
      </c>
      <c r="B29" s="93" t="s">
        <v>47</v>
      </c>
      <c r="C29" s="93" t="s">
        <v>394</v>
      </c>
      <c r="D29" s="93" t="s">
        <v>422</v>
      </c>
      <c r="E29" s="94" t="s">
        <v>423</v>
      </c>
      <c r="F29" s="93" t="s">
        <v>397</v>
      </c>
      <c r="G29" s="93" t="s">
        <v>304</v>
      </c>
      <c r="H29" s="93" t="s">
        <v>13</v>
      </c>
      <c r="I29" s="93" t="s">
        <v>255</v>
      </c>
      <c r="J29" s="93" t="s">
        <v>47</v>
      </c>
      <c r="K29" s="93"/>
      <c r="L29" s="95">
        <v>1.1500000000000001</v>
      </c>
      <c r="M29" s="95">
        <f>L29*VLOOKUP(H29,dagsoorttabel1,2,FALSE)</f>
        <v>0.90196078431372562</v>
      </c>
      <c r="N29" s="96">
        <f>prodnorm74</f>
        <v>0</v>
      </c>
      <c r="O29" s="37">
        <f>dagwerk74</f>
        <v>0</v>
      </c>
      <c r="P29" s="93" t="s">
        <v>105</v>
      </c>
      <c r="Q29" s="24">
        <f>uurtarief74</f>
        <v>0</v>
      </c>
      <c r="R29" s="95" t="e">
        <f>IF(ISBLANK(N29),0,M29/ROUND(N29,4))</f>
        <v>#DIV/0!</v>
      </c>
      <c r="S29" s="95" t="e">
        <f>IF(ISBLANK(N29),0,R29*ROUND(O29,2))</f>
        <v>#DIV/0!</v>
      </c>
      <c r="T29" s="24" t="e">
        <f>ROUND(Q29,2)*R29</f>
        <v>#DIV/0!</v>
      </c>
      <c r="U29" s="95" t="e">
        <f>R29*dagenperjaar1</f>
        <v>#DIV/0!</v>
      </c>
      <c r="V29" s="25" t="e">
        <f>U29*ROUND(Q29,2)</f>
        <v>#DIV/0!</v>
      </c>
    </row>
    <row r="30" spans="1:22" x14ac:dyDescent="0.2">
      <c r="A30" s="92" t="s">
        <v>393</v>
      </c>
      <c r="B30" s="93" t="s">
        <v>47</v>
      </c>
      <c r="C30" s="93" t="s">
        <v>394</v>
      </c>
      <c r="D30" s="93" t="s">
        <v>422</v>
      </c>
      <c r="E30" s="94" t="s">
        <v>423</v>
      </c>
      <c r="F30" s="93" t="s">
        <v>397</v>
      </c>
      <c r="G30" s="93" t="s">
        <v>306</v>
      </c>
      <c r="H30" s="93" t="s">
        <v>13</v>
      </c>
      <c r="I30" s="93" t="s">
        <v>255</v>
      </c>
      <c r="J30" s="93" t="s">
        <v>47</v>
      </c>
      <c r="K30" s="93"/>
      <c r="L30" s="95">
        <v>1.1500000000000001</v>
      </c>
      <c r="M30" s="95">
        <f>L30*VLOOKUP(H30,dagsoorttabel1,2,FALSE)</f>
        <v>0.90196078431372562</v>
      </c>
      <c r="N30" s="96">
        <f>prodnorm78</f>
        <v>0</v>
      </c>
      <c r="O30" s="37">
        <f>dagwerk78</f>
        <v>0</v>
      </c>
      <c r="P30" s="93" t="s">
        <v>105</v>
      </c>
      <c r="Q30" s="24">
        <f>uurtarief78</f>
        <v>0</v>
      </c>
      <c r="R30" s="95" t="e">
        <f>IF(ISBLANK(N30),0,M30/ROUND(N30,4))</f>
        <v>#DIV/0!</v>
      </c>
      <c r="S30" s="95" t="e">
        <f>IF(ISBLANK(N30),0,R30*ROUND(O30,2))</f>
        <v>#DIV/0!</v>
      </c>
      <c r="T30" s="24" t="e">
        <f>ROUND(Q30,2)*R30</f>
        <v>#DIV/0!</v>
      </c>
      <c r="U30" s="95" t="e">
        <f>R30*dagenperjaar1</f>
        <v>#DIV/0!</v>
      </c>
      <c r="V30" s="25" t="e">
        <f>U30*ROUND(Q30,2)</f>
        <v>#DIV/0!</v>
      </c>
    </row>
    <row r="31" spans="1:22" x14ac:dyDescent="0.2">
      <c r="A31" s="92" t="s">
        <v>393</v>
      </c>
      <c r="B31" s="93" t="s">
        <v>47</v>
      </c>
      <c r="C31" s="93" t="s">
        <v>394</v>
      </c>
      <c r="D31" s="93" t="s">
        <v>424</v>
      </c>
      <c r="E31" s="94" t="s">
        <v>407</v>
      </c>
      <c r="F31" s="93" t="s">
        <v>408</v>
      </c>
      <c r="G31" s="93" t="s">
        <v>266</v>
      </c>
      <c r="H31" s="93" t="s">
        <v>13</v>
      </c>
      <c r="I31" s="93" t="s">
        <v>255</v>
      </c>
      <c r="J31" s="93" t="s">
        <v>47</v>
      </c>
      <c r="K31" s="93"/>
      <c r="L31" s="95">
        <v>8.4</v>
      </c>
      <c r="M31" s="95">
        <f>L31*VLOOKUP(H31,dagsoorttabel1,2,FALSE)</f>
        <v>6.5882352941176476</v>
      </c>
      <c r="N31" s="96">
        <f>prodnorm40</f>
        <v>0</v>
      </c>
      <c r="O31" s="37">
        <f>dagwerk40</f>
        <v>0</v>
      </c>
      <c r="P31" s="93" t="s">
        <v>105</v>
      </c>
      <c r="Q31" s="24">
        <f>uurtarief40</f>
        <v>0</v>
      </c>
      <c r="R31" s="95" t="e">
        <f>IF(ISBLANK(N31),0,M31/ROUND(N31,4))</f>
        <v>#DIV/0!</v>
      </c>
      <c r="S31" s="95" t="e">
        <f>IF(ISBLANK(N31),0,R31*ROUND(O31,2))</f>
        <v>#DIV/0!</v>
      </c>
      <c r="T31" s="24" t="e">
        <f>ROUND(Q31,2)*R31</f>
        <v>#DIV/0!</v>
      </c>
      <c r="U31" s="95" t="e">
        <f>R31*dagenperjaar1</f>
        <v>#DIV/0!</v>
      </c>
      <c r="V31" s="25" t="e">
        <f>U31*ROUND(Q31,2)</f>
        <v>#DIV/0!</v>
      </c>
    </row>
    <row r="32" spans="1:22" x14ac:dyDescent="0.2">
      <c r="A32" s="92" t="s">
        <v>393</v>
      </c>
      <c r="B32" s="93" t="s">
        <v>47</v>
      </c>
      <c r="C32" s="93" t="s">
        <v>394</v>
      </c>
      <c r="D32" s="93" t="s">
        <v>424</v>
      </c>
      <c r="E32" s="94" t="s">
        <v>407</v>
      </c>
      <c r="F32" s="93" t="s">
        <v>408</v>
      </c>
      <c r="G32" s="93" t="s">
        <v>268</v>
      </c>
      <c r="H32" s="93" t="s">
        <v>13</v>
      </c>
      <c r="I32" s="93" t="s">
        <v>255</v>
      </c>
      <c r="J32" s="93" t="s">
        <v>47</v>
      </c>
      <c r="K32" s="93"/>
      <c r="L32" s="95">
        <v>8.4</v>
      </c>
      <c r="M32" s="95">
        <f>L32*VLOOKUP(H32,dagsoorttabel1,2,FALSE)</f>
        <v>6.5882352941176476</v>
      </c>
      <c r="N32" s="96">
        <f>prodnorm42</f>
        <v>0</v>
      </c>
      <c r="O32" s="37">
        <f>dagwerk42</f>
        <v>0</v>
      </c>
      <c r="P32" s="93" t="s">
        <v>105</v>
      </c>
      <c r="Q32" s="24">
        <f>uurtarief42</f>
        <v>0</v>
      </c>
      <c r="R32" s="95" t="e">
        <f>IF(ISBLANK(N32),0,M32/ROUND(N32,4))</f>
        <v>#DIV/0!</v>
      </c>
      <c r="S32" s="95" t="e">
        <f>IF(ISBLANK(N32),0,R32*ROUND(O32,2))</f>
        <v>#DIV/0!</v>
      </c>
      <c r="T32" s="24" t="e">
        <f>ROUND(Q32,2)*R32</f>
        <v>#DIV/0!</v>
      </c>
      <c r="U32" s="95" t="e">
        <f>R32*dagenperjaar1</f>
        <v>#DIV/0!</v>
      </c>
      <c r="V32" s="25" t="e">
        <f>U32*ROUND(Q32,2)</f>
        <v>#DIV/0!</v>
      </c>
    </row>
    <row r="33" spans="1:22" x14ac:dyDescent="0.2">
      <c r="A33" s="92" t="s">
        <v>393</v>
      </c>
      <c r="B33" s="93" t="s">
        <v>47</v>
      </c>
      <c r="C33" s="93" t="s">
        <v>394</v>
      </c>
      <c r="D33" s="93" t="s">
        <v>425</v>
      </c>
      <c r="E33" s="94" t="s">
        <v>423</v>
      </c>
      <c r="F33" s="93" t="s">
        <v>397</v>
      </c>
      <c r="G33" s="93" t="s">
        <v>304</v>
      </c>
      <c r="H33" s="93" t="s">
        <v>13</v>
      </c>
      <c r="I33" s="93" t="s">
        <v>255</v>
      </c>
      <c r="J33" s="93" t="s">
        <v>47</v>
      </c>
      <c r="K33" s="93"/>
      <c r="L33" s="95">
        <v>1.1500000000000001</v>
      </c>
      <c r="M33" s="95">
        <f>L33*VLOOKUP(H33,dagsoorttabel1,2,FALSE)</f>
        <v>0.90196078431372562</v>
      </c>
      <c r="N33" s="96">
        <f>prodnorm74</f>
        <v>0</v>
      </c>
      <c r="O33" s="37">
        <f>dagwerk74</f>
        <v>0</v>
      </c>
      <c r="P33" s="93" t="s">
        <v>105</v>
      </c>
      <c r="Q33" s="24">
        <f>uurtarief74</f>
        <v>0</v>
      </c>
      <c r="R33" s="95" t="e">
        <f>IF(ISBLANK(N33),0,M33/ROUND(N33,4))</f>
        <v>#DIV/0!</v>
      </c>
      <c r="S33" s="95" t="e">
        <f>IF(ISBLANK(N33),0,R33*ROUND(O33,2))</f>
        <v>#DIV/0!</v>
      </c>
      <c r="T33" s="24" t="e">
        <f>ROUND(Q33,2)*R33</f>
        <v>#DIV/0!</v>
      </c>
      <c r="U33" s="95" t="e">
        <f>R33*dagenperjaar1</f>
        <v>#DIV/0!</v>
      </c>
      <c r="V33" s="25" t="e">
        <f>U33*ROUND(Q33,2)</f>
        <v>#DIV/0!</v>
      </c>
    </row>
    <row r="34" spans="1:22" x14ac:dyDescent="0.2">
      <c r="A34" s="92" t="s">
        <v>393</v>
      </c>
      <c r="B34" s="93" t="s">
        <v>47</v>
      </c>
      <c r="C34" s="93" t="s">
        <v>394</v>
      </c>
      <c r="D34" s="93" t="s">
        <v>426</v>
      </c>
      <c r="E34" s="94" t="s">
        <v>407</v>
      </c>
      <c r="F34" s="93" t="s">
        <v>408</v>
      </c>
      <c r="G34" s="93" t="s">
        <v>266</v>
      </c>
      <c r="H34" s="93" t="s">
        <v>13</v>
      </c>
      <c r="I34" s="93" t="s">
        <v>255</v>
      </c>
      <c r="J34" s="93" t="s">
        <v>47</v>
      </c>
      <c r="K34" s="93"/>
      <c r="L34" s="95">
        <v>1.1500000000000001</v>
      </c>
      <c r="M34" s="95">
        <f>L34*VLOOKUP(H34,dagsoorttabel1,2,FALSE)</f>
        <v>0.90196078431372562</v>
      </c>
      <c r="N34" s="96">
        <f>prodnorm40</f>
        <v>0</v>
      </c>
      <c r="O34" s="37">
        <f>dagwerk40</f>
        <v>0</v>
      </c>
      <c r="P34" s="93" t="s">
        <v>105</v>
      </c>
      <c r="Q34" s="24">
        <f>uurtarief40</f>
        <v>0</v>
      </c>
      <c r="R34" s="95" t="e">
        <f>IF(ISBLANK(N34),0,M34/ROUND(N34,4))</f>
        <v>#DIV/0!</v>
      </c>
      <c r="S34" s="95" t="e">
        <f>IF(ISBLANK(N34),0,R34*ROUND(O34,2))</f>
        <v>#DIV/0!</v>
      </c>
      <c r="T34" s="24" t="e">
        <f>ROUND(Q34,2)*R34</f>
        <v>#DIV/0!</v>
      </c>
      <c r="U34" s="95" t="e">
        <f>R34*dagenperjaar1</f>
        <v>#DIV/0!</v>
      </c>
      <c r="V34" s="25" t="e">
        <f>U34*ROUND(Q34,2)</f>
        <v>#DIV/0!</v>
      </c>
    </row>
    <row r="35" spans="1:22" x14ac:dyDescent="0.2">
      <c r="A35" s="92" t="s">
        <v>393</v>
      </c>
      <c r="B35" s="93" t="s">
        <v>47</v>
      </c>
      <c r="C35" s="93" t="s">
        <v>394</v>
      </c>
      <c r="D35" s="93" t="s">
        <v>427</v>
      </c>
      <c r="E35" s="94" t="s">
        <v>428</v>
      </c>
      <c r="F35" s="93" t="s">
        <v>397</v>
      </c>
      <c r="G35" s="93" t="s">
        <v>314</v>
      </c>
      <c r="H35" s="93" t="s">
        <v>22</v>
      </c>
      <c r="I35" s="93" t="s">
        <v>255</v>
      </c>
      <c r="J35" s="93" t="s">
        <v>47</v>
      </c>
      <c r="K35" s="93"/>
      <c r="L35" s="95">
        <v>6.25</v>
      </c>
      <c r="M35" s="95">
        <f>L35*VLOOKUP(H35,dagsoorttabel1,2,FALSE)</f>
        <v>0.98039215686274506</v>
      </c>
      <c r="N35" s="96">
        <f>prodnorm90</f>
        <v>0</v>
      </c>
      <c r="O35" s="37">
        <f>dagwerk90</f>
        <v>0</v>
      </c>
      <c r="P35" s="93" t="s">
        <v>105</v>
      </c>
      <c r="Q35" s="24">
        <f>uurtarief90</f>
        <v>0</v>
      </c>
      <c r="R35" s="95" t="e">
        <f>IF(ISBLANK(N35),0,M35/ROUND(N35,4))</f>
        <v>#DIV/0!</v>
      </c>
      <c r="S35" s="95" t="e">
        <f>IF(ISBLANK(N35),0,R35*ROUND(O35,2))</f>
        <v>#DIV/0!</v>
      </c>
      <c r="T35" s="24" t="e">
        <f>ROUND(Q35,2)*R35</f>
        <v>#DIV/0!</v>
      </c>
      <c r="U35" s="95" t="e">
        <f>R35*dagenperjaar1</f>
        <v>#DIV/0!</v>
      </c>
      <c r="V35" s="25" t="e">
        <f>U35*ROUND(Q35,2)</f>
        <v>#DIV/0!</v>
      </c>
    </row>
    <row r="36" spans="1:22" x14ac:dyDescent="0.2">
      <c r="A36" s="92" t="s">
        <v>393</v>
      </c>
      <c r="B36" s="93" t="s">
        <v>47</v>
      </c>
      <c r="C36" s="93" t="s">
        <v>394</v>
      </c>
      <c r="D36" s="93" t="s">
        <v>429</v>
      </c>
      <c r="E36" s="94" t="s">
        <v>430</v>
      </c>
      <c r="F36" s="93" t="s">
        <v>431</v>
      </c>
      <c r="G36" s="93" t="s">
        <v>280</v>
      </c>
      <c r="H36" s="93" t="s">
        <v>13</v>
      </c>
      <c r="I36" s="93" t="s">
        <v>255</v>
      </c>
      <c r="J36" s="93" t="s">
        <v>47</v>
      </c>
      <c r="K36" s="93"/>
      <c r="L36" s="95">
        <v>770</v>
      </c>
      <c r="M36" s="95">
        <f>L36*VLOOKUP(H36,dagsoorttabel1,2,FALSE)</f>
        <v>603.92156862745094</v>
      </c>
      <c r="N36" s="96">
        <f>prodnorm52</f>
        <v>0</v>
      </c>
      <c r="O36" s="37">
        <f>dagwerk52</f>
        <v>0</v>
      </c>
      <c r="P36" s="93" t="s">
        <v>105</v>
      </c>
      <c r="Q36" s="24">
        <f>uurtarief52</f>
        <v>0</v>
      </c>
      <c r="R36" s="95" t="e">
        <f>IF(ISBLANK(N36),0,M36/ROUND(N36,4))</f>
        <v>#DIV/0!</v>
      </c>
      <c r="S36" s="95" t="e">
        <f>IF(ISBLANK(N36),0,R36*ROUND(O36,2))</f>
        <v>#DIV/0!</v>
      </c>
      <c r="T36" s="24" t="e">
        <f>ROUND(Q36,2)*R36</f>
        <v>#DIV/0!</v>
      </c>
      <c r="U36" s="95" t="e">
        <f>R36*dagenperjaar1</f>
        <v>#DIV/0!</v>
      </c>
      <c r="V36" s="25" t="e">
        <f>U36*ROUND(Q36,2)</f>
        <v>#DIV/0!</v>
      </c>
    </row>
    <row r="37" spans="1:22" x14ac:dyDescent="0.2">
      <c r="A37" s="92" t="s">
        <v>393</v>
      </c>
      <c r="B37" s="93" t="s">
        <v>47</v>
      </c>
      <c r="C37" s="93" t="s">
        <v>394</v>
      </c>
      <c r="D37" s="93" t="s">
        <v>429</v>
      </c>
      <c r="E37" s="94" t="s">
        <v>430</v>
      </c>
      <c r="F37" s="93" t="s">
        <v>431</v>
      </c>
      <c r="G37" s="93" t="s">
        <v>282</v>
      </c>
      <c r="H37" s="93" t="s">
        <v>13</v>
      </c>
      <c r="I37" s="93" t="s">
        <v>255</v>
      </c>
      <c r="J37" s="93" t="s">
        <v>47</v>
      </c>
      <c r="K37" s="93"/>
      <c r="L37" s="95">
        <v>770</v>
      </c>
      <c r="M37" s="95">
        <f>L37*VLOOKUP(H37,dagsoorttabel1,2,FALSE)</f>
        <v>603.92156862745094</v>
      </c>
      <c r="N37" s="96">
        <f>prodnorm55</f>
        <v>0</v>
      </c>
      <c r="O37" s="37">
        <f>dagwerk55</f>
        <v>0</v>
      </c>
      <c r="P37" s="93" t="s">
        <v>105</v>
      </c>
      <c r="Q37" s="24">
        <f>uurtarief55</f>
        <v>0</v>
      </c>
      <c r="R37" s="95" t="e">
        <f>IF(ISBLANK(N37),0,M37/ROUND(N37,4))</f>
        <v>#DIV/0!</v>
      </c>
      <c r="S37" s="95" t="e">
        <f>IF(ISBLANK(N37),0,R37*ROUND(O37,2))</f>
        <v>#DIV/0!</v>
      </c>
      <c r="T37" s="24" t="e">
        <f>ROUND(Q37,2)*R37</f>
        <v>#DIV/0!</v>
      </c>
      <c r="U37" s="95" t="e">
        <f>R37*dagenperjaar1</f>
        <v>#DIV/0!</v>
      </c>
      <c r="V37" s="25" t="e">
        <f>U37*ROUND(Q37,2)</f>
        <v>#DIV/0!</v>
      </c>
    </row>
    <row r="38" spans="1:22" x14ac:dyDescent="0.2">
      <c r="A38" s="92" t="s">
        <v>393</v>
      </c>
      <c r="B38" s="93" t="s">
        <v>47</v>
      </c>
      <c r="C38" s="93" t="s">
        <v>394</v>
      </c>
      <c r="D38" s="93" t="s">
        <v>432</v>
      </c>
      <c r="E38" s="94" t="s">
        <v>433</v>
      </c>
      <c r="F38" s="93" t="s">
        <v>397</v>
      </c>
      <c r="G38" s="93" t="s">
        <v>280</v>
      </c>
      <c r="H38" s="93" t="s">
        <v>22</v>
      </c>
      <c r="I38" s="93" t="s">
        <v>255</v>
      </c>
      <c r="J38" s="93" t="s">
        <v>47</v>
      </c>
      <c r="K38" s="93"/>
      <c r="L38" s="95">
        <v>113.28</v>
      </c>
      <c r="M38" s="95">
        <f>L38*VLOOKUP(H38,dagsoorttabel1,2,FALSE)</f>
        <v>17.769411764705882</v>
      </c>
      <c r="N38" s="96">
        <f>prodnorm54</f>
        <v>0</v>
      </c>
      <c r="O38" s="37">
        <f>dagwerk54</f>
        <v>0</v>
      </c>
      <c r="P38" s="93" t="s">
        <v>105</v>
      </c>
      <c r="Q38" s="24">
        <f>uurtarief54</f>
        <v>0</v>
      </c>
      <c r="R38" s="95" t="e">
        <f>IF(ISBLANK(N38),0,M38/ROUND(N38,4))</f>
        <v>#DIV/0!</v>
      </c>
      <c r="S38" s="95" t="e">
        <f>IF(ISBLANK(N38),0,R38*ROUND(O38,2))</f>
        <v>#DIV/0!</v>
      </c>
      <c r="T38" s="24" t="e">
        <f>ROUND(Q38,2)*R38</f>
        <v>#DIV/0!</v>
      </c>
      <c r="U38" s="95" t="e">
        <f>R38*dagenperjaar1</f>
        <v>#DIV/0!</v>
      </c>
      <c r="V38" s="25" t="e">
        <f>U38*ROUND(Q38,2)</f>
        <v>#DIV/0!</v>
      </c>
    </row>
    <row r="39" spans="1:22" x14ac:dyDescent="0.2">
      <c r="A39" s="97" t="s">
        <v>393</v>
      </c>
      <c r="B39" s="98" t="s">
        <v>47</v>
      </c>
      <c r="C39" s="98" t="s">
        <v>394</v>
      </c>
      <c r="D39" s="98" t="s">
        <v>434</v>
      </c>
      <c r="E39" s="99" t="s">
        <v>435</v>
      </c>
      <c r="F39" s="98" t="s">
        <v>431</v>
      </c>
      <c r="G39" s="98" t="s">
        <v>314</v>
      </c>
      <c r="H39" s="98" t="s">
        <v>13</v>
      </c>
      <c r="I39" s="98" t="s">
        <v>255</v>
      </c>
      <c r="J39" s="98" t="s">
        <v>47</v>
      </c>
      <c r="K39" s="98"/>
      <c r="L39" s="100">
        <v>16</v>
      </c>
      <c r="M39" s="100">
        <f>L39*VLOOKUP(H39,dagsoorttabel1,2,FALSE)</f>
        <v>12.549019607843137</v>
      </c>
      <c r="N39" s="101">
        <f>prodnorm88</f>
        <v>0</v>
      </c>
      <c r="O39" s="102">
        <f>dagwerk88</f>
        <v>0</v>
      </c>
      <c r="P39" s="98" t="s">
        <v>105</v>
      </c>
      <c r="Q39" s="34">
        <f>uurtarief88</f>
        <v>0</v>
      </c>
      <c r="R39" s="100" t="e">
        <f>IF(ISBLANK(N39),0,M39/ROUND(N39,4))</f>
        <v>#DIV/0!</v>
      </c>
      <c r="S39" s="100" t="e">
        <f>IF(ISBLANK(N39),0,R39*ROUND(O39,2))</f>
        <v>#DIV/0!</v>
      </c>
      <c r="T39" s="34" t="e">
        <f>ROUND(Q39,2)*R39</f>
        <v>#DIV/0!</v>
      </c>
      <c r="U39" s="100" t="e">
        <f>R39*dagenperjaar1</f>
        <v>#DIV/0!</v>
      </c>
      <c r="V39" s="35" t="e">
        <f>U39*ROUND(Q39,2)</f>
        <v>#DIV/0!</v>
      </c>
    </row>
    <row r="40" spans="1:22" x14ac:dyDescent="0.2">
      <c r="A40" s="103" t="s">
        <v>436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5" t="e">
        <f>IF(_xlfn.SINGLE(object1_urenjaar1)&gt;0,_xlfn.SINGLE(object1_prijsjaar1)/_xlfn.SINGLE(object1_urenjaar1),0)</f>
        <v>#DIV/0!</v>
      </c>
      <c r="R40" s="74" t="e">
        <f>SUM(R5:R39)</f>
        <v>#DIV/0!</v>
      </c>
      <c r="S40" s="74" t="e">
        <f>SUM(S5:S39)</f>
        <v>#DIV/0!</v>
      </c>
      <c r="T40" s="75" t="e">
        <f>SUM(T5:T39)</f>
        <v>#DIV/0!</v>
      </c>
      <c r="U40" s="74" t="e">
        <f>SUM(U5:U39)</f>
        <v>#DIV/0!</v>
      </c>
      <c r="V40" s="76" t="e">
        <f>SUM(V5:V39)</f>
        <v>#DIV/0!</v>
      </c>
    </row>
    <row r="41" spans="1:22" x14ac:dyDescent="0.2">
      <c r="A41" s="83" t="s">
        <v>437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71"/>
    </row>
    <row r="42" spans="1:22" x14ac:dyDescent="0.2">
      <c r="A42" s="84" t="s">
        <v>438</v>
      </c>
      <c r="B42" s="85" t="s">
        <v>47</v>
      </c>
      <c r="C42" s="85" t="s">
        <v>394</v>
      </c>
      <c r="D42" s="85" t="s">
        <v>395</v>
      </c>
      <c r="E42" s="86" t="s">
        <v>430</v>
      </c>
      <c r="F42" s="85" t="s">
        <v>439</v>
      </c>
      <c r="G42" s="85" t="s">
        <v>280</v>
      </c>
      <c r="H42" s="85" t="s">
        <v>13</v>
      </c>
      <c r="I42" s="85" t="s">
        <v>255</v>
      </c>
      <c r="J42" s="85" t="s">
        <v>47</v>
      </c>
      <c r="K42" s="85"/>
      <c r="L42" s="87">
        <v>1344</v>
      </c>
      <c r="M42" s="87">
        <f>L42*VLOOKUP(H42,dagsoorttabel1,2,FALSE)</f>
        <v>1054.1176470588234</v>
      </c>
      <c r="N42" s="88">
        <f>prodnorm52</f>
        <v>0</v>
      </c>
      <c r="O42" s="89">
        <f>dagwerk52</f>
        <v>0</v>
      </c>
      <c r="P42" s="85" t="s">
        <v>105</v>
      </c>
      <c r="Q42" s="90">
        <f>uurtarief52</f>
        <v>0</v>
      </c>
      <c r="R42" s="87" t="e">
        <f>IF(ISBLANK(N42),0,M42/ROUND(N42,4))</f>
        <v>#DIV/0!</v>
      </c>
      <c r="S42" s="87" t="e">
        <f>IF(ISBLANK(N42),0,R42*ROUND(O42,2))</f>
        <v>#DIV/0!</v>
      </c>
      <c r="T42" s="90" t="e">
        <f>ROUND(Q42,2)*R42</f>
        <v>#DIV/0!</v>
      </c>
      <c r="U42" s="87" t="e">
        <f>R42*dagenperjaar1</f>
        <v>#DIV/0!</v>
      </c>
      <c r="V42" s="91" t="e">
        <f>U42*ROUND(Q42,2)</f>
        <v>#DIV/0!</v>
      </c>
    </row>
    <row r="43" spans="1:22" x14ac:dyDescent="0.2">
      <c r="A43" s="92" t="s">
        <v>438</v>
      </c>
      <c r="B43" s="93" t="s">
        <v>47</v>
      </c>
      <c r="C43" s="93" t="s">
        <v>394</v>
      </c>
      <c r="D43" s="93" t="s">
        <v>395</v>
      </c>
      <c r="E43" s="94" t="s">
        <v>430</v>
      </c>
      <c r="F43" s="93" t="s">
        <v>439</v>
      </c>
      <c r="G43" s="93" t="s">
        <v>282</v>
      </c>
      <c r="H43" s="93" t="s">
        <v>13</v>
      </c>
      <c r="I43" s="93" t="s">
        <v>255</v>
      </c>
      <c r="J43" s="93" t="s">
        <v>47</v>
      </c>
      <c r="K43" s="93"/>
      <c r="L43" s="95">
        <v>1344</v>
      </c>
      <c r="M43" s="95">
        <f>L43*VLOOKUP(H43,dagsoorttabel1,2,FALSE)</f>
        <v>1054.1176470588234</v>
      </c>
      <c r="N43" s="96">
        <f>prodnorm55</f>
        <v>0</v>
      </c>
      <c r="O43" s="37">
        <f>dagwerk55</f>
        <v>0</v>
      </c>
      <c r="P43" s="93" t="s">
        <v>105</v>
      </c>
      <c r="Q43" s="24">
        <f>uurtarief55</f>
        <v>0</v>
      </c>
      <c r="R43" s="95" t="e">
        <f>IF(ISBLANK(N43),0,M43/ROUND(N43,4))</f>
        <v>#DIV/0!</v>
      </c>
      <c r="S43" s="95" t="e">
        <f>IF(ISBLANK(N43),0,R43*ROUND(O43,2))</f>
        <v>#DIV/0!</v>
      </c>
      <c r="T43" s="24" t="e">
        <f>ROUND(Q43,2)*R43</f>
        <v>#DIV/0!</v>
      </c>
      <c r="U43" s="95" t="e">
        <f>R43*dagenperjaar1</f>
        <v>#DIV/0!</v>
      </c>
      <c r="V43" s="25" t="e">
        <f>U43*ROUND(Q43,2)</f>
        <v>#DIV/0!</v>
      </c>
    </row>
    <row r="44" spans="1:22" x14ac:dyDescent="0.2">
      <c r="A44" s="92" t="s">
        <v>438</v>
      </c>
      <c r="B44" s="93" t="s">
        <v>47</v>
      </c>
      <c r="C44" s="93" t="s">
        <v>394</v>
      </c>
      <c r="D44" s="93" t="s">
        <v>398</v>
      </c>
      <c r="E44" s="94" t="s">
        <v>440</v>
      </c>
      <c r="F44" s="93" t="s">
        <v>441</v>
      </c>
      <c r="G44" s="93" t="s">
        <v>280</v>
      </c>
      <c r="H44" s="93" t="s">
        <v>22</v>
      </c>
      <c r="I44" s="93" t="s">
        <v>255</v>
      </c>
      <c r="J44" s="93" t="s">
        <v>47</v>
      </c>
      <c r="K44" s="93"/>
      <c r="L44" s="95">
        <v>208</v>
      </c>
      <c r="M44" s="95">
        <f>L44*VLOOKUP(H44,dagsoorttabel1,2,FALSE)</f>
        <v>32.627450980392155</v>
      </c>
      <c r="N44" s="96">
        <f>prodnorm54</f>
        <v>0</v>
      </c>
      <c r="O44" s="37">
        <f>dagwerk54</f>
        <v>0</v>
      </c>
      <c r="P44" s="93" t="s">
        <v>105</v>
      </c>
      <c r="Q44" s="24">
        <f>uurtarief54</f>
        <v>0</v>
      </c>
      <c r="R44" s="95" t="e">
        <f>IF(ISBLANK(N44),0,M44/ROUND(N44,4))</f>
        <v>#DIV/0!</v>
      </c>
      <c r="S44" s="95" t="e">
        <f>IF(ISBLANK(N44),0,R44*ROUND(O44,2))</f>
        <v>#DIV/0!</v>
      </c>
      <c r="T44" s="24" t="e">
        <f>ROUND(Q44,2)*R44</f>
        <v>#DIV/0!</v>
      </c>
      <c r="U44" s="95" t="e">
        <f>R44*dagenperjaar1</f>
        <v>#DIV/0!</v>
      </c>
      <c r="V44" s="25" t="e">
        <f>U44*ROUND(Q44,2)</f>
        <v>#DIV/0!</v>
      </c>
    </row>
    <row r="45" spans="1:22" x14ac:dyDescent="0.2">
      <c r="A45" s="92" t="s">
        <v>438</v>
      </c>
      <c r="B45" s="93" t="s">
        <v>47</v>
      </c>
      <c r="C45" s="93" t="s">
        <v>394</v>
      </c>
      <c r="D45" s="93" t="s">
        <v>400</v>
      </c>
      <c r="E45" s="94" t="s">
        <v>407</v>
      </c>
      <c r="F45" s="93" t="s">
        <v>442</v>
      </c>
      <c r="G45" s="93" t="s">
        <v>266</v>
      </c>
      <c r="H45" s="93" t="s">
        <v>13</v>
      </c>
      <c r="I45" s="93" t="s">
        <v>255</v>
      </c>
      <c r="J45" s="93" t="s">
        <v>47</v>
      </c>
      <c r="K45" s="93"/>
      <c r="L45" s="95">
        <v>15</v>
      </c>
      <c r="M45" s="95">
        <f>L45*VLOOKUP(H45,dagsoorttabel1,2,FALSE)</f>
        <v>11.76470588235294</v>
      </c>
      <c r="N45" s="96">
        <f>prodnorm40</f>
        <v>0</v>
      </c>
      <c r="O45" s="37">
        <f>dagwerk40</f>
        <v>0</v>
      </c>
      <c r="P45" s="93" t="s">
        <v>105</v>
      </c>
      <c r="Q45" s="24">
        <f>uurtarief40</f>
        <v>0</v>
      </c>
      <c r="R45" s="95" t="e">
        <f>IF(ISBLANK(N45),0,M45/ROUND(N45,4))</f>
        <v>#DIV/0!</v>
      </c>
      <c r="S45" s="95" t="e">
        <f>IF(ISBLANK(N45),0,R45*ROUND(O45,2))</f>
        <v>#DIV/0!</v>
      </c>
      <c r="T45" s="24" t="e">
        <f>ROUND(Q45,2)*R45</f>
        <v>#DIV/0!</v>
      </c>
      <c r="U45" s="95" t="e">
        <f>R45*dagenperjaar1</f>
        <v>#DIV/0!</v>
      </c>
      <c r="V45" s="25" t="e">
        <f>U45*ROUND(Q45,2)</f>
        <v>#DIV/0!</v>
      </c>
    </row>
    <row r="46" spans="1:22" x14ac:dyDescent="0.2">
      <c r="A46" s="92" t="s">
        <v>438</v>
      </c>
      <c r="B46" s="93" t="s">
        <v>47</v>
      </c>
      <c r="C46" s="93" t="s">
        <v>394</v>
      </c>
      <c r="D46" s="93" t="s">
        <v>400</v>
      </c>
      <c r="E46" s="94" t="s">
        <v>407</v>
      </c>
      <c r="F46" s="93" t="s">
        <v>442</v>
      </c>
      <c r="G46" s="93" t="s">
        <v>268</v>
      </c>
      <c r="H46" s="93" t="s">
        <v>13</v>
      </c>
      <c r="I46" s="93" t="s">
        <v>255</v>
      </c>
      <c r="J46" s="93" t="s">
        <v>47</v>
      </c>
      <c r="K46" s="93"/>
      <c r="L46" s="95">
        <v>15</v>
      </c>
      <c r="M46" s="95">
        <f>L46*VLOOKUP(H46,dagsoorttabel1,2,FALSE)</f>
        <v>11.76470588235294</v>
      </c>
      <c r="N46" s="96">
        <f>prodnorm42</f>
        <v>0</v>
      </c>
      <c r="O46" s="37">
        <f>dagwerk42</f>
        <v>0</v>
      </c>
      <c r="P46" s="93" t="s">
        <v>105</v>
      </c>
      <c r="Q46" s="24">
        <f>uurtarief42</f>
        <v>0</v>
      </c>
      <c r="R46" s="95" t="e">
        <f>IF(ISBLANK(N46),0,M46/ROUND(N46,4))</f>
        <v>#DIV/0!</v>
      </c>
      <c r="S46" s="95" t="e">
        <f>IF(ISBLANK(N46),0,R46*ROUND(O46,2))</f>
        <v>#DIV/0!</v>
      </c>
      <c r="T46" s="24" t="e">
        <f>ROUND(Q46,2)*R46</f>
        <v>#DIV/0!</v>
      </c>
      <c r="U46" s="95" t="e">
        <f>R46*dagenperjaar1</f>
        <v>#DIV/0!</v>
      </c>
      <c r="V46" s="25" t="e">
        <f>U46*ROUND(Q46,2)</f>
        <v>#DIV/0!</v>
      </c>
    </row>
    <row r="47" spans="1:22" x14ac:dyDescent="0.2">
      <c r="A47" s="92" t="s">
        <v>438</v>
      </c>
      <c r="B47" s="93" t="s">
        <v>47</v>
      </c>
      <c r="C47" s="93" t="s">
        <v>394</v>
      </c>
      <c r="D47" s="93" t="s">
        <v>402</v>
      </c>
      <c r="E47" s="94" t="s">
        <v>407</v>
      </c>
      <c r="F47" s="93" t="s">
        <v>442</v>
      </c>
      <c r="G47" s="93" t="s">
        <v>266</v>
      </c>
      <c r="H47" s="93" t="s">
        <v>13</v>
      </c>
      <c r="I47" s="93" t="s">
        <v>255</v>
      </c>
      <c r="J47" s="93" t="s">
        <v>47</v>
      </c>
      <c r="K47" s="93"/>
      <c r="L47" s="95">
        <v>15</v>
      </c>
      <c r="M47" s="95">
        <f>L47*VLOOKUP(H47,dagsoorttabel1,2,FALSE)</f>
        <v>11.76470588235294</v>
      </c>
      <c r="N47" s="96">
        <f>prodnorm40</f>
        <v>0</v>
      </c>
      <c r="O47" s="37">
        <f>dagwerk40</f>
        <v>0</v>
      </c>
      <c r="P47" s="93" t="s">
        <v>105</v>
      </c>
      <c r="Q47" s="24">
        <f>uurtarief40</f>
        <v>0</v>
      </c>
      <c r="R47" s="95" t="e">
        <f>IF(ISBLANK(N47),0,M47/ROUND(N47,4))</f>
        <v>#DIV/0!</v>
      </c>
      <c r="S47" s="95" t="e">
        <f>IF(ISBLANK(N47),0,R47*ROUND(O47,2))</f>
        <v>#DIV/0!</v>
      </c>
      <c r="T47" s="24" t="e">
        <f>ROUND(Q47,2)*R47</f>
        <v>#DIV/0!</v>
      </c>
      <c r="U47" s="95" t="e">
        <f>R47*dagenperjaar1</f>
        <v>#DIV/0!</v>
      </c>
      <c r="V47" s="25" t="e">
        <f>U47*ROUND(Q47,2)</f>
        <v>#DIV/0!</v>
      </c>
    </row>
    <row r="48" spans="1:22" x14ac:dyDescent="0.2">
      <c r="A48" s="92" t="s">
        <v>438</v>
      </c>
      <c r="B48" s="93" t="s">
        <v>47</v>
      </c>
      <c r="C48" s="93" t="s">
        <v>394</v>
      </c>
      <c r="D48" s="93" t="s">
        <v>402</v>
      </c>
      <c r="E48" s="94" t="s">
        <v>407</v>
      </c>
      <c r="F48" s="93" t="s">
        <v>442</v>
      </c>
      <c r="G48" s="93" t="s">
        <v>268</v>
      </c>
      <c r="H48" s="93" t="s">
        <v>13</v>
      </c>
      <c r="I48" s="93" t="s">
        <v>255</v>
      </c>
      <c r="J48" s="93" t="s">
        <v>47</v>
      </c>
      <c r="K48" s="93"/>
      <c r="L48" s="95">
        <v>15</v>
      </c>
      <c r="M48" s="95">
        <f>L48*VLOOKUP(H48,dagsoorttabel1,2,FALSE)</f>
        <v>11.76470588235294</v>
      </c>
      <c r="N48" s="96">
        <f>prodnorm42</f>
        <v>0</v>
      </c>
      <c r="O48" s="37">
        <f>dagwerk42</f>
        <v>0</v>
      </c>
      <c r="P48" s="93" t="s">
        <v>105</v>
      </c>
      <c r="Q48" s="24">
        <f>uurtarief42</f>
        <v>0</v>
      </c>
      <c r="R48" s="95" t="e">
        <f>IF(ISBLANK(N48),0,M48/ROUND(N48,4))</f>
        <v>#DIV/0!</v>
      </c>
      <c r="S48" s="95" t="e">
        <f>IF(ISBLANK(N48),0,R48*ROUND(O48,2))</f>
        <v>#DIV/0!</v>
      </c>
      <c r="T48" s="24" t="e">
        <f>ROUND(Q48,2)*R48</f>
        <v>#DIV/0!</v>
      </c>
      <c r="U48" s="95" t="e">
        <f>R48*dagenperjaar1</f>
        <v>#DIV/0!</v>
      </c>
      <c r="V48" s="25" t="e">
        <f>U48*ROUND(Q48,2)</f>
        <v>#DIV/0!</v>
      </c>
    </row>
    <row r="49" spans="1:22" x14ac:dyDescent="0.2">
      <c r="A49" s="92" t="s">
        <v>438</v>
      </c>
      <c r="B49" s="93" t="s">
        <v>47</v>
      </c>
      <c r="C49" s="93" t="s">
        <v>394</v>
      </c>
      <c r="D49" s="93" t="s">
        <v>404</v>
      </c>
      <c r="E49" s="94" t="s">
        <v>407</v>
      </c>
      <c r="F49" s="93" t="s">
        <v>442</v>
      </c>
      <c r="G49" s="93" t="s">
        <v>266</v>
      </c>
      <c r="H49" s="93" t="s">
        <v>13</v>
      </c>
      <c r="I49" s="93" t="s">
        <v>255</v>
      </c>
      <c r="J49" s="93" t="s">
        <v>47</v>
      </c>
      <c r="K49" s="93"/>
      <c r="L49" s="95">
        <v>15</v>
      </c>
      <c r="M49" s="95">
        <f>L49*VLOOKUP(H49,dagsoorttabel1,2,FALSE)</f>
        <v>11.76470588235294</v>
      </c>
      <c r="N49" s="96">
        <f>prodnorm40</f>
        <v>0</v>
      </c>
      <c r="O49" s="37">
        <f>dagwerk40</f>
        <v>0</v>
      </c>
      <c r="P49" s="93" t="s">
        <v>105</v>
      </c>
      <c r="Q49" s="24">
        <f>uurtarief40</f>
        <v>0</v>
      </c>
      <c r="R49" s="95" t="e">
        <f>IF(ISBLANK(N49),0,M49/ROUND(N49,4))</f>
        <v>#DIV/0!</v>
      </c>
      <c r="S49" s="95" t="e">
        <f>IF(ISBLANK(N49),0,R49*ROUND(O49,2))</f>
        <v>#DIV/0!</v>
      </c>
      <c r="T49" s="24" t="e">
        <f>ROUND(Q49,2)*R49</f>
        <v>#DIV/0!</v>
      </c>
      <c r="U49" s="95" t="e">
        <f>R49*dagenperjaar1</f>
        <v>#DIV/0!</v>
      </c>
      <c r="V49" s="25" t="e">
        <f>U49*ROUND(Q49,2)</f>
        <v>#DIV/0!</v>
      </c>
    </row>
    <row r="50" spans="1:22" x14ac:dyDescent="0.2">
      <c r="A50" s="92" t="s">
        <v>438</v>
      </c>
      <c r="B50" s="93" t="s">
        <v>47</v>
      </c>
      <c r="C50" s="93" t="s">
        <v>394</v>
      </c>
      <c r="D50" s="93" t="s">
        <v>404</v>
      </c>
      <c r="E50" s="94" t="s">
        <v>407</v>
      </c>
      <c r="F50" s="93" t="s">
        <v>442</v>
      </c>
      <c r="G50" s="93" t="s">
        <v>268</v>
      </c>
      <c r="H50" s="93" t="s">
        <v>13</v>
      </c>
      <c r="I50" s="93" t="s">
        <v>255</v>
      </c>
      <c r="J50" s="93" t="s">
        <v>47</v>
      </c>
      <c r="K50" s="93"/>
      <c r="L50" s="95">
        <v>15</v>
      </c>
      <c r="M50" s="95">
        <f>L50*VLOOKUP(H50,dagsoorttabel1,2,FALSE)</f>
        <v>11.76470588235294</v>
      </c>
      <c r="N50" s="96">
        <f>prodnorm42</f>
        <v>0</v>
      </c>
      <c r="O50" s="37">
        <f>dagwerk42</f>
        <v>0</v>
      </c>
      <c r="P50" s="93" t="s">
        <v>105</v>
      </c>
      <c r="Q50" s="24">
        <f>uurtarief42</f>
        <v>0</v>
      </c>
      <c r="R50" s="95" t="e">
        <f>IF(ISBLANK(N50),0,M50/ROUND(N50,4))</f>
        <v>#DIV/0!</v>
      </c>
      <c r="S50" s="95" t="e">
        <f>IF(ISBLANK(N50),0,R50*ROUND(O50,2))</f>
        <v>#DIV/0!</v>
      </c>
      <c r="T50" s="24" t="e">
        <f>ROUND(Q50,2)*R50</f>
        <v>#DIV/0!</v>
      </c>
      <c r="U50" s="95" t="e">
        <f>R50*dagenperjaar1</f>
        <v>#DIV/0!</v>
      </c>
      <c r="V50" s="25" t="e">
        <f>U50*ROUND(Q50,2)</f>
        <v>#DIV/0!</v>
      </c>
    </row>
    <row r="51" spans="1:22" x14ac:dyDescent="0.2">
      <c r="A51" s="92" t="s">
        <v>438</v>
      </c>
      <c r="B51" s="93" t="s">
        <v>47</v>
      </c>
      <c r="C51" s="93" t="s">
        <v>394</v>
      </c>
      <c r="D51" s="93" t="s">
        <v>406</v>
      </c>
      <c r="E51" s="94" t="s">
        <v>407</v>
      </c>
      <c r="F51" s="93" t="s">
        <v>442</v>
      </c>
      <c r="G51" s="93" t="s">
        <v>266</v>
      </c>
      <c r="H51" s="93" t="s">
        <v>13</v>
      </c>
      <c r="I51" s="93" t="s">
        <v>255</v>
      </c>
      <c r="J51" s="93" t="s">
        <v>47</v>
      </c>
      <c r="K51" s="93"/>
      <c r="L51" s="95">
        <v>15</v>
      </c>
      <c r="M51" s="95">
        <f>L51*VLOOKUP(H51,dagsoorttabel1,2,FALSE)</f>
        <v>11.76470588235294</v>
      </c>
      <c r="N51" s="96">
        <f>prodnorm40</f>
        <v>0</v>
      </c>
      <c r="O51" s="37">
        <f>dagwerk40</f>
        <v>0</v>
      </c>
      <c r="P51" s="93" t="s">
        <v>105</v>
      </c>
      <c r="Q51" s="24">
        <f>uurtarief40</f>
        <v>0</v>
      </c>
      <c r="R51" s="95" t="e">
        <f>IF(ISBLANK(N51),0,M51/ROUND(N51,4))</f>
        <v>#DIV/0!</v>
      </c>
      <c r="S51" s="95" t="e">
        <f>IF(ISBLANK(N51),0,R51*ROUND(O51,2))</f>
        <v>#DIV/0!</v>
      </c>
      <c r="T51" s="24" t="e">
        <f>ROUND(Q51,2)*R51</f>
        <v>#DIV/0!</v>
      </c>
      <c r="U51" s="95" t="e">
        <f>R51*dagenperjaar1</f>
        <v>#DIV/0!</v>
      </c>
      <c r="V51" s="25" t="e">
        <f>U51*ROUND(Q51,2)</f>
        <v>#DIV/0!</v>
      </c>
    </row>
    <row r="52" spans="1:22" x14ac:dyDescent="0.2">
      <c r="A52" s="92" t="s">
        <v>438</v>
      </c>
      <c r="B52" s="93" t="s">
        <v>47</v>
      </c>
      <c r="C52" s="93" t="s">
        <v>394</v>
      </c>
      <c r="D52" s="93" t="s">
        <v>406</v>
      </c>
      <c r="E52" s="94" t="s">
        <v>407</v>
      </c>
      <c r="F52" s="93" t="s">
        <v>442</v>
      </c>
      <c r="G52" s="93" t="s">
        <v>268</v>
      </c>
      <c r="H52" s="93" t="s">
        <v>13</v>
      </c>
      <c r="I52" s="93" t="s">
        <v>255</v>
      </c>
      <c r="J52" s="93" t="s">
        <v>47</v>
      </c>
      <c r="K52" s="93"/>
      <c r="L52" s="95">
        <v>15</v>
      </c>
      <c r="M52" s="95">
        <f>L52*VLOOKUP(H52,dagsoorttabel1,2,FALSE)</f>
        <v>11.76470588235294</v>
      </c>
      <c r="N52" s="96">
        <f>prodnorm42</f>
        <v>0</v>
      </c>
      <c r="O52" s="37">
        <f>dagwerk42</f>
        <v>0</v>
      </c>
      <c r="P52" s="93" t="s">
        <v>105</v>
      </c>
      <c r="Q52" s="24">
        <f>uurtarief42</f>
        <v>0</v>
      </c>
      <c r="R52" s="95" t="e">
        <f>IF(ISBLANK(N52),0,M52/ROUND(N52,4))</f>
        <v>#DIV/0!</v>
      </c>
      <c r="S52" s="95" t="e">
        <f>IF(ISBLANK(N52),0,R52*ROUND(O52,2))</f>
        <v>#DIV/0!</v>
      </c>
      <c r="T52" s="24" t="e">
        <f>ROUND(Q52,2)*R52</f>
        <v>#DIV/0!</v>
      </c>
      <c r="U52" s="95" t="e">
        <f>R52*dagenperjaar1</f>
        <v>#DIV/0!</v>
      </c>
      <c r="V52" s="25" t="e">
        <f>U52*ROUND(Q52,2)</f>
        <v>#DIV/0!</v>
      </c>
    </row>
    <row r="53" spans="1:22" x14ac:dyDescent="0.2">
      <c r="A53" s="92" t="s">
        <v>438</v>
      </c>
      <c r="B53" s="93" t="s">
        <v>47</v>
      </c>
      <c r="C53" s="93" t="s">
        <v>394</v>
      </c>
      <c r="D53" s="93" t="s">
        <v>409</v>
      </c>
      <c r="E53" s="94" t="s">
        <v>407</v>
      </c>
      <c r="F53" s="93" t="s">
        <v>442</v>
      </c>
      <c r="G53" s="93" t="s">
        <v>266</v>
      </c>
      <c r="H53" s="93" t="s">
        <v>13</v>
      </c>
      <c r="I53" s="93" t="s">
        <v>255</v>
      </c>
      <c r="J53" s="93" t="s">
        <v>47</v>
      </c>
      <c r="K53" s="93"/>
      <c r="L53" s="95">
        <v>15</v>
      </c>
      <c r="M53" s="95">
        <f>L53*VLOOKUP(H53,dagsoorttabel1,2,FALSE)</f>
        <v>11.76470588235294</v>
      </c>
      <c r="N53" s="96">
        <f>prodnorm40</f>
        <v>0</v>
      </c>
      <c r="O53" s="37">
        <f>dagwerk40</f>
        <v>0</v>
      </c>
      <c r="P53" s="93" t="s">
        <v>105</v>
      </c>
      <c r="Q53" s="24">
        <f>uurtarief40</f>
        <v>0</v>
      </c>
      <c r="R53" s="95" t="e">
        <f>IF(ISBLANK(N53),0,M53/ROUND(N53,4))</f>
        <v>#DIV/0!</v>
      </c>
      <c r="S53" s="95" t="e">
        <f>IF(ISBLANK(N53),0,R53*ROUND(O53,2))</f>
        <v>#DIV/0!</v>
      </c>
      <c r="T53" s="24" t="e">
        <f>ROUND(Q53,2)*R53</f>
        <v>#DIV/0!</v>
      </c>
      <c r="U53" s="95" t="e">
        <f>R53*dagenperjaar1</f>
        <v>#DIV/0!</v>
      </c>
      <c r="V53" s="25" t="e">
        <f>U53*ROUND(Q53,2)</f>
        <v>#DIV/0!</v>
      </c>
    </row>
    <row r="54" spans="1:22" x14ac:dyDescent="0.2">
      <c r="A54" s="92" t="s">
        <v>438</v>
      </c>
      <c r="B54" s="93" t="s">
        <v>47</v>
      </c>
      <c r="C54" s="93" t="s">
        <v>394</v>
      </c>
      <c r="D54" s="93" t="s">
        <v>409</v>
      </c>
      <c r="E54" s="94" t="s">
        <v>407</v>
      </c>
      <c r="F54" s="93" t="s">
        <v>442</v>
      </c>
      <c r="G54" s="93" t="s">
        <v>268</v>
      </c>
      <c r="H54" s="93" t="s">
        <v>13</v>
      </c>
      <c r="I54" s="93" t="s">
        <v>255</v>
      </c>
      <c r="J54" s="93" t="s">
        <v>47</v>
      </c>
      <c r="K54" s="93"/>
      <c r="L54" s="95">
        <v>15</v>
      </c>
      <c r="M54" s="95">
        <f>L54*VLOOKUP(H54,dagsoorttabel1,2,FALSE)</f>
        <v>11.76470588235294</v>
      </c>
      <c r="N54" s="96">
        <f>prodnorm42</f>
        <v>0</v>
      </c>
      <c r="O54" s="37">
        <f>dagwerk42</f>
        <v>0</v>
      </c>
      <c r="P54" s="93" t="s">
        <v>105</v>
      </c>
      <c r="Q54" s="24">
        <f>uurtarief42</f>
        <v>0</v>
      </c>
      <c r="R54" s="95" t="e">
        <f>IF(ISBLANK(N54),0,M54/ROUND(N54,4))</f>
        <v>#DIV/0!</v>
      </c>
      <c r="S54" s="95" t="e">
        <f>IF(ISBLANK(N54),0,R54*ROUND(O54,2))</f>
        <v>#DIV/0!</v>
      </c>
      <c r="T54" s="24" t="e">
        <f>ROUND(Q54,2)*R54</f>
        <v>#DIV/0!</v>
      </c>
      <c r="U54" s="95" t="e">
        <f>R54*dagenperjaar1</f>
        <v>#DIV/0!</v>
      </c>
      <c r="V54" s="25" t="e">
        <f>U54*ROUND(Q54,2)</f>
        <v>#DIV/0!</v>
      </c>
    </row>
    <row r="55" spans="1:22" x14ac:dyDescent="0.2">
      <c r="A55" s="92" t="s">
        <v>438</v>
      </c>
      <c r="B55" s="93" t="s">
        <v>47</v>
      </c>
      <c r="C55" s="93" t="s">
        <v>394</v>
      </c>
      <c r="D55" s="93" t="s">
        <v>411</v>
      </c>
      <c r="E55" s="94" t="s">
        <v>443</v>
      </c>
      <c r="F55" s="93" t="s">
        <v>442</v>
      </c>
      <c r="G55" s="93" t="s">
        <v>304</v>
      </c>
      <c r="H55" s="93" t="s">
        <v>13</v>
      </c>
      <c r="I55" s="93" t="s">
        <v>255</v>
      </c>
      <c r="J55" s="93" t="s">
        <v>47</v>
      </c>
      <c r="K55" s="93"/>
      <c r="L55" s="95">
        <v>4.5</v>
      </c>
      <c r="M55" s="95">
        <f>L55*VLOOKUP(H55,dagsoorttabel1,2,FALSE)</f>
        <v>3.5294117647058822</v>
      </c>
      <c r="N55" s="96">
        <f>prodnorm74</f>
        <v>0</v>
      </c>
      <c r="O55" s="37">
        <f>dagwerk74</f>
        <v>0</v>
      </c>
      <c r="P55" s="93" t="s">
        <v>105</v>
      </c>
      <c r="Q55" s="24">
        <f>uurtarief74</f>
        <v>0</v>
      </c>
      <c r="R55" s="95" t="e">
        <f>IF(ISBLANK(N55),0,M55/ROUND(N55,4))</f>
        <v>#DIV/0!</v>
      </c>
      <c r="S55" s="95" t="e">
        <f>IF(ISBLANK(N55),0,R55*ROUND(O55,2))</f>
        <v>#DIV/0!</v>
      </c>
      <c r="T55" s="24" t="e">
        <f>ROUND(Q55,2)*R55</f>
        <v>#DIV/0!</v>
      </c>
      <c r="U55" s="95" t="e">
        <f>R55*dagenperjaar1</f>
        <v>#DIV/0!</v>
      </c>
      <c r="V55" s="25" t="e">
        <f>U55*ROUND(Q55,2)</f>
        <v>#DIV/0!</v>
      </c>
    </row>
    <row r="56" spans="1:22" x14ac:dyDescent="0.2">
      <c r="A56" s="92" t="s">
        <v>438</v>
      </c>
      <c r="B56" s="93" t="s">
        <v>47</v>
      </c>
      <c r="C56" s="93" t="s">
        <v>394</v>
      </c>
      <c r="D56" s="93" t="s">
        <v>411</v>
      </c>
      <c r="E56" s="94" t="s">
        <v>443</v>
      </c>
      <c r="F56" s="93" t="s">
        <v>442</v>
      </c>
      <c r="G56" s="93" t="s">
        <v>306</v>
      </c>
      <c r="H56" s="93" t="s">
        <v>13</v>
      </c>
      <c r="I56" s="93" t="s">
        <v>255</v>
      </c>
      <c r="J56" s="93" t="s">
        <v>47</v>
      </c>
      <c r="K56" s="93"/>
      <c r="L56" s="95">
        <v>4.5</v>
      </c>
      <c r="M56" s="95">
        <f>L56*VLOOKUP(H56,dagsoorttabel1,2,FALSE)</f>
        <v>3.5294117647058822</v>
      </c>
      <c r="N56" s="96">
        <f>prodnorm78</f>
        <v>0</v>
      </c>
      <c r="O56" s="37">
        <f>dagwerk78</f>
        <v>0</v>
      </c>
      <c r="P56" s="93" t="s">
        <v>105</v>
      </c>
      <c r="Q56" s="24">
        <f>uurtarief78</f>
        <v>0</v>
      </c>
      <c r="R56" s="95" t="e">
        <f>IF(ISBLANK(N56),0,M56/ROUND(N56,4))</f>
        <v>#DIV/0!</v>
      </c>
      <c r="S56" s="95" t="e">
        <f>IF(ISBLANK(N56),0,R56*ROUND(O56,2))</f>
        <v>#DIV/0!</v>
      </c>
      <c r="T56" s="24" t="e">
        <f>ROUND(Q56,2)*R56</f>
        <v>#DIV/0!</v>
      </c>
      <c r="U56" s="95" t="e">
        <f>R56*dagenperjaar1</f>
        <v>#DIV/0!</v>
      </c>
      <c r="V56" s="25" t="e">
        <f>U56*ROUND(Q56,2)</f>
        <v>#DIV/0!</v>
      </c>
    </row>
    <row r="57" spans="1:22" x14ac:dyDescent="0.2">
      <c r="A57" s="92" t="s">
        <v>438</v>
      </c>
      <c r="B57" s="93" t="s">
        <v>47</v>
      </c>
      <c r="C57" s="93" t="s">
        <v>394</v>
      </c>
      <c r="D57" s="93" t="s">
        <v>413</v>
      </c>
      <c r="E57" s="94" t="s">
        <v>443</v>
      </c>
      <c r="F57" s="93" t="s">
        <v>442</v>
      </c>
      <c r="G57" s="93" t="s">
        <v>304</v>
      </c>
      <c r="H57" s="93" t="s">
        <v>13</v>
      </c>
      <c r="I57" s="93" t="s">
        <v>255</v>
      </c>
      <c r="J57" s="93" t="s">
        <v>47</v>
      </c>
      <c r="K57" s="93"/>
      <c r="L57" s="95">
        <v>3.5</v>
      </c>
      <c r="M57" s="95">
        <f>L57*VLOOKUP(H57,dagsoorttabel1,2,FALSE)</f>
        <v>2.7450980392156863</v>
      </c>
      <c r="N57" s="96">
        <f>prodnorm74</f>
        <v>0</v>
      </c>
      <c r="O57" s="37">
        <f>dagwerk74</f>
        <v>0</v>
      </c>
      <c r="P57" s="93" t="s">
        <v>105</v>
      </c>
      <c r="Q57" s="24">
        <f>uurtarief74</f>
        <v>0</v>
      </c>
      <c r="R57" s="95" t="e">
        <f>IF(ISBLANK(N57),0,M57/ROUND(N57,4))</f>
        <v>#DIV/0!</v>
      </c>
      <c r="S57" s="95" t="e">
        <f>IF(ISBLANK(N57),0,R57*ROUND(O57,2))</f>
        <v>#DIV/0!</v>
      </c>
      <c r="T57" s="24" t="e">
        <f>ROUND(Q57,2)*R57</f>
        <v>#DIV/0!</v>
      </c>
      <c r="U57" s="95" t="e">
        <f>R57*dagenperjaar1</f>
        <v>#DIV/0!</v>
      </c>
      <c r="V57" s="25" t="e">
        <f>U57*ROUND(Q57,2)</f>
        <v>#DIV/0!</v>
      </c>
    </row>
    <row r="58" spans="1:22" x14ac:dyDescent="0.2">
      <c r="A58" s="92" t="s">
        <v>438</v>
      </c>
      <c r="B58" s="93" t="s">
        <v>47</v>
      </c>
      <c r="C58" s="93" t="s">
        <v>394</v>
      </c>
      <c r="D58" s="93" t="s">
        <v>413</v>
      </c>
      <c r="E58" s="94" t="s">
        <v>443</v>
      </c>
      <c r="F58" s="93" t="s">
        <v>442</v>
      </c>
      <c r="G58" s="93" t="s">
        <v>306</v>
      </c>
      <c r="H58" s="93" t="s">
        <v>13</v>
      </c>
      <c r="I58" s="93" t="s">
        <v>255</v>
      </c>
      <c r="J58" s="93" t="s">
        <v>47</v>
      </c>
      <c r="K58" s="93"/>
      <c r="L58" s="95">
        <v>3.5</v>
      </c>
      <c r="M58" s="95">
        <f>L58*VLOOKUP(H58,dagsoorttabel1,2,FALSE)</f>
        <v>2.7450980392156863</v>
      </c>
      <c r="N58" s="96">
        <f>prodnorm78</f>
        <v>0</v>
      </c>
      <c r="O58" s="37">
        <f>dagwerk78</f>
        <v>0</v>
      </c>
      <c r="P58" s="93" t="s">
        <v>105</v>
      </c>
      <c r="Q58" s="24">
        <f>uurtarief78</f>
        <v>0</v>
      </c>
      <c r="R58" s="95" t="e">
        <f>IF(ISBLANK(N58),0,M58/ROUND(N58,4))</f>
        <v>#DIV/0!</v>
      </c>
      <c r="S58" s="95" t="e">
        <f>IF(ISBLANK(N58),0,R58*ROUND(O58,2))</f>
        <v>#DIV/0!</v>
      </c>
      <c r="T58" s="24" t="e">
        <f>ROUND(Q58,2)*R58</f>
        <v>#DIV/0!</v>
      </c>
      <c r="U58" s="95" t="e">
        <f>R58*dagenperjaar1</f>
        <v>#DIV/0!</v>
      </c>
      <c r="V58" s="25" t="e">
        <f>U58*ROUND(Q58,2)</f>
        <v>#DIV/0!</v>
      </c>
    </row>
    <row r="59" spans="1:22" x14ac:dyDescent="0.2">
      <c r="A59" s="92" t="s">
        <v>438</v>
      </c>
      <c r="B59" s="93" t="s">
        <v>47</v>
      </c>
      <c r="C59" s="93" t="s">
        <v>394</v>
      </c>
      <c r="D59" s="93" t="s">
        <v>415</v>
      </c>
      <c r="E59" s="94" t="s">
        <v>443</v>
      </c>
      <c r="F59" s="93" t="s">
        <v>442</v>
      </c>
      <c r="G59" s="93" t="s">
        <v>304</v>
      </c>
      <c r="H59" s="93" t="s">
        <v>13</v>
      </c>
      <c r="I59" s="93" t="s">
        <v>255</v>
      </c>
      <c r="J59" s="93" t="s">
        <v>47</v>
      </c>
      <c r="K59" s="93"/>
      <c r="L59" s="95">
        <v>3.5</v>
      </c>
      <c r="M59" s="95">
        <f>L59*VLOOKUP(H59,dagsoorttabel1,2,FALSE)</f>
        <v>2.7450980392156863</v>
      </c>
      <c r="N59" s="96">
        <f>prodnorm74</f>
        <v>0</v>
      </c>
      <c r="O59" s="37">
        <f>dagwerk74</f>
        <v>0</v>
      </c>
      <c r="P59" s="93" t="s">
        <v>105</v>
      </c>
      <c r="Q59" s="24">
        <f>uurtarief74</f>
        <v>0</v>
      </c>
      <c r="R59" s="95" t="e">
        <f>IF(ISBLANK(N59),0,M59/ROUND(N59,4))</f>
        <v>#DIV/0!</v>
      </c>
      <c r="S59" s="95" t="e">
        <f>IF(ISBLANK(N59),0,R59*ROUND(O59,2))</f>
        <v>#DIV/0!</v>
      </c>
      <c r="T59" s="24" t="e">
        <f>ROUND(Q59,2)*R59</f>
        <v>#DIV/0!</v>
      </c>
      <c r="U59" s="95" t="e">
        <f>R59*dagenperjaar1</f>
        <v>#DIV/0!</v>
      </c>
      <c r="V59" s="25" t="e">
        <f>U59*ROUND(Q59,2)</f>
        <v>#DIV/0!</v>
      </c>
    </row>
    <row r="60" spans="1:22" x14ac:dyDescent="0.2">
      <c r="A60" s="92" t="s">
        <v>438</v>
      </c>
      <c r="B60" s="93" t="s">
        <v>47</v>
      </c>
      <c r="C60" s="93" t="s">
        <v>394</v>
      </c>
      <c r="D60" s="93" t="s">
        <v>415</v>
      </c>
      <c r="E60" s="94" t="s">
        <v>443</v>
      </c>
      <c r="F60" s="93" t="s">
        <v>442</v>
      </c>
      <c r="G60" s="93" t="s">
        <v>306</v>
      </c>
      <c r="H60" s="93" t="s">
        <v>13</v>
      </c>
      <c r="I60" s="93" t="s">
        <v>255</v>
      </c>
      <c r="J60" s="93" t="s">
        <v>47</v>
      </c>
      <c r="K60" s="93"/>
      <c r="L60" s="95">
        <v>3.5</v>
      </c>
      <c r="M60" s="95">
        <f>L60*VLOOKUP(H60,dagsoorttabel1,2,FALSE)</f>
        <v>2.7450980392156863</v>
      </c>
      <c r="N60" s="96">
        <f>prodnorm78</f>
        <v>0</v>
      </c>
      <c r="O60" s="37">
        <f>dagwerk78</f>
        <v>0</v>
      </c>
      <c r="P60" s="93" t="s">
        <v>105</v>
      </c>
      <c r="Q60" s="24">
        <f>uurtarief78</f>
        <v>0</v>
      </c>
      <c r="R60" s="95" t="e">
        <f>IF(ISBLANK(N60),0,M60/ROUND(N60,4))</f>
        <v>#DIV/0!</v>
      </c>
      <c r="S60" s="95" t="e">
        <f>IF(ISBLANK(N60),0,R60*ROUND(O60,2))</f>
        <v>#DIV/0!</v>
      </c>
      <c r="T60" s="24" t="e">
        <f>ROUND(Q60,2)*R60</f>
        <v>#DIV/0!</v>
      </c>
      <c r="U60" s="95" t="e">
        <f>R60*dagenperjaar1</f>
        <v>#DIV/0!</v>
      </c>
      <c r="V60" s="25" t="e">
        <f>U60*ROUND(Q60,2)</f>
        <v>#DIV/0!</v>
      </c>
    </row>
    <row r="61" spans="1:22" x14ac:dyDescent="0.2">
      <c r="A61" s="92" t="s">
        <v>438</v>
      </c>
      <c r="B61" s="93" t="s">
        <v>47</v>
      </c>
      <c r="C61" s="93" t="s">
        <v>394</v>
      </c>
      <c r="D61" s="93" t="s">
        <v>416</v>
      </c>
      <c r="E61" s="94" t="s">
        <v>444</v>
      </c>
      <c r="F61" s="93" t="s">
        <v>442</v>
      </c>
      <c r="G61" s="93" t="s">
        <v>304</v>
      </c>
      <c r="H61" s="93" t="s">
        <v>13</v>
      </c>
      <c r="I61" s="93" t="s">
        <v>255</v>
      </c>
      <c r="J61" s="93" t="s">
        <v>47</v>
      </c>
      <c r="K61" s="93"/>
      <c r="L61" s="95">
        <v>1.5</v>
      </c>
      <c r="M61" s="95">
        <f>L61*VLOOKUP(H61,dagsoorttabel1,2,FALSE)</f>
        <v>1.1764705882352942</v>
      </c>
      <c r="N61" s="96">
        <f>prodnorm74</f>
        <v>0</v>
      </c>
      <c r="O61" s="37">
        <f>dagwerk74</f>
        <v>0</v>
      </c>
      <c r="P61" s="93" t="s">
        <v>105</v>
      </c>
      <c r="Q61" s="24">
        <f>uurtarief74</f>
        <v>0</v>
      </c>
      <c r="R61" s="95" t="e">
        <f>IF(ISBLANK(N61),0,M61/ROUND(N61,4))</f>
        <v>#DIV/0!</v>
      </c>
      <c r="S61" s="95" t="e">
        <f>IF(ISBLANK(N61),0,R61*ROUND(O61,2))</f>
        <v>#DIV/0!</v>
      </c>
      <c r="T61" s="24" t="e">
        <f>ROUND(Q61,2)*R61</f>
        <v>#DIV/0!</v>
      </c>
      <c r="U61" s="95" t="e">
        <f>R61*dagenperjaar1</f>
        <v>#DIV/0!</v>
      </c>
      <c r="V61" s="25" t="e">
        <f>U61*ROUND(Q61,2)</f>
        <v>#DIV/0!</v>
      </c>
    </row>
    <row r="62" spans="1:22" x14ac:dyDescent="0.2">
      <c r="A62" s="92" t="s">
        <v>438</v>
      </c>
      <c r="B62" s="93" t="s">
        <v>47</v>
      </c>
      <c r="C62" s="93" t="s">
        <v>394</v>
      </c>
      <c r="D62" s="93" t="s">
        <v>416</v>
      </c>
      <c r="E62" s="94" t="s">
        <v>444</v>
      </c>
      <c r="F62" s="93" t="s">
        <v>442</v>
      </c>
      <c r="G62" s="93" t="s">
        <v>306</v>
      </c>
      <c r="H62" s="93" t="s">
        <v>13</v>
      </c>
      <c r="I62" s="93" t="s">
        <v>255</v>
      </c>
      <c r="J62" s="93" t="s">
        <v>47</v>
      </c>
      <c r="K62" s="93"/>
      <c r="L62" s="95">
        <v>1.5</v>
      </c>
      <c r="M62" s="95">
        <f>L62*VLOOKUP(H62,dagsoorttabel1,2,FALSE)</f>
        <v>1.1764705882352942</v>
      </c>
      <c r="N62" s="96">
        <f>prodnorm78</f>
        <v>0</v>
      </c>
      <c r="O62" s="37">
        <f>dagwerk78</f>
        <v>0</v>
      </c>
      <c r="P62" s="93" t="s">
        <v>105</v>
      </c>
      <c r="Q62" s="24">
        <f>uurtarief78</f>
        <v>0</v>
      </c>
      <c r="R62" s="95" t="e">
        <f>IF(ISBLANK(N62),0,M62/ROUND(N62,4))</f>
        <v>#DIV/0!</v>
      </c>
      <c r="S62" s="95" t="e">
        <f>IF(ISBLANK(N62),0,R62*ROUND(O62,2))</f>
        <v>#DIV/0!</v>
      </c>
      <c r="T62" s="24" t="e">
        <f>ROUND(Q62,2)*R62</f>
        <v>#DIV/0!</v>
      </c>
      <c r="U62" s="95" t="e">
        <f>R62*dagenperjaar1</f>
        <v>#DIV/0!</v>
      </c>
      <c r="V62" s="25" t="e">
        <f>U62*ROUND(Q62,2)</f>
        <v>#DIV/0!</v>
      </c>
    </row>
    <row r="63" spans="1:22" x14ac:dyDescent="0.2">
      <c r="A63" s="92" t="s">
        <v>438</v>
      </c>
      <c r="B63" s="93" t="s">
        <v>47</v>
      </c>
      <c r="C63" s="93" t="s">
        <v>394</v>
      </c>
      <c r="D63" s="93" t="s">
        <v>418</v>
      </c>
      <c r="E63" s="94" t="s">
        <v>444</v>
      </c>
      <c r="F63" s="93" t="s">
        <v>442</v>
      </c>
      <c r="G63" s="93" t="s">
        <v>304</v>
      </c>
      <c r="H63" s="93" t="s">
        <v>13</v>
      </c>
      <c r="I63" s="93" t="s">
        <v>255</v>
      </c>
      <c r="J63" s="93" t="s">
        <v>47</v>
      </c>
      <c r="K63" s="93"/>
      <c r="L63" s="95">
        <v>1.5</v>
      </c>
      <c r="M63" s="95">
        <f>L63*VLOOKUP(H63,dagsoorttabel1,2,FALSE)</f>
        <v>1.1764705882352942</v>
      </c>
      <c r="N63" s="96">
        <f>prodnorm74</f>
        <v>0</v>
      </c>
      <c r="O63" s="37">
        <f>dagwerk74</f>
        <v>0</v>
      </c>
      <c r="P63" s="93" t="s">
        <v>105</v>
      </c>
      <c r="Q63" s="24">
        <f>uurtarief74</f>
        <v>0</v>
      </c>
      <c r="R63" s="95" t="e">
        <f>IF(ISBLANK(N63),0,M63/ROUND(N63,4))</f>
        <v>#DIV/0!</v>
      </c>
      <c r="S63" s="95" t="e">
        <f>IF(ISBLANK(N63),0,R63*ROUND(O63,2))</f>
        <v>#DIV/0!</v>
      </c>
      <c r="T63" s="24" t="e">
        <f>ROUND(Q63,2)*R63</f>
        <v>#DIV/0!</v>
      </c>
      <c r="U63" s="95" t="e">
        <f>R63*dagenperjaar1</f>
        <v>#DIV/0!</v>
      </c>
      <c r="V63" s="25" t="e">
        <f>U63*ROUND(Q63,2)</f>
        <v>#DIV/0!</v>
      </c>
    </row>
    <row r="64" spans="1:22" x14ac:dyDescent="0.2">
      <c r="A64" s="92" t="s">
        <v>438</v>
      </c>
      <c r="B64" s="93" t="s">
        <v>47</v>
      </c>
      <c r="C64" s="93" t="s">
        <v>394</v>
      </c>
      <c r="D64" s="93" t="s">
        <v>418</v>
      </c>
      <c r="E64" s="94" t="s">
        <v>444</v>
      </c>
      <c r="F64" s="93" t="s">
        <v>442</v>
      </c>
      <c r="G64" s="93" t="s">
        <v>306</v>
      </c>
      <c r="H64" s="93" t="s">
        <v>13</v>
      </c>
      <c r="I64" s="93" t="s">
        <v>255</v>
      </c>
      <c r="J64" s="93" t="s">
        <v>47</v>
      </c>
      <c r="K64" s="93"/>
      <c r="L64" s="95">
        <v>1.5</v>
      </c>
      <c r="M64" s="95">
        <f>L64*VLOOKUP(H64,dagsoorttabel1,2,FALSE)</f>
        <v>1.1764705882352942</v>
      </c>
      <c r="N64" s="96">
        <f>prodnorm78</f>
        <v>0</v>
      </c>
      <c r="O64" s="37">
        <f>dagwerk78</f>
        <v>0</v>
      </c>
      <c r="P64" s="93" t="s">
        <v>105</v>
      </c>
      <c r="Q64" s="24">
        <f>uurtarief78</f>
        <v>0</v>
      </c>
      <c r="R64" s="95" t="e">
        <f>IF(ISBLANK(N64),0,M64/ROUND(N64,4))</f>
        <v>#DIV/0!</v>
      </c>
      <c r="S64" s="95" t="e">
        <f>IF(ISBLANK(N64),0,R64*ROUND(O64,2))</f>
        <v>#DIV/0!</v>
      </c>
      <c r="T64" s="24" t="e">
        <f>ROUND(Q64,2)*R64</f>
        <v>#DIV/0!</v>
      </c>
      <c r="U64" s="95" t="e">
        <f>R64*dagenperjaar1</f>
        <v>#DIV/0!</v>
      </c>
      <c r="V64" s="25" t="e">
        <f>U64*ROUND(Q64,2)</f>
        <v>#DIV/0!</v>
      </c>
    </row>
    <row r="65" spans="1:22" x14ac:dyDescent="0.2">
      <c r="A65" s="92" t="s">
        <v>438</v>
      </c>
      <c r="B65" s="93" t="s">
        <v>47</v>
      </c>
      <c r="C65" s="93" t="s">
        <v>394</v>
      </c>
      <c r="D65" s="93" t="s">
        <v>419</v>
      </c>
      <c r="E65" s="94" t="s">
        <v>444</v>
      </c>
      <c r="F65" s="93" t="s">
        <v>442</v>
      </c>
      <c r="G65" s="93" t="s">
        <v>304</v>
      </c>
      <c r="H65" s="93" t="s">
        <v>13</v>
      </c>
      <c r="I65" s="93" t="s">
        <v>255</v>
      </c>
      <c r="J65" s="93" t="s">
        <v>47</v>
      </c>
      <c r="K65" s="93"/>
      <c r="L65" s="95">
        <v>2.5</v>
      </c>
      <c r="M65" s="95">
        <f>L65*VLOOKUP(H65,dagsoorttabel1,2,FALSE)</f>
        <v>1.9607843137254901</v>
      </c>
      <c r="N65" s="96">
        <f>prodnorm74</f>
        <v>0</v>
      </c>
      <c r="O65" s="37">
        <f>dagwerk74</f>
        <v>0</v>
      </c>
      <c r="P65" s="93" t="s">
        <v>105</v>
      </c>
      <c r="Q65" s="24">
        <f>uurtarief74</f>
        <v>0</v>
      </c>
      <c r="R65" s="95" t="e">
        <f>IF(ISBLANK(N65),0,M65/ROUND(N65,4))</f>
        <v>#DIV/0!</v>
      </c>
      <c r="S65" s="95" t="e">
        <f>IF(ISBLANK(N65),0,R65*ROUND(O65,2))</f>
        <v>#DIV/0!</v>
      </c>
      <c r="T65" s="24" t="e">
        <f>ROUND(Q65,2)*R65</f>
        <v>#DIV/0!</v>
      </c>
      <c r="U65" s="95" t="e">
        <f>R65*dagenperjaar1</f>
        <v>#DIV/0!</v>
      </c>
      <c r="V65" s="25" t="e">
        <f>U65*ROUND(Q65,2)</f>
        <v>#DIV/0!</v>
      </c>
    </row>
    <row r="66" spans="1:22" x14ac:dyDescent="0.2">
      <c r="A66" s="92" t="s">
        <v>438</v>
      </c>
      <c r="B66" s="93" t="s">
        <v>47</v>
      </c>
      <c r="C66" s="93" t="s">
        <v>394</v>
      </c>
      <c r="D66" s="93" t="s">
        <v>419</v>
      </c>
      <c r="E66" s="94" t="s">
        <v>444</v>
      </c>
      <c r="F66" s="93" t="s">
        <v>442</v>
      </c>
      <c r="G66" s="93" t="s">
        <v>306</v>
      </c>
      <c r="H66" s="93" t="s">
        <v>13</v>
      </c>
      <c r="I66" s="93" t="s">
        <v>255</v>
      </c>
      <c r="J66" s="93" t="s">
        <v>47</v>
      </c>
      <c r="K66" s="93"/>
      <c r="L66" s="95">
        <v>2.5</v>
      </c>
      <c r="M66" s="95">
        <f>L66*VLOOKUP(H66,dagsoorttabel1,2,FALSE)</f>
        <v>1.9607843137254901</v>
      </c>
      <c r="N66" s="96">
        <f>prodnorm78</f>
        <v>0</v>
      </c>
      <c r="O66" s="37">
        <f>dagwerk78</f>
        <v>0</v>
      </c>
      <c r="P66" s="93" t="s">
        <v>105</v>
      </c>
      <c r="Q66" s="24">
        <f>uurtarief78</f>
        <v>0</v>
      </c>
      <c r="R66" s="95" t="e">
        <f>IF(ISBLANK(N66),0,M66/ROUND(N66,4))</f>
        <v>#DIV/0!</v>
      </c>
      <c r="S66" s="95" t="e">
        <f>IF(ISBLANK(N66),0,R66*ROUND(O66,2))</f>
        <v>#DIV/0!</v>
      </c>
      <c r="T66" s="24" t="e">
        <f>ROUND(Q66,2)*R66</f>
        <v>#DIV/0!</v>
      </c>
      <c r="U66" s="95" t="e">
        <f>R66*dagenperjaar1</f>
        <v>#DIV/0!</v>
      </c>
      <c r="V66" s="25" t="e">
        <f>U66*ROUND(Q66,2)</f>
        <v>#DIV/0!</v>
      </c>
    </row>
    <row r="67" spans="1:22" x14ac:dyDescent="0.2">
      <c r="A67" s="92" t="s">
        <v>438</v>
      </c>
      <c r="B67" s="93" t="s">
        <v>47</v>
      </c>
      <c r="C67" s="93" t="s">
        <v>394</v>
      </c>
      <c r="D67" s="93" t="s">
        <v>420</v>
      </c>
      <c r="E67" s="94" t="s">
        <v>444</v>
      </c>
      <c r="F67" s="93" t="s">
        <v>442</v>
      </c>
      <c r="G67" s="93" t="s">
        <v>304</v>
      </c>
      <c r="H67" s="93" t="s">
        <v>13</v>
      </c>
      <c r="I67" s="93" t="s">
        <v>255</v>
      </c>
      <c r="J67" s="93" t="s">
        <v>47</v>
      </c>
      <c r="K67" s="93"/>
      <c r="L67" s="95">
        <v>2</v>
      </c>
      <c r="M67" s="95">
        <f>L67*VLOOKUP(H67,dagsoorttabel1,2,FALSE)</f>
        <v>1.5686274509803921</v>
      </c>
      <c r="N67" s="96">
        <f>prodnorm74</f>
        <v>0</v>
      </c>
      <c r="O67" s="37">
        <f>dagwerk74</f>
        <v>0</v>
      </c>
      <c r="P67" s="93" t="s">
        <v>105</v>
      </c>
      <c r="Q67" s="24">
        <f>uurtarief74</f>
        <v>0</v>
      </c>
      <c r="R67" s="95" t="e">
        <f>IF(ISBLANK(N67),0,M67/ROUND(N67,4))</f>
        <v>#DIV/0!</v>
      </c>
      <c r="S67" s="95" t="e">
        <f>IF(ISBLANK(N67),0,R67*ROUND(O67,2))</f>
        <v>#DIV/0!</v>
      </c>
      <c r="T67" s="24" t="e">
        <f>ROUND(Q67,2)*R67</f>
        <v>#DIV/0!</v>
      </c>
      <c r="U67" s="95" t="e">
        <f>R67*dagenperjaar1</f>
        <v>#DIV/0!</v>
      </c>
      <c r="V67" s="25" t="e">
        <f>U67*ROUND(Q67,2)</f>
        <v>#DIV/0!</v>
      </c>
    </row>
    <row r="68" spans="1:22" x14ac:dyDescent="0.2">
      <c r="A68" s="92" t="s">
        <v>438</v>
      </c>
      <c r="B68" s="93" t="s">
        <v>47</v>
      </c>
      <c r="C68" s="93" t="s">
        <v>394</v>
      </c>
      <c r="D68" s="93" t="s">
        <v>420</v>
      </c>
      <c r="E68" s="94" t="s">
        <v>444</v>
      </c>
      <c r="F68" s="93" t="s">
        <v>442</v>
      </c>
      <c r="G68" s="93" t="s">
        <v>306</v>
      </c>
      <c r="H68" s="93" t="s">
        <v>13</v>
      </c>
      <c r="I68" s="93" t="s">
        <v>255</v>
      </c>
      <c r="J68" s="93" t="s">
        <v>47</v>
      </c>
      <c r="K68" s="93"/>
      <c r="L68" s="95">
        <v>2</v>
      </c>
      <c r="M68" s="95">
        <f>L68*VLOOKUP(H68,dagsoorttabel1,2,FALSE)</f>
        <v>1.5686274509803921</v>
      </c>
      <c r="N68" s="96">
        <f>prodnorm78</f>
        <v>0</v>
      </c>
      <c r="O68" s="37">
        <f>dagwerk78</f>
        <v>0</v>
      </c>
      <c r="P68" s="93" t="s">
        <v>105</v>
      </c>
      <c r="Q68" s="24">
        <f>uurtarief78</f>
        <v>0</v>
      </c>
      <c r="R68" s="95" t="e">
        <f>IF(ISBLANK(N68),0,M68/ROUND(N68,4))</f>
        <v>#DIV/0!</v>
      </c>
      <c r="S68" s="95" t="e">
        <f>IF(ISBLANK(N68),0,R68*ROUND(O68,2))</f>
        <v>#DIV/0!</v>
      </c>
      <c r="T68" s="24" t="e">
        <f>ROUND(Q68,2)*R68</f>
        <v>#DIV/0!</v>
      </c>
      <c r="U68" s="95" t="e">
        <f>R68*dagenperjaar1</f>
        <v>#DIV/0!</v>
      </c>
      <c r="V68" s="25" t="e">
        <f>U68*ROUND(Q68,2)</f>
        <v>#DIV/0!</v>
      </c>
    </row>
    <row r="69" spans="1:22" x14ac:dyDescent="0.2">
      <c r="A69" s="92" t="s">
        <v>438</v>
      </c>
      <c r="B69" s="93" t="s">
        <v>47</v>
      </c>
      <c r="C69" s="93" t="s">
        <v>394</v>
      </c>
      <c r="D69" s="93" t="s">
        <v>422</v>
      </c>
      <c r="E69" s="94" t="s">
        <v>445</v>
      </c>
      <c r="F69" s="93" t="s">
        <v>442</v>
      </c>
      <c r="G69" s="93" t="s">
        <v>266</v>
      </c>
      <c r="H69" s="93" t="s">
        <v>13</v>
      </c>
      <c r="I69" s="93" t="s">
        <v>255</v>
      </c>
      <c r="J69" s="93" t="s">
        <v>47</v>
      </c>
      <c r="K69" s="93"/>
      <c r="L69" s="95">
        <v>12.5</v>
      </c>
      <c r="M69" s="95">
        <f>L69*VLOOKUP(H69,dagsoorttabel1,2,FALSE)</f>
        <v>9.8039215686274517</v>
      </c>
      <c r="N69" s="96">
        <f>prodnorm40</f>
        <v>0</v>
      </c>
      <c r="O69" s="37">
        <f>dagwerk40</f>
        <v>0</v>
      </c>
      <c r="P69" s="93" t="s">
        <v>105</v>
      </c>
      <c r="Q69" s="24">
        <f>uurtarief40</f>
        <v>0</v>
      </c>
      <c r="R69" s="95" t="e">
        <f>IF(ISBLANK(N69),0,M69/ROUND(N69,4))</f>
        <v>#DIV/0!</v>
      </c>
      <c r="S69" s="95" t="e">
        <f>IF(ISBLANK(N69),0,R69*ROUND(O69,2))</f>
        <v>#DIV/0!</v>
      </c>
      <c r="T69" s="24" t="e">
        <f>ROUND(Q69,2)*R69</f>
        <v>#DIV/0!</v>
      </c>
      <c r="U69" s="95" t="e">
        <f>R69*dagenperjaar1</f>
        <v>#DIV/0!</v>
      </c>
      <c r="V69" s="25" t="e">
        <f>U69*ROUND(Q69,2)</f>
        <v>#DIV/0!</v>
      </c>
    </row>
    <row r="70" spans="1:22" x14ac:dyDescent="0.2">
      <c r="A70" s="92" t="s">
        <v>438</v>
      </c>
      <c r="B70" s="93" t="s">
        <v>47</v>
      </c>
      <c r="C70" s="93" t="s">
        <v>394</v>
      </c>
      <c r="D70" s="93" t="s">
        <v>422</v>
      </c>
      <c r="E70" s="94" t="s">
        <v>445</v>
      </c>
      <c r="F70" s="93" t="s">
        <v>442</v>
      </c>
      <c r="G70" s="93" t="s">
        <v>268</v>
      </c>
      <c r="H70" s="93" t="s">
        <v>13</v>
      </c>
      <c r="I70" s="93" t="s">
        <v>255</v>
      </c>
      <c r="J70" s="93" t="s">
        <v>47</v>
      </c>
      <c r="K70" s="93"/>
      <c r="L70" s="95">
        <v>12.5</v>
      </c>
      <c r="M70" s="95">
        <f>L70*VLOOKUP(H70,dagsoorttabel1,2,FALSE)</f>
        <v>9.8039215686274517</v>
      </c>
      <c r="N70" s="96">
        <f>prodnorm42</f>
        <v>0</v>
      </c>
      <c r="O70" s="37">
        <f>dagwerk42</f>
        <v>0</v>
      </c>
      <c r="P70" s="93" t="s">
        <v>105</v>
      </c>
      <c r="Q70" s="24">
        <f>uurtarief42</f>
        <v>0</v>
      </c>
      <c r="R70" s="95" t="e">
        <f>IF(ISBLANK(N70),0,M70/ROUND(N70,4))</f>
        <v>#DIV/0!</v>
      </c>
      <c r="S70" s="95" t="e">
        <f>IF(ISBLANK(N70),0,R70*ROUND(O70,2))</f>
        <v>#DIV/0!</v>
      </c>
      <c r="T70" s="24" t="e">
        <f>ROUND(Q70,2)*R70</f>
        <v>#DIV/0!</v>
      </c>
      <c r="U70" s="95" t="e">
        <f>R70*dagenperjaar1</f>
        <v>#DIV/0!</v>
      </c>
      <c r="V70" s="25" t="e">
        <f>U70*ROUND(Q70,2)</f>
        <v>#DIV/0!</v>
      </c>
    </row>
    <row r="71" spans="1:22" x14ac:dyDescent="0.2">
      <c r="A71" s="92" t="s">
        <v>438</v>
      </c>
      <c r="B71" s="93" t="s">
        <v>47</v>
      </c>
      <c r="C71" s="93" t="s">
        <v>394</v>
      </c>
      <c r="D71" s="93" t="s">
        <v>424</v>
      </c>
      <c r="E71" s="94" t="s">
        <v>445</v>
      </c>
      <c r="F71" s="93" t="s">
        <v>442</v>
      </c>
      <c r="G71" s="93" t="s">
        <v>266</v>
      </c>
      <c r="H71" s="93" t="s">
        <v>13</v>
      </c>
      <c r="I71" s="93" t="s">
        <v>255</v>
      </c>
      <c r="J71" s="93" t="s">
        <v>47</v>
      </c>
      <c r="K71" s="93"/>
      <c r="L71" s="95">
        <v>12</v>
      </c>
      <c r="M71" s="95">
        <f>L71*VLOOKUP(H71,dagsoorttabel1,2,FALSE)</f>
        <v>9.4117647058823533</v>
      </c>
      <c r="N71" s="96">
        <f>prodnorm40</f>
        <v>0</v>
      </c>
      <c r="O71" s="37">
        <f>dagwerk40</f>
        <v>0</v>
      </c>
      <c r="P71" s="93" t="s">
        <v>105</v>
      </c>
      <c r="Q71" s="24">
        <f>uurtarief40</f>
        <v>0</v>
      </c>
      <c r="R71" s="95" t="e">
        <f>IF(ISBLANK(N71),0,M71/ROUND(N71,4))</f>
        <v>#DIV/0!</v>
      </c>
      <c r="S71" s="95" t="e">
        <f>IF(ISBLANK(N71),0,R71*ROUND(O71,2))</f>
        <v>#DIV/0!</v>
      </c>
      <c r="T71" s="24" t="e">
        <f>ROUND(Q71,2)*R71</f>
        <v>#DIV/0!</v>
      </c>
      <c r="U71" s="95" t="e">
        <f>R71*dagenperjaar1</f>
        <v>#DIV/0!</v>
      </c>
      <c r="V71" s="25" t="e">
        <f>U71*ROUND(Q71,2)</f>
        <v>#DIV/0!</v>
      </c>
    </row>
    <row r="72" spans="1:22" x14ac:dyDescent="0.2">
      <c r="A72" s="92" t="s">
        <v>438</v>
      </c>
      <c r="B72" s="93" t="s">
        <v>47</v>
      </c>
      <c r="C72" s="93" t="s">
        <v>394</v>
      </c>
      <c r="D72" s="93" t="s">
        <v>424</v>
      </c>
      <c r="E72" s="94" t="s">
        <v>445</v>
      </c>
      <c r="F72" s="93" t="s">
        <v>442</v>
      </c>
      <c r="G72" s="93" t="s">
        <v>268</v>
      </c>
      <c r="H72" s="93" t="s">
        <v>13</v>
      </c>
      <c r="I72" s="93" t="s">
        <v>255</v>
      </c>
      <c r="J72" s="93" t="s">
        <v>47</v>
      </c>
      <c r="K72" s="93"/>
      <c r="L72" s="95">
        <v>12</v>
      </c>
      <c r="M72" s="95">
        <f>L72*VLOOKUP(H72,dagsoorttabel1,2,FALSE)</f>
        <v>9.4117647058823533</v>
      </c>
      <c r="N72" s="96">
        <f>prodnorm42</f>
        <v>0</v>
      </c>
      <c r="O72" s="37">
        <f>dagwerk42</f>
        <v>0</v>
      </c>
      <c r="P72" s="93" t="s">
        <v>105</v>
      </c>
      <c r="Q72" s="24">
        <f>uurtarief42</f>
        <v>0</v>
      </c>
      <c r="R72" s="95" t="e">
        <f>IF(ISBLANK(N72),0,M72/ROUND(N72,4))</f>
        <v>#DIV/0!</v>
      </c>
      <c r="S72" s="95" t="e">
        <f>IF(ISBLANK(N72),0,R72*ROUND(O72,2))</f>
        <v>#DIV/0!</v>
      </c>
      <c r="T72" s="24" t="e">
        <f>ROUND(Q72,2)*R72</f>
        <v>#DIV/0!</v>
      </c>
      <c r="U72" s="95" t="e">
        <f>R72*dagenperjaar1</f>
        <v>#DIV/0!</v>
      </c>
      <c r="V72" s="25" t="e">
        <f>U72*ROUND(Q72,2)</f>
        <v>#DIV/0!</v>
      </c>
    </row>
    <row r="73" spans="1:22" x14ac:dyDescent="0.2">
      <c r="A73" s="92" t="s">
        <v>438</v>
      </c>
      <c r="B73" s="93" t="s">
        <v>47</v>
      </c>
      <c r="C73" s="93" t="s">
        <v>394</v>
      </c>
      <c r="D73" s="93" t="s">
        <v>446</v>
      </c>
      <c r="E73" s="94" t="s">
        <v>445</v>
      </c>
      <c r="F73" s="93" t="s">
        <v>442</v>
      </c>
      <c r="G73" s="93" t="s">
        <v>266</v>
      </c>
      <c r="H73" s="93" t="s">
        <v>13</v>
      </c>
      <c r="I73" s="93" t="s">
        <v>255</v>
      </c>
      <c r="J73" s="93" t="s">
        <v>47</v>
      </c>
      <c r="K73" s="93"/>
      <c r="L73" s="95">
        <v>8.6</v>
      </c>
      <c r="M73" s="95">
        <f>L73*VLOOKUP(H73,dagsoorttabel1,2,FALSE)</f>
        <v>6.7450980392156863</v>
      </c>
      <c r="N73" s="96">
        <f>prodnorm40</f>
        <v>0</v>
      </c>
      <c r="O73" s="37">
        <f>dagwerk40</f>
        <v>0</v>
      </c>
      <c r="P73" s="93" t="s">
        <v>105</v>
      </c>
      <c r="Q73" s="24">
        <f>uurtarief40</f>
        <v>0</v>
      </c>
      <c r="R73" s="95" t="e">
        <f>IF(ISBLANK(N73),0,M73/ROUND(N73,4))</f>
        <v>#DIV/0!</v>
      </c>
      <c r="S73" s="95" t="e">
        <f>IF(ISBLANK(N73),0,R73*ROUND(O73,2))</f>
        <v>#DIV/0!</v>
      </c>
      <c r="T73" s="24" t="e">
        <f>ROUND(Q73,2)*R73</f>
        <v>#DIV/0!</v>
      </c>
      <c r="U73" s="95" t="e">
        <f>R73*dagenperjaar1</f>
        <v>#DIV/0!</v>
      </c>
      <c r="V73" s="25" t="e">
        <f>U73*ROUND(Q73,2)</f>
        <v>#DIV/0!</v>
      </c>
    </row>
    <row r="74" spans="1:22" x14ac:dyDescent="0.2">
      <c r="A74" s="92" t="s">
        <v>438</v>
      </c>
      <c r="B74" s="93" t="s">
        <v>47</v>
      </c>
      <c r="C74" s="93" t="s">
        <v>394</v>
      </c>
      <c r="D74" s="93" t="s">
        <v>446</v>
      </c>
      <c r="E74" s="94" t="s">
        <v>445</v>
      </c>
      <c r="F74" s="93" t="s">
        <v>442</v>
      </c>
      <c r="G74" s="93" t="s">
        <v>268</v>
      </c>
      <c r="H74" s="93" t="s">
        <v>13</v>
      </c>
      <c r="I74" s="93" t="s">
        <v>255</v>
      </c>
      <c r="J74" s="93" t="s">
        <v>47</v>
      </c>
      <c r="K74" s="93"/>
      <c r="L74" s="95">
        <v>8.6</v>
      </c>
      <c r="M74" s="95">
        <f>L74*VLOOKUP(H74,dagsoorttabel1,2,FALSE)</f>
        <v>6.7450980392156863</v>
      </c>
      <c r="N74" s="96">
        <f>prodnorm42</f>
        <v>0</v>
      </c>
      <c r="O74" s="37">
        <f>dagwerk42</f>
        <v>0</v>
      </c>
      <c r="P74" s="93" t="s">
        <v>105</v>
      </c>
      <c r="Q74" s="24">
        <f>uurtarief42</f>
        <v>0</v>
      </c>
      <c r="R74" s="95" t="e">
        <f>IF(ISBLANK(N74),0,M74/ROUND(N74,4))</f>
        <v>#DIV/0!</v>
      </c>
      <c r="S74" s="95" t="e">
        <f>IF(ISBLANK(N74),0,R74*ROUND(O74,2))</f>
        <v>#DIV/0!</v>
      </c>
      <c r="T74" s="24" t="e">
        <f>ROUND(Q74,2)*R74</f>
        <v>#DIV/0!</v>
      </c>
      <c r="U74" s="95" t="e">
        <f>R74*dagenperjaar1</f>
        <v>#DIV/0!</v>
      </c>
      <c r="V74" s="25" t="e">
        <f>U74*ROUND(Q74,2)</f>
        <v>#DIV/0!</v>
      </c>
    </row>
    <row r="75" spans="1:22" x14ac:dyDescent="0.2">
      <c r="A75" s="92" t="s">
        <v>438</v>
      </c>
      <c r="B75" s="93" t="s">
        <v>47</v>
      </c>
      <c r="C75" s="93" t="s">
        <v>394</v>
      </c>
      <c r="D75" s="93" t="s">
        <v>425</v>
      </c>
      <c r="E75" s="94" t="s">
        <v>445</v>
      </c>
      <c r="F75" s="93" t="s">
        <v>442</v>
      </c>
      <c r="G75" s="93" t="s">
        <v>266</v>
      </c>
      <c r="H75" s="93" t="s">
        <v>13</v>
      </c>
      <c r="I75" s="93" t="s">
        <v>255</v>
      </c>
      <c r="J75" s="93" t="s">
        <v>47</v>
      </c>
      <c r="K75" s="93"/>
      <c r="L75" s="95">
        <v>8.5</v>
      </c>
      <c r="M75" s="95">
        <f>L75*VLOOKUP(H75,dagsoorttabel1,2,FALSE)</f>
        <v>6.666666666666667</v>
      </c>
      <c r="N75" s="96">
        <f>prodnorm40</f>
        <v>0</v>
      </c>
      <c r="O75" s="37">
        <f>dagwerk40</f>
        <v>0</v>
      </c>
      <c r="P75" s="93" t="s">
        <v>105</v>
      </c>
      <c r="Q75" s="24">
        <f>uurtarief40</f>
        <v>0</v>
      </c>
      <c r="R75" s="95" t="e">
        <f>IF(ISBLANK(N75),0,M75/ROUND(N75,4))</f>
        <v>#DIV/0!</v>
      </c>
      <c r="S75" s="95" t="e">
        <f>IF(ISBLANK(N75),0,R75*ROUND(O75,2))</f>
        <v>#DIV/0!</v>
      </c>
      <c r="T75" s="24" t="e">
        <f>ROUND(Q75,2)*R75</f>
        <v>#DIV/0!</v>
      </c>
      <c r="U75" s="95" t="e">
        <f>R75*dagenperjaar1</f>
        <v>#DIV/0!</v>
      </c>
      <c r="V75" s="25" t="e">
        <f>U75*ROUND(Q75,2)</f>
        <v>#DIV/0!</v>
      </c>
    </row>
    <row r="76" spans="1:22" x14ac:dyDescent="0.2">
      <c r="A76" s="92" t="s">
        <v>438</v>
      </c>
      <c r="B76" s="93" t="s">
        <v>47</v>
      </c>
      <c r="C76" s="93" t="s">
        <v>394</v>
      </c>
      <c r="D76" s="93" t="s">
        <v>425</v>
      </c>
      <c r="E76" s="94" t="s">
        <v>445</v>
      </c>
      <c r="F76" s="93" t="s">
        <v>442</v>
      </c>
      <c r="G76" s="93" t="s">
        <v>268</v>
      </c>
      <c r="H76" s="93" t="s">
        <v>13</v>
      </c>
      <c r="I76" s="93" t="s">
        <v>255</v>
      </c>
      <c r="J76" s="93" t="s">
        <v>47</v>
      </c>
      <c r="K76" s="93"/>
      <c r="L76" s="95">
        <v>8.5</v>
      </c>
      <c r="M76" s="95">
        <f>L76*VLOOKUP(H76,dagsoorttabel1,2,FALSE)</f>
        <v>6.666666666666667</v>
      </c>
      <c r="N76" s="96">
        <f>prodnorm42</f>
        <v>0</v>
      </c>
      <c r="O76" s="37">
        <f>dagwerk42</f>
        <v>0</v>
      </c>
      <c r="P76" s="93" t="s">
        <v>105</v>
      </c>
      <c r="Q76" s="24">
        <f>uurtarief42</f>
        <v>0</v>
      </c>
      <c r="R76" s="95" t="e">
        <f>IF(ISBLANK(N76),0,M76/ROUND(N76,4))</f>
        <v>#DIV/0!</v>
      </c>
      <c r="S76" s="95" t="e">
        <f>IF(ISBLANK(N76),0,R76*ROUND(O76,2))</f>
        <v>#DIV/0!</v>
      </c>
      <c r="T76" s="24" t="e">
        <f>ROUND(Q76,2)*R76</f>
        <v>#DIV/0!</v>
      </c>
      <c r="U76" s="95" t="e">
        <f>R76*dagenperjaar1</f>
        <v>#DIV/0!</v>
      </c>
      <c r="V76" s="25" t="e">
        <f>U76*ROUND(Q76,2)</f>
        <v>#DIV/0!</v>
      </c>
    </row>
    <row r="77" spans="1:22" x14ac:dyDescent="0.2">
      <c r="A77" s="92" t="s">
        <v>438</v>
      </c>
      <c r="B77" s="93" t="s">
        <v>47</v>
      </c>
      <c r="C77" s="93" t="s">
        <v>394</v>
      </c>
      <c r="D77" s="93" t="s">
        <v>426</v>
      </c>
      <c r="E77" s="94" t="s">
        <v>445</v>
      </c>
      <c r="F77" s="93" t="s">
        <v>442</v>
      </c>
      <c r="G77" s="93" t="s">
        <v>266</v>
      </c>
      <c r="H77" s="93" t="s">
        <v>13</v>
      </c>
      <c r="I77" s="93" t="s">
        <v>255</v>
      </c>
      <c r="J77" s="93" t="s">
        <v>47</v>
      </c>
      <c r="K77" s="93"/>
      <c r="L77" s="95">
        <v>13</v>
      </c>
      <c r="M77" s="95">
        <f>L77*VLOOKUP(H77,dagsoorttabel1,2,FALSE)</f>
        <v>10.196078431372548</v>
      </c>
      <c r="N77" s="96">
        <f>prodnorm40</f>
        <v>0</v>
      </c>
      <c r="O77" s="37">
        <f>dagwerk40</f>
        <v>0</v>
      </c>
      <c r="P77" s="93" t="s">
        <v>105</v>
      </c>
      <c r="Q77" s="24">
        <f>uurtarief40</f>
        <v>0</v>
      </c>
      <c r="R77" s="95" t="e">
        <f>IF(ISBLANK(N77),0,M77/ROUND(N77,4))</f>
        <v>#DIV/0!</v>
      </c>
      <c r="S77" s="95" t="e">
        <f>IF(ISBLANK(N77),0,R77*ROUND(O77,2))</f>
        <v>#DIV/0!</v>
      </c>
      <c r="T77" s="24" t="e">
        <f>ROUND(Q77,2)*R77</f>
        <v>#DIV/0!</v>
      </c>
      <c r="U77" s="95" t="e">
        <f>R77*dagenperjaar1</f>
        <v>#DIV/0!</v>
      </c>
      <c r="V77" s="25" t="e">
        <f>U77*ROUND(Q77,2)</f>
        <v>#DIV/0!</v>
      </c>
    </row>
    <row r="78" spans="1:22" x14ac:dyDescent="0.2">
      <c r="A78" s="92" t="s">
        <v>438</v>
      </c>
      <c r="B78" s="93" t="s">
        <v>47</v>
      </c>
      <c r="C78" s="93" t="s">
        <v>394</v>
      </c>
      <c r="D78" s="93" t="s">
        <v>426</v>
      </c>
      <c r="E78" s="94" t="s">
        <v>445</v>
      </c>
      <c r="F78" s="93" t="s">
        <v>442</v>
      </c>
      <c r="G78" s="93" t="s">
        <v>268</v>
      </c>
      <c r="H78" s="93" t="s">
        <v>13</v>
      </c>
      <c r="I78" s="93" t="s">
        <v>255</v>
      </c>
      <c r="J78" s="93" t="s">
        <v>47</v>
      </c>
      <c r="K78" s="93"/>
      <c r="L78" s="95">
        <v>13</v>
      </c>
      <c r="M78" s="95">
        <f>L78*VLOOKUP(H78,dagsoorttabel1,2,FALSE)</f>
        <v>10.196078431372548</v>
      </c>
      <c r="N78" s="96">
        <f>prodnorm42</f>
        <v>0</v>
      </c>
      <c r="O78" s="37">
        <f>dagwerk42</f>
        <v>0</v>
      </c>
      <c r="P78" s="93" t="s">
        <v>105</v>
      </c>
      <c r="Q78" s="24">
        <f>uurtarief42</f>
        <v>0</v>
      </c>
      <c r="R78" s="95" t="e">
        <f>IF(ISBLANK(N78),0,M78/ROUND(N78,4))</f>
        <v>#DIV/0!</v>
      </c>
      <c r="S78" s="95" t="e">
        <f>IF(ISBLANK(N78),0,R78*ROUND(O78,2))</f>
        <v>#DIV/0!</v>
      </c>
      <c r="T78" s="24" t="e">
        <f>ROUND(Q78,2)*R78</f>
        <v>#DIV/0!</v>
      </c>
      <c r="U78" s="95" t="e">
        <f>R78*dagenperjaar1</f>
        <v>#DIV/0!</v>
      </c>
      <c r="V78" s="25" t="e">
        <f>U78*ROUND(Q78,2)</f>
        <v>#DIV/0!</v>
      </c>
    </row>
    <row r="79" spans="1:22" x14ac:dyDescent="0.2">
      <c r="A79" s="92" t="s">
        <v>438</v>
      </c>
      <c r="B79" s="93" t="s">
        <v>47</v>
      </c>
      <c r="C79" s="93" t="s">
        <v>394</v>
      </c>
      <c r="D79" s="93" t="s">
        <v>427</v>
      </c>
      <c r="E79" s="94" t="s">
        <v>445</v>
      </c>
      <c r="F79" s="93" t="s">
        <v>442</v>
      </c>
      <c r="G79" s="93" t="s">
        <v>266</v>
      </c>
      <c r="H79" s="93" t="s">
        <v>13</v>
      </c>
      <c r="I79" s="93" t="s">
        <v>255</v>
      </c>
      <c r="J79" s="93" t="s">
        <v>47</v>
      </c>
      <c r="K79" s="93"/>
      <c r="L79" s="95">
        <v>13</v>
      </c>
      <c r="M79" s="95">
        <f>L79*VLOOKUP(H79,dagsoorttabel1,2,FALSE)</f>
        <v>10.196078431372548</v>
      </c>
      <c r="N79" s="96">
        <f>prodnorm40</f>
        <v>0</v>
      </c>
      <c r="O79" s="37">
        <f>dagwerk40</f>
        <v>0</v>
      </c>
      <c r="P79" s="93" t="s">
        <v>105</v>
      </c>
      <c r="Q79" s="24">
        <f>uurtarief40</f>
        <v>0</v>
      </c>
      <c r="R79" s="95" t="e">
        <f>IF(ISBLANK(N79),0,M79/ROUND(N79,4))</f>
        <v>#DIV/0!</v>
      </c>
      <c r="S79" s="95" t="e">
        <f>IF(ISBLANK(N79),0,R79*ROUND(O79,2))</f>
        <v>#DIV/0!</v>
      </c>
      <c r="T79" s="24" t="e">
        <f>ROUND(Q79,2)*R79</f>
        <v>#DIV/0!</v>
      </c>
      <c r="U79" s="95" t="e">
        <f>R79*dagenperjaar1</f>
        <v>#DIV/0!</v>
      </c>
      <c r="V79" s="25" t="e">
        <f>U79*ROUND(Q79,2)</f>
        <v>#DIV/0!</v>
      </c>
    </row>
    <row r="80" spans="1:22" x14ac:dyDescent="0.2">
      <c r="A80" s="92" t="s">
        <v>438</v>
      </c>
      <c r="B80" s="93" t="s">
        <v>47</v>
      </c>
      <c r="C80" s="93" t="s">
        <v>394</v>
      </c>
      <c r="D80" s="93" t="s">
        <v>427</v>
      </c>
      <c r="E80" s="94" t="s">
        <v>445</v>
      </c>
      <c r="F80" s="93" t="s">
        <v>442</v>
      </c>
      <c r="G80" s="93" t="s">
        <v>268</v>
      </c>
      <c r="H80" s="93" t="s">
        <v>13</v>
      </c>
      <c r="I80" s="93" t="s">
        <v>255</v>
      </c>
      <c r="J80" s="93" t="s">
        <v>47</v>
      </c>
      <c r="K80" s="93"/>
      <c r="L80" s="95">
        <v>13</v>
      </c>
      <c r="M80" s="95">
        <f>L80*VLOOKUP(H80,dagsoorttabel1,2,FALSE)</f>
        <v>10.196078431372548</v>
      </c>
      <c r="N80" s="96">
        <f>prodnorm42</f>
        <v>0</v>
      </c>
      <c r="O80" s="37">
        <f>dagwerk42</f>
        <v>0</v>
      </c>
      <c r="P80" s="93" t="s">
        <v>105</v>
      </c>
      <c r="Q80" s="24">
        <f>uurtarief42</f>
        <v>0</v>
      </c>
      <c r="R80" s="95" t="e">
        <f>IF(ISBLANK(N80),0,M80/ROUND(N80,4))</f>
        <v>#DIV/0!</v>
      </c>
      <c r="S80" s="95" t="e">
        <f>IF(ISBLANK(N80),0,R80*ROUND(O80,2))</f>
        <v>#DIV/0!</v>
      </c>
      <c r="T80" s="24" t="e">
        <f>ROUND(Q80,2)*R80</f>
        <v>#DIV/0!</v>
      </c>
      <c r="U80" s="95" t="e">
        <f>R80*dagenperjaar1</f>
        <v>#DIV/0!</v>
      </c>
      <c r="V80" s="25" t="e">
        <f>U80*ROUND(Q80,2)</f>
        <v>#DIV/0!</v>
      </c>
    </row>
    <row r="81" spans="1:22" x14ac:dyDescent="0.2">
      <c r="A81" s="92" t="s">
        <v>438</v>
      </c>
      <c r="B81" s="93" t="s">
        <v>47</v>
      </c>
      <c r="C81" s="93" t="s">
        <v>394</v>
      </c>
      <c r="D81" s="93" t="s">
        <v>429</v>
      </c>
      <c r="E81" s="94" t="s">
        <v>447</v>
      </c>
      <c r="F81" s="93" t="s">
        <v>442</v>
      </c>
      <c r="G81" s="93" t="s">
        <v>284</v>
      </c>
      <c r="H81" s="93" t="s">
        <v>13</v>
      </c>
      <c r="I81" s="93" t="s">
        <v>255</v>
      </c>
      <c r="J81" s="93" t="s">
        <v>47</v>
      </c>
      <c r="K81" s="93"/>
      <c r="L81" s="95">
        <v>30</v>
      </c>
      <c r="M81" s="95">
        <f>L81*VLOOKUP(H81,dagsoorttabel1,2,FALSE)</f>
        <v>23.52941176470588</v>
      </c>
      <c r="N81" s="96">
        <f>prodnorm58</f>
        <v>0</v>
      </c>
      <c r="O81" s="37">
        <f>dagwerk58</f>
        <v>0</v>
      </c>
      <c r="P81" s="93" t="s">
        <v>105</v>
      </c>
      <c r="Q81" s="24">
        <f>uurtarief58</f>
        <v>0</v>
      </c>
      <c r="R81" s="95" t="e">
        <f>IF(ISBLANK(N81),0,M81/ROUND(N81,4))</f>
        <v>#DIV/0!</v>
      </c>
      <c r="S81" s="95" t="e">
        <f>IF(ISBLANK(N81),0,R81*ROUND(O81,2))</f>
        <v>#DIV/0!</v>
      </c>
      <c r="T81" s="24" t="e">
        <f>ROUND(Q81,2)*R81</f>
        <v>#DIV/0!</v>
      </c>
      <c r="U81" s="95" t="e">
        <f>R81*dagenperjaar1</f>
        <v>#DIV/0!</v>
      </c>
      <c r="V81" s="25" t="e">
        <f>U81*ROUND(Q81,2)</f>
        <v>#DIV/0!</v>
      </c>
    </row>
    <row r="82" spans="1:22" x14ac:dyDescent="0.2">
      <c r="A82" s="92" t="s">
        <v>438</v>
      </c>
      <c r="B82" s="93" t="s">
        <v>47</v>
      </c>
      <c r="C82" s="93" t="s">
        <v>394</v>
      </c>
      <c r="D82" s="93" t="s">
        <v>429</v>
      </c>
      <c r="E82" s="94" t="s">
        <v>447</v>
      </c>
      <c r="F82" s="93" t="s">
        <v>442</v>
      </c>
      <c r="G82" s="93" t="s">
        <v>286</v>
      </c>
      <c r="H82" s="93" t="s">
        <v>13</v>
      </c>
      <c r="I82" s="93" t="s">
        <v>255</v>
      </c>
      <c r="J82" s="93" t="s">
        <v>47</v>
      </c>
      <c r="K82" s="93"/>
      <c r="L82" s="95">
        <v>30</v>
      </c>
      <c r="M82" s="95">
        <f>L82*VLOOKUP(H82,dagsoorttabel1,2,FALSE)</f>
        <v>23.52941176470588</v>
      </c>
      <c r="N82" s="96">
        <f>prodnorm61</f>
        <v>0</v>
      </c>
      <c r="O82" s="37">
        <f>dagwerk61</f>
        <v>0</v>
      </c>
      <c r="P82" s="93" t="s">
        <v>105</v>
      </c>
      <c r="Q82" s="24">
        <f>uurtarief61</f>
        <v>0</v>
      </c>
      <c r="R82" s="95" t="e">
        <f>IF(ISBLANK(N82),0,M82/ROUND(N82,4))</f>
        <v>#DIV/0!</v>
      </c>
      <c r="S82" s="95" t="e">
        <f>IF(ISBLANK(N82),0,R82*ROUND(O82,2))</f>
        <v>#DIV/0!</v>
      </c>
      <c r="T82" s="24" t="e">
        <f>ROUND(Q82,2)*R82</f>
        <v>#DIV/0!</v>
      </c>
      <c r="U82" s="95" t="e">
        <f>R82*dagenperjaar1</f>
        <v>#DIV/0!</v>
      </c>
      <c r="V82" s="25" t="e">
        <f>U82*ROUND(Q82,2)</f>
        <v>#DIV/0!</v>
      </c>
    </row>
    <row r="83" spans="1:22" x14ac:dyDescent="0.2">
      <c r="A83" s="92" t="s">
        <v>438</v>
      </c>
      <c r="B83" s="93" t="s">
        <v>47</v>
      </c>
      <c r="C83" s="93" t="s">
        <v>394</v>
      </c>
      <c r="D83" s="93" t="s">
        <v>432</v>
      </c>
      <c r="E83" s="94" t="s">
        <v>447</v>
      </c>
      <c r="F83" s="93" t="s">
        <v>442</v>
      </c>
      <c r="G83" s="93" t="s">
        <v>284</v>
      </c>
      <c r="H83" s="93" t="s">
        <v>13</v>
      </c>
      <c r="I83" s="93" t="s">
        <v>255</v>
      </c>
      <c r="J83" s="93" t="s">
        <v>47</v>
      </c>
      <c r="K83" s="93"/>
      <c r="L83" s="95">
        <v>33</v>
      </c>
      <c r="M83" s="95">
        <f>L83*VLOOKUP(H83,dagsoorttabel1,2,FALSE)</f>
        <v>25.882352941176471</v>
      </c>
      <c r="N83" s="96">
        <f>prodnorm58</f>
        <v>0</v>
      </c>
      <c r="O83" s="37">
        <f>dagwerk58</f>
        <v>0</v>
      </c>
      <c r="P83" s="93" t="s">
        <v>105</v>
      </c>
      <c r="Q83" s="24">
        <f>uurtarief58</f>
        <v>0</v>
      </c>
      <c r="R83" s="95" t="e">
        <f>IF(ISBLANK(N83),0,M83/ROUND(N83,4))</f>
        <v>#DIV/0!</v>
      </c>
      <c r="S83" s="95" t="e">
        <f>IF(ISBLANK(N83),0,R83*ROUND(O83,2))</f>
        <v>#DIV/0!</v>
      </c>
      <c r="T83" s="24" t="e">
        <f>ROUND(Q83,2)*R83</f>
        <v>#DIV/0!</v>
      </c>
      <c r="U83" s="95" t="e">
        <f>R83*dagenperjaar1</f>
        <v>#DIV/0!</v>
      </c>
      <c r="V83" s="25" t="e">
        <f>U83*ROUND(Q83,2)</f>
        <v>#DIV/0!</v>
      </c>
    </row>
    <row r="84" spans="1:22" x14ac:dyDescent="0.2">
      <c r="A84" s="92" t="s">
        <v>438</v>
      </c>
      <c r="B84" s="93" t="s">
        <v>47</v>
      </c>
      <c r="C84" s="93" t="s">
        <v>394</v>
      </c>
      <c r="D84" s="93" t="s">
        <v>432</v>
      </c>
      <c r="E84" s="94" t="s">
        <v>447</v>
      </c>
      <c r="F84" s="93" t="s">
        <v>442</v>
      </c>
      <c r="G84" s="93" t="s">
        <v>286</v>
      </c>
      <c r="H84" s="93" t="s">
        <v>13</v>
      </c>
      <c r="I84" s="93" t="s">
        <v>255</v>
      </c>
      <c r="J84" s="93" t="s">
        <v>47</v>
      </c>
      <c r="K84" s="93"/>
      <c r="L84" s="95">
        <v>33</v>
      </c>
      <c r="M84" s="95">
        <f>L84*VLOOKUP(H84,dagsoorttabel1,2,FALSE)</f>
        <v>25.882352941176471</v>
      </c>
      <c r="N84" s="96">
        <f>prodnorm61</f>
        <v>0</v>
      </c>
      <c r="O84" s="37">
        <f>dagwerk61</f>
        <v>0</v>
      </c>
      <c r="P84" s="93" t="s">
        <v>105</v>
      </c>
      <c r="Q84" s="24">
        <f>uurtarief61</f>
        <v>0</v>
      </c>
      <c r="R84" s="95" t="e">
        <f>IF(ISBLANK(N84),0,M84/ROUND(N84,4))</f>
        <v>#DIV/0!</v>
      </c>
      <c r="S84" s="95" t="e">
        <f>IF(ISBLANK(N84),0,R84*ROUND(O84,2))</f>
        <v>#DIV/0!</v>
      </c>
      <c r="T84" s="24" t="e">
        <f>ROUND(Q84,2)*R84</f>
        <v>#DIV/0!</v>
      </c>
      <c r="U84" s="95" t="e">
        <f>R84*dagenperjaar1</f>
        <v>#DIV/0!</v>
      </c>
      <c r="V84" s="25" t="e">
        <f>U84*ROUND(Q84,2)</f>
        <v>#DIV/0!</v>
      </c>
    </row>
    <row r="85" spans="1:22" x14ac:dyDescent="0.2">
      <c r="A85" s="92" t="s">
        <v>438</v>
      </c>
      <c r="B85" s="93" t="s">
        <v>47</v>
      </c>
      <c r="C85" s="93" t="s">
        <v>394</v>
      </c>
      <c r="D85" s="93" t="s">
        <v>434</v>
      </c>
      <c r="E85" s="94" t="s">
        <v>447</v>
      </c>
      <c r="F85" s="93" t="s">
        <v>442</v>
      </c>
      <c r="G85" s="93" t="s">
        <v>284</v>
      </c>
      <c r="H85" s="93" t="s">
        <v>13</v>
      </c>
      <c r="I85" s="93" t="s">
        <v>255</v>
      </c>
      <c r="J85" s="93" t="s">
        <v>47</v>
      </c>
      <c r="K85" s="93"/>
      <c r="L85" s="95">
        <v>19</v>
      </c>
      <c r="M85" s="95">
        <f>L85*VLOOKUP(H85,dagsoorttabel1,2,FALSE)</f>
        <v>14.901960784313726</v>
      </c>
      <c r="N85" s="96">
        <f>prodnorm58</f>
        <v>0</v>
      </c>
      <c r="O85" s="37">
        <f>dagwerk58</f>
        <v>0</v>
      </c>
      <c r="P85" s="93" t="s">
        <v>105</v>
      </c>
      <c r="Q85" s="24">
        <f>uurtarief58</f>
        <v>0</v>
      </c>
      <c r="R85" s="95" t="e">
        <f>IF(ISBLANK(N85),0,M85/ROUND(N85,4))</f>
        <v>#DIV/0!</v>
      </c>
      <c r="S85" s="95" t="e">
        <f>IF(ISBLANK(N85),0,R85*ROUND(O85,2))</f>
        <v>#DIV/0!</v>
      </c>
      <c r="T85" s="24" t="e">
        <f>ROUND(Q85,2)*R85</f>
        <v>#DIV/0!</v>
      </c>
      <c r="U85" s="95" t="e">
        <f>R85*dagenperjaar1</f>
        <v>#DIV/0!</v>
      </c>
      <c r="V85" s="25" t="e">
        <f>U85*ROUND(Q85,2)</f>
        <v>#DIV/0!</v>
      </c>
    </row>
    <row r="86" spans="1:22" x14ac:dyDescent="0.2">
      <c r="A86" s="92" t="s">
        <v>438</v>
      </c>
      <c r="B86" s="93" t="s">
        <v>47</v>
      </c>
      <c r="C86" s="93" t="s">
        <v>394</v>
      </c>
      <c r="D86" s="93" t="s">
        <v>434</v>
      </c>
      <c r="E86" s="94" t="s">
        <v>447</v>
      </c>
      <c r="F86" s="93" t="s">
        <v>442</v>
      </c>
      <c r="G86" s="93" t="s">
        <v>286</v>
      </c>
      <c r="H86" s="93" t="s">
        <v>13</v>
      </c>
      <c r="I86" s="93" t="s">
        <v>255</v>
      </c>
      <c r="J86" s="93" t="s">
        <v>47</v>
      </c>
      <c r="K86" s="93"/>
      <c r="L86" s="95">
        <v>19</v>
      </c>
      <c r="M86" s="95">
        <f>L86*VLOOKUP(H86,dagsoorttabel1,2,FALSE)</f>
        <v>14.901960784313726</v>
      </c>
      <c r="N86" s="96">
        <f>prodnorm61</f>
        <v>0</v>
      </c>
      <c r="O86" s="37">
        <f>dagwerk61</f>
        <v>0</v>
      </c>
      <c r="P86" s="93" t="s">
        <v>105</v>
      </c>
      <c r="Q86" s="24">
        <f>uurtarief61</f>
        <v>0</v>
      </c>
      <c r="R86" s="95" t="e">
        <f>IF(ISBLANK(N86),0,M86/ROUND(N86,4))</f>
        <v>#DIV/0!</v>
      </c>
      <c r="S86" s="95" t="e">
        <f>IF(ISBLANK(N86),0,R86*ROUND(O86,2))</f>
        <v>#DIV/0!</v>
      </c>
      <c r="T86" s="24" t="e">
        <f>ROUND(Q86,2)*R86</f>
        <v>#DIV/0!</v>
      </c>
      <c r="U86" s="95" t="e">
        <f>R86*dagenperjaar1</f>
        <v>#DIV/0!</v>
      </c>
      <c r="V86" s="25" t="e">
        <f>U86*ROUND(Q86,2)</f>
        <v>#DIV/0!</v>
      </c>
    </row>
    <row r="87" spans="1:22" x14ac:dyDescent="0.2">
      <c r="A87" s="92" t="s">
        <v>438</v>
      </c>
      <c r="B87" s="93" t="s">
        <v>47</v>
      </c>
      <c r="C87" s="93" t="s">
        <v>394</v>
      </c>
      <c r="D87" s="93" t="s">
        <v>448</v>
      </c>
      <c r="E87" s="94" t="s">
        <v>447</v>
      </c>
      <c r="F87" s="93" t="s">
        <v>442</v>
      </c>
      <c r="G87" s="93" t="s">
        <v>284</v>
      </c>
      <c r="H87" s="93" t="s">
        <v>13</v>
      </c>
      <c r="I87" s="93" t="s">
        <v>255</v>
      </c>
      <c r="J87" s="93" t="s">
        <v>47</v>
      </c>
      <c r="K87" s="93"/>
      <c r="L87" s="95">
        <v>24</v>
      </c>
      <c r="M87" s="95">
        <f>L87*VLOOKUP(H87,dagsoorttabel1,2,FALSE)</f>
        <v>18.823529411764707</v>
      </c>
      <c r="N87" s="96">
        <f>prodnorm58</f>
        <v>0</v>
      </c>
      <c r="O87" s="37">
        <f>dagwerk58</f>
        <v>0</v>
      </c>
      <c r="P87" s="93" t="s">
        <v>105</v>
      </c>
      <c r="Q87" s="24">
        <f>uurtarief58</f>
        <v>0</v>
      </c>
      <c r="R87" s="95" t="e">
        <f>IF(ISBLANK(N87),0,M87/ROUND(N87,4))</f>
        <v>#DIV/0!</v>
      </c>
      <c r="S87" s="95" t="e">
        <f>IF(ISBLANK(N87),0,R87*ROUND(O87,2))</f>
        <v>#DIV/0!</v>
      </c>
      <c r="T87" s="24" t="e">
        <f>ROUND(Q87,2)*R87</f>
        <v>#DIV/0!</v>
      </c>
      <c r="U87" s="95" t="e">
        <f>R87*dagenperjaar1</f>
        <v>#DIV/0!</v>
      </c>
      <c r="V87" s="25" t="e">
        <f>U87*ROUND(Q87,2)</f>
        <v>#DIV/0!</v>
      </c>
    </row>
    <row r="88" spans="1:22" x14ac:dyDescent="0.2">
      <c r="A88" s="92" t="s">
        <v>438</v>
      </c>
      <c r="B88" s="93" t="s">
        <v>47</v>
      </c>
      <c r="C88" s="93" t="s">
        <v>394</v>
      </c>
      <c r="D88" s="93" t="s">
        <v>448</v>
      </c>
      <c r="E88" s="94" t="s">
        <v>447</v>
      </c>
      <c r="F88" s="93" t="s">
        <v>442</v>
      </c>
      <c r="G88" s="93" t="s">
        <v>286</v>
      </c>
      <c r="H88" s="93" t="s">
        <v>13</v>
      </c>
      <c r="I88" s="93" t="s">
        <v>255</v>
      </c>
      <c r="J88" s="93" t="s">
        <v>47</v>
      </c>
      <c r="K88" s="93"/>
      <c r="L88" s="95">
        <v>24</v>
      </c>
      <c r="M88" s="95">
        <f>L88*VLOOKUP(H88,dagsoorttabel1,2,FALSE)</f>
        <v>18.823529411764707</v>
      </c>
      <c r="N88" s="96">
        <f>prodnorm61</f>
        <v>0</v>
      </c>
      <c r="O88" s="37">
        <f>dagwerk61</f>
        <v>0</v>
      </c>
      <c r="P88" s="93" t="s">
        <v>105</v>
      </c>
      <c r="Q88" s="24">
        <f>uurtarief61</f>
        <v>0</v>
      </c>
      <c r="R88" s="95" t="e">
        <f>IF(ISBLANK(N88),0,M88/ROUND(N88,4))</f>
        <v>#DIV/0!</v>
      </c>
      <c r="S88" s="95" t="e">
        <f>IF(ISBLANK(N88),0,R88*ROUND(O88,2))</f>
        <v>#DIV/0!</v>
      </c>
      <c r="T88" s="24" t="e">
        <f>ROUND(Q88,2)*R88</f>
        <v>#DIV/0!</v>
      </c>
      <c r="U88" s="95" t="e">
        <f>R88*dagenperjaar1</f>
        <v>#DIV/0!</v>
      </c>
      <c r="V88" s="25" t="e">
        <f>U88*ROUND(Q88,2)</f>
        <v>#DIV/0!</v>
      </c>
    </row>
    <row r="89" spans="1:22" x14ac:dyDescent="0.2">
      <c r="A89" s="92" t="s">
        <v>438</v>
      </c>
      <c r="B89" s="93" t="s">
        <v>47</v>
      </c>
      <c r="C89" s="93" t="s">
        <v>394</v>
      </c>
      <c r="D89" s="93" t="s">
        <v>449</v>
      </c>
      <c r="E89" s="94" t="s">
        <v>447</v>
      </c>
      <c r="F89" s="93" t="s">
        <v>442</v>
      </c>
      <c r="G89" s="93" t="s">
        <v>284</v>
      </c>
      <c r="H89" s="93" t="s">
        <v>13</v>
      </c>
      <c r="I89" s="93" t="s">
        <v>255</v>
      </c>
      <c r="J89" s="93" t="s">
        <v>47</v>
      </c>
      <c r="K89" s="93"/>
      <c r="L89" s="95">
        <v>33</v>
      </c>
      <c r="M89" s="95">
        <f>L89*VLOOKUP(H89,dagsoorttabel1,2,FALSE)</f>
        <v>25.882352941176471</v>
      </c>
      <c r="N89" s="96">
        <f>prodnorm58</f>
        <v>0</v>
      </c>
      <c r="O89" s="37">
        <f>dagwerk58</f>
        <v>0</v>
      </c>
      <c r="P89" s="93" t="s">
        <v>105</v>
      </c>
      <c r="Q89" s="24">
        <f>uurtarief58</f>
        <v>0</v>
      </c>
      <c r="R89" s="95" t="e">
        <f>IF(ISBLANK(N89),0,M89/ROUND(N89,4))</f>
        <v>#DIV/0!</v>
      </c>
      <c r="S89" s="95" t="e">
        <f>IF(ISBLANK(N89),0,R89*ROUND(O89,2))</f>
        <v>#DIV/0!</v>
      </c>
      <c r="T89" s="24" t="e">
        <f>ROUND(Q89,2)*R89</f>
        <v>#DIV/0!</v>
      </c>
      <c r="U89" s="95" t="e">
        <f>R89*dagenperjaar1</f>
        <v>#DIV/0!</v>
      </c>
      <c r="V89" s="25" t="e">
        <f>U89*ROUND(Q89,2)</f>
        <v>#DIV/0!</v>
      </c>
    </row>
    <row r="90" spans="1:22" x14ac:dyDescent="0.2">
      <c r="A90" s="92" t="s">
        <v>438</v>
      </c>
      <c r="B90" s="93" t="s">
        <v>47</v>
      </c>
      <c r="C90" s="93" t="s">
        <v>394</v>
      </c>
      <c r="D90" s="93" t="s">
        <v>449</v>
      </c>
      <c r="E90" s="94" t="s">
        <v>447</v>
      </c>
      <c r="F90" s="93" t="s">
        <v>442</v>
      </c>
      <c r="G90" s="93" t="s">
        <v>286</v>
      </c>
      <c r="H90" s="93" t="s">
        <v>13</v>
      </c>
      <c r="I90" s="93" t="s">
        <v>255</v>
      </c>
      <c r="J90" s="93" t="s">
        <v>47</v>
      </c>
      <c r="K90" s="93"/>
      <c r="L90" s="95">
        <v>33</v>
      </c>
      <c r="M90" s="95">
        <f>L90*VLOOKUP(H90,dagsoorttabel1,2,FALSE)</f>
        <v>25.882352941176471</v>
      </c>
      <c r="N90" s="96">
        <f>prodnorm61</f>
        <v>0</v>
      </c>
      <c r="O90" s="37">
        <f>dagwerk61</f>
        <v>0</v>
      </c>
      <c r="P90" s="93" t="s">
        <v>105</v>
      </c>
      <c r="Q90" s="24">
        <f>uurtarief61</f>
        <v>0</v>
      </c>
      <c r="R90" s="95" t="e">
        <f>IF(ISBLANK(N90),0,M90/ROUND(N90,4))</f>
        <v>#DIV/0!</v>
      </c>
      <c r="S90" s="95" t="e">
        <f>IF(ISBLANK(N90),0,R90*ROUND(O90,2))</f>
        <v>#DIV/0!</v>
      </c>
      <c r="T90" s="24" t="e">
        <f>ROUND(Q90,2)*R90</f>
        <v>#DIV/0!</v>
      </c>
      <c r="U90" s="95" t="e">
        <f>R90*dagenperjaar1</f>
        <v>#DIV/0!</v>
      </c>
      <c r="V90" s="25" t="e">
        <f>U90*ROUND(Q90,2)</f>
        <v>#DIV/0!</v>
      </c>
    </row>
    <row r="91" spans="1:22" x14ac:dyDescent="0.2">
      <c r="A91" s="92" t="s">
        <v>438</v>
      </c>
      <c r="B91" s="93" t="s">
        <v>47</v>
      </c>
      <c r="C91" s="93" t="s">
        <v>394</v>
      </c>
      <c r="D91" s="93" t="s">
        <v>450</v>
      </c>
      <c r="E91" s="94" t="s">
        <v>447</v>
      </c>
      <c r="F91" s="93" t="s">
        <v>442</v>
      </c>
      <c r="G91" s="93" t="s">
        <v>284</v>
      </c>
      <c r="H91" s="93" t="s">
        <v>13</v>
      </c>
      <c r="I91" s="93" t="s">
        <v>255</v>
      </c>
      <c r="J91" s="93" t="s">
        <v>47</v>
      </c>
      <c r="K91" s="93"/>
      <c r="L91" s="95">
        <v>33</v>
      </c>
      <c r="M91" s="95">
        <f>L91*VLOOKUP(H91,dagsoorttabel1,2,FALSE)</f>
        <v>25.882352941176471</v>
      </c>
      <c r="N91" s="96">
        <f>prodnorm58</f>
        <v>0</v>
      </c>
      <c r="O91" s="37">
        <f>dagwerk58</f>
        <v>0</v>
      </c>
      <c r="P91" s="93" t="s">
        <v>105</v>
      </c>
      <c r="Q91" s="24">
        <f>uurtarief58</f>
        <v>0</v>
      </c>
      <c r="R91" s="95" t="e">
        <f>IF(ISBLANK(N91),0,M91/ROUND(N91,4))</f>
        <v>#DIV/0!</v>
      </c>
      <c r="S91" s="95" t="e">
        <f>IF(ISBLANK(N91),0,R91*ROUND(O91,2))</f>
        <v>#DIV/0!</v>
      </c>
      <c r="T91" s="24" t="e">
        <f>ROUND(Q91,2)*R91</f>
        <v>#DIV/0!</v>
      </c>
      <c r="U91" s="95" t="e">
        <f>R91*dagenperjaar1</f>
        <v>#DIV/0!</v>
      </c>
      <c r="V91" s="25" t="e">
        <f>U91*ROUND(Q91,2)</f>
        <v>#DIV/0!</v>
      </c>
    </row>
    <row r="92" spans="1:22" x14ac:dyDescent="0.2">
      <c r="A92" s="92" t="s">
        <v>438</v>
      </c>
      <c r="B92" s="93" t="s">
        <v>47</v>
      </c>
      <c r="C92" s="93" t="s">
        <v>394</v>
      </c>
      <c r="D92" s="93" t="s">
        <v>450</v>
      </c>
      <c r="E92" s="94" t="s">
        <v>447</v>
      </c>
      <c r="F92" s="93" t="s">
        <v>442</v>
      </c>
      <c r="G92" s="93" t="s">
        <v>286</v>
      </c>
      <c r="H92" s="93" t="s">
        <v>13</v>
      </c>
      <c r="I92" s="93" t="s">
        <v>255</v>
      </c>
      <c r="J92" s="93" t="s">
        <v>47</v>
      </c>
      <c r="K92" s="93"/>
      <c r="L92" s="95">
        <v>33</v>
      </c>
      <c r="M92" s="95">
        <f>L92*VLOOKUP(H92,dagsoorttabel1,2,FALSE)</f>
        <v>25.882352941176471</v>
      </c>
      <c r="N92" s="96">
        <f>prodnorm61</f>
        <v>0</v>
      </c>
      <c r="O92" s="37">
        <f>dagwerk61</f>
        <v>0</v>
      </c>
      <c r="P92" s="93" t="s">
        <v>105</v>
      </c>
      <c r="Q92" s="24">
        <f>uurtarief61</f>
        <v>0</v>
      </c>
      <c r="R92" s="95" t="e">
        <f>IF(ISBLANK(N92),0,M92/ROUND(N92,4))</f>
        <v>#DIV/0!</v>
      </c>
      <c r="S92" s="95" t="e">
        <f>IF(ISBLANK(N92),0,R92*ROUND(O92,2))</f>
        <v>#DIV/0!</v>
      </c>
      <c r="T92" s="24" t="e">
        <f>ROUND(Q92,2)*R92</f>
        <v>#DIV/0!</v>
      </c>
      <c r="U92" s="95" t="e">
        <f>R92*dagenperjaar1</f>
        <v>#DIV/0!</v>
      </c>
      <c r="V92" s="25" t="e">
        <f>U92*ROUND(Q92,2)</f>
        <v>#DIV/0!</v>
      </c>
    </row>
    <row r="93" spans="1:22" x14ac:dyDescent="0.2">
      <c r="A93" s="92" t="s">
        <v>438</v>
      </c>
      <c r="B93" s="93" t="s">
        <v>47</v>
      </c>
      <c r="C93" s="93" t="s">
        <v>394</v>
      </c>
      <c r="D93" s="93" t="s">
        <v>451</v>
      </c>
      <c r="E93" s="94" t="s">
        <v>452</v>
      </c>
      <c r="F93" s="93" t="s">
        <v>441</v>
      </c>
      <c r="G93" s="93" t="s">
        <v>284</v>
      </c>
      <c r="H93" s="93" t="s">
        <v>13</v>
      </c>
      <c r="I93" s="93" t="s">
        <v>255</v>
      </c>
      <c r="J93" s="93" t="s">
        <v>47</v>
      </c>
      <c r="K93" s="93"/>
      <c r="L93" s="95">
        <v>12</v>
      </c>
      <c r="M93" s="95">
        <f>L93*VLOOKUP(H93,dagsoorttabel1,2,FALSE)</f>
        <v>9.4117647058823533</v>
      </c>
      <c r="N93" s="96">
        <f>prodnorm58</f>
        <v>0</v>
      </c>
      <c r="O93" s="37">
        <f>dagwerk58</f>
        <v>0</v>
      </c>
      <c r="P93" s="93" t="s">
        <v>105</v>
      </c>
      <c r="Q93" s="24">
        <f>uurtarief58</f>
        <v>0</v>
      </c>
      <c r="R93" s="95" t="e">
        <f>IF(ISBLANK(N93),0,M93/ROUND(N93,4))</f>
        <v>#DIV/0!</v>
      </c>
      <c r="S93" s="95" t="e">
        <f>IF(ISBLANK(N93),0,R93*ROUND(O93,2))</f>
        <v>#DIV/0!</v>
      </c>
      <c r="T93" s="24" t="e">
        <f>ROUND(Q93,2)*R93</f>
        <v>#DIV/0!</v>
      </c>
      <c r="U93" s="95" t="e">
        <f>R93*dagenperjaar1</f>
        <v>#DIV/0!</v>
      </c>
      <c r="V93" s="25" t="e">
        <f>U93*ROUND(Q93,2)</f>
        <v>#DIV/0!</v>
      </c>
    </row>
    <row r="94" spans="1:22" x14ac:dyDescent="0.2">
      <c r="A94" s="92" t="s">
        <v>438</v>
      </c>
      <c r="B94" s="93" t="s">
        <v>47</v>
      </c>
      <c r="C94" s="93" t="s">
        <v>394</v>
      </c>
      <c r="D94" s="93" t="s">
        <v>451</v>
      </c>
      <c r="E94" s="94" t="s">
        <v>452</v>
      </c>
      <c r="F94" s="93" t="s">
        <v>441</v>
      </c>
      <c r="G94" s="93" t="s">
        <v>286</v>
      </c>
      <c r="H94" s="93" t="s">
        <v>13</v>
      </c>
      <c r="I94" s="93" t="s">
        <v>255</v>
      </c>
      <c r="J94" s="93" t="s">
        <v>47</v>
      </c>
      <c r="K94" s="93"/>
      <c r="L94" s="95">
        <v>12</v>
      </c>
      <c r="M94" s="95">
        <f>L94*VLOOKUP(H94,dagsoorttabel1,2,FALSE)</f>
        <v>9.4117647058823533</v>
      </c>
      <c r="N94" s="96">
        <f>prodnorm61</f>
        <v>0</v>
      </c>
      <c r="O94" s="37">
        <f>dagwerk61</f>
        <v>0</v>
      </c>
      <c r="P94" s="93" t="s">
        <v>105</v>
      </c>
      <c r="Q94" s="24">
        <f>uurtarief61</f>
        <v>0</v>
      </c>
      <c r="R94" s="95" t="e">
        <f>IF(ISBLANK(N94),0,M94/ROUND(N94,4))</f>
        <v>#DIV/0!</v>
      </c>
      <c r="S94" s="95" t="e">
        <f>IF(ISBLANK(N94),0,R94*ROUND(O94,2))</f>
        <v>#DIV/0!</v>
      </c>
      <c r="T94" s="24" t="e">
        <f>ROUND(Q94,2)*R94</f>
        <v>#DIV/0!</v>
      </c>
      <c r="U94" s="95" t="e">
        <f>R94*dagenperjaar1</f>
        <v>#DIV/0!</v>
      </c>
      <c r="V94" s="25" t="e">
        <f>U94*ROUND(Q94,2)</f>
        <v>#DIV/0!</v>
      </c>
    </row>
    <row r="95" spans="1:22" x14ac:dyDescent="0.2">
      <c r="A95" s="92" t="s">
        <v>438</v>
      </c>
      <c r="B95" s="93" t="s">
        <v>47</v>
      </c>
      <c r="C95" s="93" t="s">
        <v>394</v>
      </c>
      <c r="D95" s="93" t="s">
        <v>453</v>
      </c>
      <c r="E95" s="94" t="s">
        <v>452</v>
      </c>
      <c r="F95" s="93" t="s">
        <v>441</v>
      </c>
      <c r="G95" s="93" t="s">
        <v>284</v>
      </c>
      <c r="H95" s="93" t="s">
        <v>13</v>
      </c>
      <c r="I95" s="93" t="s">
        <v>255</v>
      </c>
      <c r="J95" s="93" t="s">
        <v>47</v>
      </c>
      <c r="K95" s="93"/>
      <c r="L95" s="95">
        <v>12</v>
      </c>
      <c r="M95" s="95">
        <f>L95*VLOOKUP(H95,dagsoorttabel1,2,FALSE)</f>
        <v>9.4117647058823533</v>
      </c>
      <c r="N95" s="96">
        <f>prodnorm58</f>
        <v>0</v>
      </c>
      <c r="O95" s="37">
        <f>dagwerk58</f>
        <v>0</v>
      </c>
      <c r="P95" s="93" t="s">
        <v>105</v>
      </c>
      <c r="Q95" s="24">
        <f>uurtarief58</f>
        <v>0</v>
      </c>
      <c r="R95" s="95" t="e">
        <f>IF(ISBLANK(N95),0,M95/ROUND(N95,4))</f>
        <v>#DIV/0!</v>
      </c>
      <c r="S95" s="95" t="e">
        <f>IF(ISBLANK(N95),0,R95*ROUND(O95,2))</f>
        <v>#DIV/0!</v>
      </c>
      <c r="T95" s="24" t="e">
        <f>ROUND(Q95,2)*R95</f>
        <v>#DIV/0!</v>
      </c>
      <c r="U95" s="95" t="e">
        <f>R95*dagenperjaar1</f>
        <v>#DIV/0!</v>
      </c>
      <c r="V95" s="25" t="e">
        <f>U95*ROUND(Q95,2)</f>
        <v>#DIV/0!</v>
      </c>
    </row>
    <row r="96" spans="1:22" x14ac:dyDescent="0.2">
      <c r="A96" s="92" t="s">
        <v>438</v>
      </c>
      <c r="B96" s="93" t="s">
        <v>47</v>
      </c>
      <c r="C96" s="93" t="s">
        <v>394</v>
      </c>
      <c r="D96" s="93" t="s">
        <v>453</v>
      </c>
      <c r="E96" s="94" t="s">
        <v>452</v>
      </c>
      <c r="F96" s="93" t="s">
        <v>441</v>
      </c>
      <c r="G96" s="93" t="s">
        <v>286</v>
      </c>
      <c r="H96" s="93" t="s">
        <v>13</v>
      </c>
      <c r="I96" s="93" t="s">
        <v>255</v>
      </c>
      <c r="J96" s="93" t="s">
        <v>47</v>
      </c>
      <c r="K96" s="93"/>
      <c r="L96" s="95">
        <v>12</v>
      </c>
      <c r="M96" s="95">
        <f>L96*VLOOKUP(H96,dagsoorttabel1,2,FALSE)</f>
        <v>9.4117647058823533</v>
      </c>
      <c r="N96" s="96">
        <f>prodnorm61</f>
        <v>0</v>
      </c>
      <c r="O96" s="37">
        <f>dagwerk61</f>
        <v>0</v>
      </c>
      <c r="P96" s="93" t="s">
        <v>105</v>
      </c>
      <c r="Q96" s="24">
        <f>uurtarief61</f>
        <v>0</v>
      </c>
      <c r="R96" s="95" t="e">
        <f>IF(ISBLANK(N96),0,M96/ROUND(N96,4))</f>
        <v>#DIV/0!</v>
      </c>
      <c r="S96" s="95" t="e">
        <f>IF(ISBLANK(N96),0,R96*ROUND(O96,2))</f>
        <v>#DIV/0!</v>
      </c>
      <c r="T96" s="24" t="e">
        <f>ROUND(Q96,2)*R96</f>
        <v>#DIV/0!</v>
      </c>
      <c r="U96" s="95" t="e">
        <f>R96*dagenperjaar1</f>
        <v>#DIV/0!</v>
      </c>
      <c r="V96" s="25" t="e">
        <f>U96*ROUND(Q96,2)</f>
        <v>#DIV/0!</v>
      </c>
    </row>
    <row r="97" spans="1:22" x14ac:dyDescent="0.2">
      <c r="A97" s="92" t="s">
        <v>438</v>
      </c>
      <c r="B97" s="93" t="s">
        <v>47</v>
      </c>
      <c r="C97" s="93" t="s">
        <v>394</v>
      </c>
      <c r="D97" s="93" t="s">
        <v>454</v>
      </c>
      <c r="E97" s="94" t="s">
        <v>455</v>
      </c>
      <c r="F97" s="93" t="s">
        <v>456</v>
      </c>
      <c r="G97" s="93" t="s">
        <v>314</v>
      </c>
      <c r="H97" s="93" t="s">
        <v>13</v>
      </c>
      <c r="I97" s="93" t="s">
        <v>255</v>
      </c>
      <c r="J97" s="93" t="s">
        <v>47</v>
      </c>
      <c r="K97" s="93"/>
      <c r="L97" s="95">
        <v>200</v>
      </c>
      <c r="M97" s="95">
        <f>L97*VLOOKUP(H97,dagsoorttabel1,2,FALSE)</f>
        <v>156.86274509803923</v>
      </c>
      <c r="N97" s="96">
        <f>prodnorm88</f>
        <v>0</v>
      </c>
      <c r="O97" s="37">
        <f>dagwerk88</f>
        <v>0</v>
      </c>
      <c r="P97" s="93" t="s">
        <v>105</v>
      </c>
      <c r="Q97" s="24">
        <f>uurtarief88</f>
        <v>0</v>
      </c>
      <c r="R97" s="95" t="e">
        <f>IF(ISBLANK(N97),0,M97/ROUND(N97,4))</f>
        <v>#DIV/0!</v>
      </c>
      <c r="S97" s="95" t="e">
        <f>IF(ISBLANK(N97),0,R97*ROUND(O97,2))</f>
        <v>#DIV/0!</v>
      </c>
      <c r="T97" s="24" t="e">
        <f>ROUND(Q97,2)*R97</f>
        <v>#DIV/0!</v>
      </c>
      <c r="U97" s="95" t="e">
        <f>R97*dagenperjaar1</f>
        <v>#DIV/0!</v>
      </c>
      <c r="V97" s="25" t="e">
        <f>U97*ROUND(Q97,2)</f>
        <v>#DIV/0!</v>
      </c>
    </row>
    <row r="98" spans="1:22" x14ac:dyDescent="0.2">
      <c r="A98" s="92" t="s">
        <v>438</v>
      </c>
      <c r="B98" s="93" t="s">
        <v>47</v>
      </c>
      <c r="C98" s="93" t="s">
        <v>394</v>
      </c>
      <c r="D98" s="93" t="s">
        <v>454</v>
      </c>
      <c r="E98" s="94" t="s">
        <v>455</v>
      </c>
      <c r="F98" s="93" t="s">
        <v>456</v>
      </c>
      <c r="G98" s="93" t="s">
        <v>316</v>
      </c>
      <c r="H98" s="93" t="s">
        <v>13</v>
      </c>
      <c r="I98" s="93" t="s">
        <v>255</v>
      </c>
      <c r="J98" s="93" t="s">
        <v>47</v>
      </c>
      <c r="K98" s="93"/>
      <c r="L98" s="95">
        <v>200</v>
      </c>
      <c r="M98" s="95">
        <f>L98*VLOOKUP(H98,dagsoorttabel1,2,FALSE)</f>
        <v>156.86274509803923</v>
      </c>
      <c r="N98" s="96">
        <f>prodnorm93</f>
        <v>0</v>
      </c>
      <c r="O98" s="37">
        <f>dagwerk93</f>
        <v>0</v>
      </c>
      <c r="P98" s="93" t="s">
        <v>105</v>
      </c>
      <c r="Q98" s="24">
        <f>uurtarief93</f>
        <v>0</v>
      </c>
      <c r="R98" s="95" t="e">
        <f>IF(ISBLANK(N98),0,M98/ROUND(N98,4))</f>
        <v>#DIV/0!</v>
      </c>
      <c r="S98" s="95" t="e">
        <f>IF(ISBLANK(N98),0,R98*ROUND(O98,2))</f>
        <v>#DIV/0!</v>
      </c>
      <c r="T98" s="24" t="e">
        <f>ROUND(Q98,2)*R98</f>
        <v>#DIV/0!</v>
      </c>
      <c r="U98" s="95" t="e">
        <f>R98*dagenperjaar1</f>
        <v>#DIV/0!</v>
      </c>
      <c r="V98" s="25" t="e">
        <f>U98*ROUND(Q98,2)</f>
        <v>#DIV/0!</v>
      </c>
    </row>
    <row r="99" spans="1:22" x14ac:dyDescent="0.2">
      <c r="A99" s="92" t="s">
        <v>438</v>
      </c>
      <c r="B99" s="93" t="s">
        <v>47</v>
      </c>
      <c r="C99" s="93" t="s">
        <v>394</v>
      </c>
      <c r="D99" s="93" t="s">
        <v>457</v>
      </c>
      <c r="E99" s="94" t="s">
        <v>396</v>
      </c>
      <c r="F99" s="93" t="s">
        <v>441</v>
      </c>
      <c r="G99" s="93" t="s">
        <v>270</v>
      </c>
      <c r="H99" s="93" t="s">
        <v>13</v>
      </c>
      <c r="I99" s="93" t="s">
        <v>255</v>
      </c>
      <c r="J99" s="93" t="s">
        <v>47</v>
      </c>
      <c r="K99" s="93"/>
      <c r="L99" s="95">
        <v>15</v>
      </c>
      <c r="M99" s="95">
        <f>L99*VLOOKUP(H99,dagsoorttabel1,2,FALSE)</f>
        <v>11.76470588235294</v>
      </c>
      <c r="N99" s="96">
        <f>prodnorm43</f>
        <v>0</v>
      </c>
      <c r="O99" s="37">
        <f>dagwerk43</f>
        <v>0</v>
      </c>
      <c r="P99" s="93" t="s">
        <v>105</v>
      </c>
      <c r="Q99" s="24">
        <f>uurtarief43</f>
        <v>0</v>
      </c>
      <c r="R99" s="95" t="e">
        <f>IF(ISBLANK(N99),0,M99/ROUND(N99,4))</f>
        <v>#DIV/0!</v>
      </c>
      <c r="S99" s="95" t="e">
        <f>IF(ISBLANK(N99),0,R99*ROUND(O99,2))</f>
        <v>#DIV/0!</v>
      </c>
      <c r="T99" s="24" t="e">
        <f>ROUND(Q99,2)*R99</f>
        <v>#DIV/0!</v>
      </c>
      <c r="U99" s="95" t="e">
        <f>R99*dagenperjaar1</f>
        <v>#DIV/0!</v>
      </c>
      <c r="V99" s="25" t="e">
        <f>U99*ROUND(Q99,2)</f>
        <v>#DIV/0!</v>
      </c>
    </row>
    <row r="100" spans="1:22" x14ac:dyDescent="0.2">
      <c r="A100" s="92" t="s">
        <v>438</v>
      </c>
      <c r="B100" s="93" t="s">
        <v>47</v>
      </c>
      <c r="C100" s="93" t="s">
        <v>394</v>
      </c>
      <c r="D100" s="93" t="s">
        <v>457</v>
      </c>
      <c r="E100" s="94" t="s">
        <v>396</v>
      </c>
      <c r="F100" s="93" t="s">
        <v>441</v>
      </c>
      <c r="G100" s="93" t="s">
        <v>272</v>
      </c>
      <c r="H100" s="93" t="s">
        <v>13</v>
      </c>
      <c r="I100" s="93" t="s">
        <v>255</v>
      </c>
      <c r="J100" s="93" t="s">
        <v>47</v>
      </c>
      <c r="K100" s="93"/>
      <c r="L100" s="95">
        <v>15</v>
      </c>
      <c r="M100" s="95">
        <f>L100*VLOOKUP(H100,dagsoorttabel1,2,FALSE)</f>
        <v>11.76470588235294</v>
      </c>
      <c r="N100" s="96">
        <f>prodnorm45</f>
        <v>0</v>
      </c>
      <c r="O100" s="37">
        <f>dagwerk45</f>
        <v>0</v>
      </c>
      <c r="P100" s="93" t="s">
        <v>105</v>
      </c>
      <c r="Q100" s="24">
        <f>uurtarief45</f>
        <v>0</v>
      </c>
      <c r="R100" s="95" t="e">
        <f>IF(ISBLANK(N100),0,M100/ROUND(N100,4))</f>
        <v>#DIV/0!</v>
      </c>
      <c r="S100" s="95" t="e">
        <f>IF(ISBLANK(N100),0,R100*ROUND(O100,2))</f>
        <v>#DIV/0!</v>
      </c>
      <c r="T100" s="24" t="e">
        <f>ROUND(Q100,2)*R100</f>
        <v>#DIV/0!</v>
      </c>
      <c r="U100" s="95" t="e">
        <f>R100*dagenperjaar1</f>
        <v>#DIV/0!</v>
      </c>
      <c r="V100" s="25" t="e">
        <f>U100*ROUND(Q100,2)</f>
        <v>#DIV/0!</v>
      </c>
    </row>
    <row r="101" spans="1:22" x14ac:dyDescent="0.2">
      <c r="A101" s="92" t="s">
        <v>438</v>
      </c>
      <c r="B101" s="93" t="s">
        <v>47</v>
      </c>
      <c r="C101" s="93" t="s">
        <v>394</v>
      </c>
      <c r="D101" s="93" t="s">
        <v>458</v>
      </c>
      <c r="E101" s="94" t="s">
        <v>459</v>
      </c>
      <c r="F101" s="93" t="s">
        <v>441</v>
      </c>
      <c r="G101" s="93" t="s">
        <v>314</v>
      </c>
      <c r="H101" s="93" t="s">
        <v>13</v>
      </c>
      <c r="I101" s="93" t="s">
        <v>255</v>
      </c>
      <c r="J101" s="93" t="s">
        <v>47</v>
      </c>
      <c r="K101" s="93"/>
      <c r="L101" s="95">
        <v>92.5</v>
      </c>
      <c r="M101" s="95">
        <f>L101*VLOOKUP(H101,dagsoorttabel1,2,FALSE)</f>
        <v>72.549019607843135</v>
      </c>
      <c r="N101" s="96">
        <f>prodnorm88</f>
        <v>0</v>
      </c>
      <c r="O101" s="37">
        <f>dagwerk88</f>
        <v>0</v>
      </c>
      <c r="P101" s="93" t="s">
        <v>105</v>
      </c>
      <c r="Q101" s="24">
        <f>uurtarief88</f>
        <v>0</v>
      </c>
      <c r="R101" s="95" t="e">
        <f>IF(ISBLANK(N101),0,M101/ROUND(N101,4))</f>
        <v>#DIV/0!</v>
      </c>
      <c r="S101" s="95" t="e">
        <f>IF(ISBLANK(N101),0,R101*ROUND(O101,2))</f>
        <v>#DIV/0!</v>
      </c>
      <c r="T101" s="24" t="e">
        <f>ROUND(Q101,2)*R101</f>
        <v>#DIV/0!</v>
      </c>
      <c r="U101" s="95" t="e">
        <f>R101*dagenperjaar1</f>
        <v>#DIV/0!</v>
      </c>
      <c r="V101" s="25" t="e">
        <f>U101*ROUND(Q101,2)</f>
        <v>#DIV/0!</v>
      </c>
    </row>
    <row r="102" spans="1:22" x14ac:dyDescent="0.2">
      <c r="A102" s="92" t="s">
        <v>438</v>
      </c>
      <c r="B102" s="93" t="s">
        <v>47</v>
      </c>
      <c r="C102" s="93" t="s">
        <v>394</v>
      </c>
      <c r="D102" s="93" t="s">
        <v>458</v>
      </c>
      <c r="E102" s="94" t="s">
        <v>459</v>
      </c>
      <c r="F102" s="93" t="s">
        <v>441</v>
      </c>
      <c r="G102" s="93" t="s">
        <v>316</v>
      </c>
      <c r="H102" s="93" t="s">
        <v>13</v>
      </c>
      <c r="I102" s="93" t="s">
        <v>255</v>
      </c>
      <c r="J102" s="93" t="s">
        <v>47</v>
      </c>
      <c r="K102" s="93"/>
      <c r="L102" s="95">
        <v>92.5</v>
      </c>
      <c r="M102" s="95">
        <f>L102*VLOOKUP(H102,dagsoorttabel1,2,FALSE)</f>
        <v>72.549019607843135</v>
      </c>
      <c r="N102" s="96">
        <f>prodnorm93</f>
        <v>0</v>
      </c>
      <c r="O102" s="37">
        <f>dagwerk93</f>
        <v>0</v>
      </c>
      <c r="P102" s="93" t="s">
        <v>105</v>
      </c>
      <c r="Q102" s="24">
        <f>uurtarief93</f>
        <v>0</v>
      </c>
      <c r="R102" s="95" t="e">
        <f>IF(ISBLANK(N102),0,M102/ROUND(N102,4))</f>
        <v>#DIV/0!</v>
      </c>
      <c r="S102" s="95" t="e">
        <f>IF(ISBLANK(N102),0,R102*ROUND(O102,2))</f>
        <v>#DIV/0!</v>
      </c>
      <c r="T102" s="24" t="e">
        <f>ROUND(Q102,2)*R102</f>
        <v>#DIV/0!</v>
      </c>
      <c r="U102" s="95" t="e">
        <f>R102*dagenperjaar1</f>
        <v>#DIV/0!</v>
      </c>
      <c r="V102" s="25" t="e">
        <f>U102*ROUND(Q102,2)</f>
        <v>#DIV/0!</v>
      </c>
    </row>
    <row r="103" spans="1:22" x14ac:dyDescent="0.2">
      <c r="A103" s="92" t="s">
        <v>438</v>
      </c>
      <c r="B103" s="93" t="s">
        <v>47</v>
      </c>
      <c r="C103" s="93" t="s">
        <v>394</v>
      </c>
      <c r="D103" s="93" t="s">
        <v>460</v>
      </c>
      <c r="E103" s="94" t="s">
        <v>459</v>
      </c>
      <c r="F103" s="93" t="s">
        <v>441</v>
      </c>
      <c r="G103" s="93" t="s">
        <v>314</v>
      </c>
      <c r="H103" s="93" t="s">
        <v>13</v>
      </c>
      <c r="I103" s="93" t="s">
        <v>255</v>
      </c>
      <c r="J103" s="93" t="s">
        <v>47</v>
      </c>
      <c r="K103" s="93"/>
      <c r="L103" s="95">
        <v>45</v>
      </c>
      <c r="M103" s="95">
        <f>L103*VLOOKUP(H103,dagsoorttabel1,2,FALSE)</f>
        <v>35.294117647058826</v>
      </c>
      <c r="N103" s="96">
        <f>prodnorm88</f>
        <v>0</v>
      </c>
      <c r="O103" s="37">
        <f>dagwerk88</f>
        <v>0</v>
      </c>
      <c r="P103" s="93" t="s">
        <v>105</v>
      </c>
      <c r="Q103" s="24">
        <f>uurtarief88</f>
        <v>0</v>
      </c>
      <c r="R103" s="95" t="e">
        <f>IF(ISBLANK(N103),0,M103/ROUND(N103,4))</f>
        <v>#DIV/0!</v>
      </c>
      <c r="S103" s="95" t="e">
        <f>IF(ISBLANK(N103),0,R103*ROUND(O103,2))</f>
        <v>#DIV/0!</v>
      </c>
      <c r="T103" s="24" t="e">
        <f>ROUND(Q103,2)*R103</f>
        <v>#DIV/0!</v>
      </c>
      <c r="U103" s="95" t="e">
        <f>R103*dagenperjaar1</f>
        <v>#DIV/0!</v>
      </c>
      <c r="V103" s="25" t="e">
        <f>U103*ROUND(Q103,2)</f>
        <v>#DIV/0!</v>
      </c>
    </row>
    <row r="104" spans="1:22" x14ac:dyDescent="0.2">
      <c r="A104" s="92" t="s">
        <v>438</v>
      </c>
      <c r="B104" s="93" t="s">
        <v>47</v>
      </c>
      <c r="C104" s="93" t="s">
        <v>394</v>
      </c>
      <c r="D104" s="93" t="s">
        <v>460</v>
      </c>
      <c r="E104" s="94" t="s">
        <v>459</v>
      </c>
      <c r="F104" s="93" t="s">
        <v>441</v>
      </c>
      <c r="G104" s="93" t="s">
        <v>316</v>
      </c>
      <c r="H104" s="93" t="s">
        <v>13</v>
      </c>
      <c r="I104" s="93" t="s">
        <v>255</v>
      </c>
      <c r="J104" s="93" t="s">
        <v>47</v>
      </c>
      <c r="K104" s="93"/>
      <c r="L104" s="95">
        <v>45</v>
      </c>
      <c r="M104" s="95">
        <f>L104*VLOOKUP(H104,dagsoorttabel1,2,FALSE)</f>
        <v>35.294117647058826</v>
      </c>
      <c r="N104" s="96">
        <f>prodnorm93</f>
        <v>0</v>
      </c>
      <c r="O104" s="37">
        <f>dagwerk93</f>
        <v>0</v>
      </c>
      <c r="P104" s="93" t="s">
        <v>105</v>
      </c>
      <c r="Q104" s="24">
        <f>uurtarief93</f>
        <v>0</v>
      </c>
      <c r="R104" s="95" t="e">
        <f>IF(ISBLANK(N104),0,M104/ROUND(N104,4))</f>
        <v>#DIV/0!</v>
      </c>
      <c r="S104" s="95" t="e">
        <f>IF(ISBLANK(N104),0,R104*ROUND(O104,2))</f>
        <v>#DIV/0!</v>
      </c>
      <c r="T104" s="24" t="e">
        <f>ROUND(Q104,2)*R104</f>
        <v>#DIV/0!</v>
      </c>
      <c r="U104" s="95" t="e">
        <f>R104*dagenperjaar1</f>
        <v>#DIV/0!</v>
      </c>
      <c r="V104" s="25" t="e">
        <f>U104*ROUND(Q104,2)</f>
        <v>#DIV/0!</v>
      </c>
    </row>
    <row r="105" spans="1:22" x14ac:dyDescent="0.2">
      <c r="A105" s="92" t="s">
        <v>438</v>
      </c>
      <c r="B105" s="93" t="s">
        <v>47</v>
      </c>
      <c r="C105" s="93" t="s">
        <v>394</v>
      </c>
      <c r="D105" s="93" t="s">
        <v>461</v>
      </c>
      <c r="E105" s="94" t="s">
        <v>459</v>
      </c>
      <c r="F105" s="93" t="s">
        <v>441</v>
      </c>
      <c r="G105" s="93" t="s">
        <v>314</v>
      </c>
      <c r="H105" s="93" t="s">
        <v>13</v>
      </c>
      <c r="I105" s="93" t="s">
        <v>255</v>
      </c>
      <c r="J105" s="93" t="s">
        <v>47</v>
      </c>
      <c r="K105" s="93"/>
      <c r="L105" s="95">
        <v>25</v>
      </c>
      <c r="M105" s="95">
        <f>L105*VLOOKUP(H105,dagsoorttabel1,2,FALSE)</f>
        <v>19.607843137254903</v>
      </c>
      <c r="N105" s="96">
        <f>prodnorm88</f>
        <v>0</v>
      </c>
      <c r="O105" s="37">
        <f>dagwerk88</f>
        <v>0</v>
      </c>
      <c r="P105" s="93" t="s">
        <v>105</v>
      </c>
      <c r="Q105" s="24">
        <f>uurtarief88</f>
        <v>0</v>
      </c>
      <c r="R105" s="95" t="e">
        <f>IF(ISBLANK(N105),0,M105/ROUND(N105,4))</f>
        <v>#DIV/0!</v>
      </c>
      <c r="S105" s="95" t="e">
        <f>IF(ISBLANK(N105),0,R105*ROUND(O105,2))</f>
        <v>#DIV/0!</v>
      </c>
      <c r="T105" s="24" t="e">
        <f>ROUND(Q105,2)*R105</f>
        <v>#DIV/0!</v>
      </c>
      <c r="U105" s="95" t="e">
        <f>R105*dagenperjaar1</f>
        <v>#DIV/0!</v>
      </c>
      <c r="V105" s="25" t="e">
        <f>U105*ROUND(Q105,2)</f>
        <v>#DIV/0!</v>
      </c>
    </row>
    <row r="106" spans="1:22" x14ac:dyDescent="0.2">
      <c r="A106" s="92" t="s">
        <v>438</v>
      </c>
      <c r="B106" s="93" t="s">
        <v>47</v>
      </c>
      <c r="C106" s="93" t="s">
        <v>394</v>
      </c>
      <c r="D106" s="93" t="s">
        <v>461</v>
      </c>
      <c r="E106" s="94" t="s">
        <v>459</v>
      </c>
      <c r="F106" s="93" t="s">
        <v>441</v>
      </c>
      <c r="G106" s="93" t="s">
        <v>316</v>
      </c>
      <c r="H106" s="93" t="s">
        <v>13</v>
      </c>
      <c r="I106" s="93" t="s">
        <v>255</v>
      </c>
      <c r="J106" s="93" t="s">
        <v>47</v>
      </c>
      <c r="K106" s="93"/>
      <c r="L106" s="95">
        <v>25</v>
      </c>
      <c r="M106" s="95">
        <f>L106*VLOOKUP(H106,dagsoorttabel1,2,FALSE)</f>
        <v>19.607843137254903</v>
      </c>
      <c r="N106" s="96">
        <f>prodnorm93</f>
        <v>0</v>
      </c>
      <c r="O106" s="37">
        <f>dagwerk93</f>
        <v>0</v>
      </c>
      <c r="P106" s="93" t="s">
        <v>105</v>
      </c>
      <c r="Q106" s="24">
        <f>uurtarief93</f>
        <v>0</v>
      </c>
      <c r="R106" s="95" t="e">
        <f>IF(ISBLANK(N106),0,M106/ROUND(N106,4))</f>
        <v>#DIV/0!</v>
      </c>
      <c r="S106" s="95" t="e">
        <f>IF(ISBLANK(N106),0,R106*ROUND(O106,2))</f>
        <v>#DIV/0!</v>
      </c>
      <c r="T106" s="24" t="e">
        <f>ROUND(Q106,2)*R106</f>
        <v>#DIV/0!</v>
      </c>
      <c r="U106" s="95" t="e">
        <f>R106*dagenperjaar1</f>
        <v>#DIV/0!</v>
      </c>
      <c r="V106" s="25" t="e">
        <f>U106*ROUND(Q106,2)</f>
        <v>#DIV/0!</v>
      </c>
    </row>
    <row r="107" spans="1:22" x14ac:dyDescent="0.2">
      <c r="A107" s="92" t="s">
        <v>438</v>
      </c>
      <c r="B107" s="93" t="s">
        <v>47</v>
      </c>
      <c r="C107" s="93" t="s">
        <v>394</v>
      </c>
      <c r="D107" s="93" t="s">
        <v>462</v>
      </c>
      <c r="E107" s="94" t="s">
        <v>463</v>
      </c>
      <c r="F107" s="93" t="s">
        <v>441</v>
      </c>
      <c r="G107" s="93" t="s">
        <v>314</v>
      </c>
      <c r="H107" s="93" t="s">
        <v>22</v>
      </c>
      <c r="I107" s="93" t="s">
        <v>255</v>
      </c>
      <c r="J107" s="93" t="s">
        <v>47</v>
      </c>
      <c r="K107" s="93"/>
      <c r="L107" s="95">
        <v>22</v>
      </c>
      <c r="M107" s="95">
        <f>L107*VLOOKUP(H107,dagsoorttabel1,2,FALSE)</f>
        <v>3.4509803921568629</v>
      </c>
      <c r="N107" s="96">
        <f>prodnorm90</f>
        <v>0</v>
      </c>
      <c r="O107" s="37">
        <f>dagwerk90</f>
        <v>0</v>
      </c>
      <c r="P107" s="93" t="s">
        <v>105</v>
      </c>
      <c r="Q107" s="24">
        <f>uurtarief90</f>
        <v>0</v>
      </c>
      <c r="R107" s="95" t="e">
        <f>IF(ISBLANK(N107),0,M107/ROUND(N107,4))</f>
        <v>#DIV/0!</v>
      </c>
      <c r="S107" s="95" t="e">
        <f>IF(ISBLANK(N107),0,R107*ROUND(O107,2))</f>
        <v>#DIV/0!</v>
      </c>
      <c r="T107" s="24" t="e">
        <f>ROUND(Q107,2)*R107</f>
        <v>#DIV/0!</v>
      </c>
      <c r="U107" s="95" t="e">
        <f>R107*dagenperjaar1</f>
        <v>#DIV/0!</v>
      </c>
      <c r="V107" s="25" t="e">
        <f>U107*ROUND(Q107,2)</f>
        <v>#DIV/0!</v>
      </c>
    </row>
    <row r="108" spans="1:22" x14ac:dyDescent="0.2">
      <c r="A108" s="92" t="s">
        <v>438</v>
      </c>
      <c r="B108" s="93" t="s">
        <v>47</v>
      </c>
      <c r="C108" s="93" t="s">
        <v>394</v>
      </c>
      <c r="D108" s="93" t="s">
        <v>464</v>
      </c>
      <c r="E108" s="94" t="s">
        <v>465</v>
      </c>
      <c r="F108" s="93" t="s">
        <v>441</v>
      </c>
      <c r="G108" s="93" t="s">
        <v>314</v>
      </c>
      <c r="H108" s="93" t="s">
        <v>13</v>
      </c>
      <c r="I108" s="93" t="s">
        <v>255</v>
      </c>
      <c r="J108" s="93" t="s">
        <v>47</v>
      </c>
      <c r="K108" s="93"/>
      <c r="L108" s="95">
        <v>82.5</v>
      </c>
      <c r="M108" s="95">
        <f>L108*VLOOKUP(H108,dagsoorttabel1,2,FALSE)</f>
        <v>64.705882352941174</v>
      </c>
      <c r="N108" s="96">
        <f>prodnorm88</f>
        <v>0</v>
      </c>
      <c r="O108" s="37">
        <f>dagwerk88</f>
        <v>0</v>
      </c>
      <c r="P108" s="93" t="s">
        <v>105</v>
      </c>
      <c r="Q108" s="24">
        <f>uurtarief88</f>
        <v>0</v>
      </c>
      <c r="R108" s="95" t="e">
        <f>IF(ISBLANK(N108),0,M108/ROUND(N108,4))</f>
        <v>#DIV/0!</v>
      </c>
      <c r="S108" s="95" t="e">
        <f>IF(ISBLANK(N108),0,R108*ROUND(O108,2))</f>
        <v>#DIV/0!</v>
      </c>
      <c r="T108" s="24" t="e">
        <f>ROUND(Q108,2)*R108</f>
        <v>#DIV/0!</v>
      </c>
      <c r="U108" s="95" t="e">
        <f>R108*dagenperjaar1</f>
        <v>#DIV/0!</v>
      </c>
      <c r="V108" s="25" t="e">
        <f>U108*ROUND(Q108,2)</f>
        <v>#DIV/0!</v>
      </c>
    </row>
    <row r="109" spans="1:22" x14ac:dyDescent="0.2">
      <c r="A109" s="92" t="s">
        <v>438</v>
      </c>
      <c r="B109" s="93" t="s">
        <v>47</v>
      </c>
      <c r="C109" s="93" t="s">
        <v>394</v>
      </c>
      <c r="D109" s="93" t="s">
        <v>464</v>
      </c>
      <c r="E109" s="94" t="s">
        <v>465</v>
      </c>
      <c r="F109" s="93" t="s">
        <v>441</v>
      </c>
      <c r="G109" s="93" t="s">
        <v>316</v>
      </c>
      <c r="H109" s="93" t="s">
        <v>13</v>
      </c>
      <c r="I109" s="93" t="s">
        <v>255</v>
      </c>
      <c r="J109" s="93" t="s">
        <v>47</v>
      </c>
      <c r="K109" s="93"/>
      <c r="L109" s="95">
        <v>82.5</v>
      </c>
      <c r="M109" s="95">
        <f>L109*VLOOKUP(H109,dagsoorttabel1,2,FALSE)</f>
        <v>64.705882352941174</v>
      </c>
      <c r="N109" s="96">
        <f>prodnorm93</f>
        <v>0</v>
      </c>
      <c r="O109" s="37">
        <f>dagwerk93</f>
        <v>0</v>
      </c>
      <c r="P109" s="93" t="s">
        <v>105</v>
      </c>
      <c r="Q109" s="24">
        <f>uurtarief93</f>
        <v>0</v>
      </c>
      <c r="R109" s="95" t="e">
        <f>IF(ISBLANK(N109),0,M109/ROUND(N109,4))</f>
        <v>#DIV/0!</v>
      </c>
      <c r="S109" s="95" t="e">
        <f>IF(ISBLANK(N109),0,R109*ROUND(O109,2))</f>
        <v>#DIV/0!</v>
      </c>
      <c r="T109" s="24" t="e">
        <f>ROUND(Q109,2)*R109</f>
        <v>#DIV/0!</v>
      </c>
      <c r="U109" s="95" t="e">
        <f>R109*dagenperjaar1</f>
        <v>#DIV/0!</v>
      </c>
      <c r="V109" s="25" t="e">
        <f>U109*ROUND(Q109,2)</f>
        <v>#DIV/0!</v>
      </c>
    </row>
    <row r="110" spans="1:22" x14ac:dyDescent="0.2">
      <c r="A110" s="92" t="s">
        <v>438</v>
      </c>
      <c r="B110" s="93" t="s">
        <v>47</v>
      </c>
      <c r="C110" s="93" t="s">
        <v>394</v>
      </c>
      <c r="D110" s="93" t="s">
        <v>466</v>
      </c>
      <c r="E110" s="94" t="s">
        <v>467</v>
      </c>
      <c r="F110" s="93" t="s">
        <v>441</v>
      </c>
      <c r="G110" s="93" t="s">
        <v>254</v>
      </c>
      <c r="H110" s="93" t="s">
        <v>22</v>
      </c>
      <c r="I110" s="93" t="s">
        <v>255</v>
      </c>
      <c r="J110" s="93" t="s">
        <v>47</v>
      </c>
      <c r="K110" s="93"/>
      <c r="L110" s="95">
        <v>22</v>
      </c>
      <c r="M110" s="95">
        <f>L110*VLOOKUP(H110,dagsoorttabel1,2,FALSE)</f>
        <v>3.4509803921568629</v>
      </c>
      <c r="N110" s="96">
        <f>prodnorm28</f>
        <v>0</v>
      </c>
      <c r="O110" s="37">
        <f>dagwerk28</f>
        <v>0</v>
      </c>
      <c r="P110" s="93" t="s">
        <v>105</v>
      </c>
      <c r="Q110" s="24">
        <f>uurtarief28</f>
        <v>0</v>
      </c>
      <c r="R110" s="95" t="e">
        <f>IF(ISBLANK(N110),0,M110/ROUND(N110,4))</f>
        <v>#DIV/0!</v>
      </c>
      <c r="S110" s="95" t="e">
        <f>IF(ISBLANK(N110),0,R110*ROUND(O110,2))</f>
        <v>#DIV/0!</v>
      </c>
      <c r="T110" s="24" t="e">
        <f>ROUND(Q110,2)*R110</f>
        <v>#DIV/0!</v>
      </c>
      <c r="U110" s="95" t="e">
        <f>R110*dagenperjaar1</f>
        <v>#DIV/0!</v>
      </c>
      <c r="V110" s="25" t="e">
        <f>U110*ROUND(Q110,2)</f>
        <v>#DIV/0!</v>
      </c>
    </row>
    <row r="111" spans="1:22" x14ac:dyDescent="0.2">
      <c r="A111" s="97" t="s">
        <v>438</v>
      </c>
      <c r="B111" s="98" t="s">
        <v>47</v>
      </c>
      <c r="C111" s="98" t="s">
        <v>394</v>
      </c>
      <c r="D111" s="98" t="s">
        <v>468</v>
      </c>
      <c r="E111" s="99" t="s">
        <v>469</v>
      </c>
      <c r="F111" s="98" t="s">
        <v>441</v>
      </c>
      <c r="G111" s="98" t="s">
        <v>259</v>
      </c>
      <c r="H111" s="98" t="s">
        <v>13</v>
      </c>
      <c r="I111" s="98" t="s">
        <v>255</v>
      </c>
      <c r="J111" s="98" t="s">
        <v>47</v>
      </c>
      <c r="K111" s="98"/>
      <c r="L111" s="100">
        <v>24</v>
      </c>
      <c r="M111" s="100">
        <f>L111*VLOOKUP(H111,dagsoorttabel1,2,FALSE)</f>
        <v>18.823529411764707</v>
      </c>
      <c r="N111" s="101">
        <f>prodnorm31</f>
        <v>0</v>
      </c>
      <c r="O111" s="102">
        <f>dagwerk31</f>
        <v>0</v>
      </c>
      <c r="P111" s="98" t="s">
        <v>105</v>
      </c>
      <c r="Q111" s="34">
        <f>uurtarief31</f>
        <v>0</v>
      </c>
      <c r="R111" s="100" t="e">
        <f>IF(ISBLANK(N111),0,M111/ROUND(N111,4))</f>
        <v>#DIV/0!</v>
      </c>
      <c r="S111" s="100" t="e">
        <f>IF(ISBLANK(N111),0,R111*ROUND(O111,2))</f>
        <v>#DIV/0!</v>
      </c>
      <c r="T111" s="34" t="e">
        <f>ROUND(Q111,2)*R111</f>
        <v>#DIV/0!</v>
      </c>
      <c r="U111" s="100" t="e">
        <f>R111*dagenperjaar1</f>
        <v>#DIV/0!</v>
      </c>
      <c r="V111" s="35" t="e">
        <f>U111*ROUND(Q111,2)</f>
        <v>#DIV/0!</v>
      </c>
    </row>
    <row r="112" spans="1:22" x14ac:dyDescent="0.2">
      <c r="A112" s="103" t="s">
        <v>436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5" t="e">
        <f>IF(_xlfn.SINGLE(object2_urenjaar1)&gt;0,_xlfn.SINGLE(object2_prijsjaar1)/_xlfn.SINGLE(object2_urenjaar1),0)</f>
        <v>#DIV/0!</v>
      </c>
      <c r="R112" s="74" t="e">
        <f>SUM(R42:R111)</f>
        <v>#DIV/0!</v>
      </c>
      <c r="S112" s="74" t="e">
        <f>SUM(S42:S111)</f>
        <v>#DIV/0!</v>
      </c>
      <c r="T112" s="75" t="e">
        <f>SUM(T42:T111)</f>
        <v>#DIV/0!</v>
      </c>
      <c r="U112" s="74" t="e">
        <f>SUM(U42:U111)</f>
        <v>#DIV/0!</v>
      </c>
      <c r="V112" s="76" t="e">
        <f>SUM(V42:V111)</f>
        <v>#DIV/0!</v>
      </c>
    </row>
    <row r="113" spans="1:22" x14ac:dyDescent="0.2">
      <c r="A113" s="83" t="s">
        <v>470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71"/>
    </row>
    <row r="114" spans="1:22" x14ac:dyDescent="0.2">
      <c r="A114" s="84" t="s">
        <v>471</v>
      </c>
      <c r="B114" s="85" t="s">
        <v>47</v>
      </c>
      <c r="C114" s="85" t="s">
        <v>394</v>
      </c>
      <c r="D114" s="85" t="s">
        <v>395</v>
      </c>
      <c r="E114" s="86" t="s">
        <v>430</v>
      </c>
      <c r="F114" s="85" t="s">
        <v>439</v>
      </c>
      <c r="G114" s="85" t="s">
        <v>280</v>
      </c>
      <c r="H114" s="85" t="s">
        <v>13</v>
      </c>
      <c r="I114" s="85" t="s">
        <v>255</v>
      </c>
      <c r="J114" s="85" t="s">
        <v>47</v>
      </c>
      <c r="K114" s="85"/>
      <c r="L114" s="87">
        <v>252</v>
      </c>
      <c r="M114" s="87">
        <f>L114*VLOOKUP(H114,dagsoorttabel1,2,FALSE)</f>
        <v>197.64705882352942</v>
      </c>
      <c r="N114" s="88">
        <f>prodnorm52</f>
        <v>0</v>
      </c>
      <c r="O114" s="89">
        <f>dagwerk52</f>
        <v>0</v>
      </c>
      <c r="P114" s="85" t="s">
        <v>105</v>
      </c>
      <c r="Q114" s="90">
        <f>uurtarief52</f>
        <v>0</v>
      </c>
      <c r="R114" s="87" t="e">
        <f>IF(ISBLANK(N114),0,M114/ROUND(N114,4))</f>
        <v>#DIV/0!</v>
      </c>
      <c r="S114" s="87" t="e">
        <f>IF(ISBLANK(N114),0,R114*ROUND(O114,2))</f>
        <v>#DIV/0!</v>
      </c>
      <c r="T114" s="90" t="e">
        <f>ROUND(Q114,2)*R114</f>
        <v>#DIV/0!</v>
      </c>
      <c r="U114" s="87" t="e">
        <f>R114*dagenperjaar1</f>
        <v>#DIV/0!</v>
      </c>
      <c r="V114" s="91" t="e">
        <f>U114*ROUND(Q114,2)</f>
        <v>#DIV/0!</v>
      </c>
    </row>
    <row r="115" spans="1:22" x14ac:dyDescent="0.2">
      <c r="A115" s="92" t="s">
        <v>471</v>
      </c>
      <c r="B115" s="93" t="s">
        <v>47</v>
      </c>
      <c r="C115" s="93" t="s">
        <v>394</v>
      </c>
      <c r="D115" s="93" t="s">
        <v>398</v>
      </c>
      <c r="E115" s="94" t="s">
        <v>440</v>
      </c>
      <c r="F115" s="93" t="s">
        <v>439</v>
      </c>
      <c r="G115" s="93" t="s">
        <v>280</v>
      </c>
      <c r="H115" s="93" t="s">
        <v>13</v>
      </c>
      <c r="I115" s="93" t="s">
        <v>255</v>
      </c>
      <c r="J115" s="93" t="s">
        <v>47</v>
      </c>
      <c r="K115" s="93"/>
      <c r="L115" s="95">
        <v>41</v>
      </c>
      <c r="M115" s="95">
        <f>L115*VLOOKUP(H115,dagsoorttabel1,2,FALSE)</f>
        <v>32.156862745098039</v>
      </c>
      <c r="N115" s="96">
        <f>prodnorm52</f>
        <v>0</v>
      </c>
      <c r="O115" s="37">
        <f>dagwerk52</f>
        <v>0</v>
      </c>
      <c r="P115" s="93" t="s">
        <v>105</v>
      </c>
      <c r="Q115" s="24">
        <f>uurtarief52</f>
        <v>0</v>
      </c>
      <c r="R115" s="95" t="e">
        <f>IF(ISBLANK(N115),0,M115/ROUND(N115,4))</f>
        <v>#DIV/0!</v>
      </c>
      <c r="S115" s="95" t="e">
        <f>IF(ISBLANK(N115),0,R115*ROUND(O115,2))</f>
        <v>#DIV/0!</v>
      </c>
      <c r="T115" s="24" t="e">
        <f>ROUND(Q115,2)*R115</f>
        <v>#DIV/0!</v>
      </c>
      <c r="U115" s="95" t="e">
        <f>R115*dagenperjaar1</f>
        <v>#DIV/0!</v>
      </c>
      <c r="V115" s="25" t="e">
        <f>U115*ROUND(Q115,2)</f>
        <v>#DIV/0!</v>
      </c>
    </row>
    <row r="116" spans="1:22" x14ac:dyDescent="0.2">
      <c r="A116" s="92" t="s">
        <v>471</v>
      </c>
      <c r="B116" s="93" t="s">
        <v>47</v>
      </c>
      <c r="C116" s="93" t="s">
        <v>394</v>
      </c>
      <c r="D116" s="93" t="s">
        <v>400</v>
      </c>
      <c r="E116" s="94" t="s">
        <v>443</v>
      </c>
      <c r="F116" s="93" t="s">
        <v>442</v>
      </c>
      <c r="G116" s="93" t="s">
        <v>304</v>
      </c>
      <c r="H116" s="93" t="s">
        <v>13</v>
      </c>
      <c r="I116" s="93" t="s">
        <v>255</v>
      </c>
      <c r="J116" s="93" t="s">
        <v>47</v>
      </c>
      <c r="K116" s="93"/>
      <c r="L116" s="95">
        <v>3</v>
      </c>
      <c r="M116" s="95">
        <f>L116*VLOOKUP(H116,dagsoorttabel1,2,FALSE)</f>
        <v>2.3529411764705883</v>
      </c>
      <c r="N116" s="96">
        <f>prodnorm74</f>
        <v>0</v>
      </c>
      <c r="O116" s="37">
        <f>dagwerk74</f>
        <v>0</v>
      </c>
      <c r="P116" s="93" t="s">
        <v>105</v>
      </c>
      <c r="Q116" s="24">
        <f>uurtarief74</f>
        <v>0</v>
      </c>
      <c r="R116" s="95" t="e">
        <f>IF(ISBLANK(N116),0,M116/ROUND(N116,4))</f>
        <v>#DIV/0!</v>
      </c>
      <c r="S116" s="95" t="e">
        <f>IF(ISBLANK(N116),0,R116*ROUND(O116,2))</f>
        <v>#DIV/0!</v>
      </c>
      <c r="T116" s="24" t="e">
        <f>ROUND(Q116,2)*R116</f>
        <v>#DIV/0!</v>
      </c>
      <c r="U116" s="95" t="e">
        <f>R116*dagenperjaar1</f>
        <v>#DIV/0!</v>
      </c>
      <c r="V116" s="25" t="e">
        <f>U116*ROUND(Q116,2)</f>
        <v>#DIV/0!</v>
      </c>
    </row>
    <row r="117" spans="1:22" x14ac:dyDescent="0.2">
      <c r="A117" s="92" t="s">
        <v>471</v>
      </c>
      <c r="B117" s="93" t="s">
        <v>47</v>
      </c>
      <c r="C117" s="93" t="s">
        <v>394</v>
      </c>
      <c r="D117" s="93" t="s">
        <v>402</v>
      </c>
      <c r="E117" s="94" t="s">
        <v>443</v>
      </c>
      <c r="F117" s="93" t="s">
        <v>442</v>
      </c>
      <c r="G117" s="93" t="s">
        <v>304</v>
      </c>
      <c r="H117" s="93" t="s">
        <v>13</v>
      </c>
      <c r="I117" s="93" t="s">
        <v>255</v>
      </c>
      <c r="J117" s="93" t="s">
        <v>47</v>
      </c>
      <c r="K117" s="93"/>
      <c r="L117" s="95">
        <v>3</v>
      </c>
      <c r="M117" s="95">
        <f>L117*VLOOKUP(H117,dagsoorttabel1,2,FALSE)</f>
        <v>2.3529411764705883</v>
      </c>
      <c r="N117" s="96">
        <f>prodnorm74</f>
        <v>0</v>
      </c>
      <c r="O117" s="37">
        <f>dagwerk74</f>
        <v>0</v>
      </c>
      <c r="P117" s="93" t="s">
        <v>105</v>
      </c>
      <c r="Q117" s="24">
        <f>uurtarief74</f>
        <v>0</v>
      </c>
      <c r="R117" s="95" t="e">
        <f>IF(ISBLANK(N117),0,M117/ROUND(N117,4))</f>
        <v>#DIV/0!</v>
      </c>
      <c r="S117" s="95" t="e">
        <f>IF(ISBLANK(N117),0,R117*ROUND(O117,2))</f>
        <v>#DIV/0!</v>
      </c>
      <c r="T117" s="24" t="e">
        <f>ROUND(Q117,2)*R117</f>
        <v>#DIV/0!</v>
      </c>
      <c r="U117" s="95" t="e">
        <f>R117*dagenperjaar1</f>
        <v>#DIV/0!</v>
      </c>
      <c r="V117" s="25" t="e">
        <f>U117*ROUND(Q117,2)</f>
        <v>#DIV/0!</v>
      </c>
    </row>
    <row r="118" spans="1:22" x14ac:dyDescent="0.2">
      <c r="A118" s="92" t="s">
        <v>471</v>
      </c>
      <c r="B118" s="93" t="s">
        <v>47</v>
      </c>
      <c r="C118" s="93" t="s">
        <v>394</v>
      </c>
      <c r="D118" s="93" t="s">
        <v>411</v>
      </c>
      <c r="E118" s="94" t="s">
        <v>447</v>
      </c>
      <c r="F118" s="93" t="s">
        <v>472</v>
      </c>
      <c r="G118" s="93" t="s">
        <v>284</v>
      </c>
      <c r="H118" s="93" t="s">
        <v>13</v>
      </c>
      <c r="I118" s="93" t="s">
        <v>255</v>
      </c>
      <c r="J118" s="93" t="s">
        <v>47</v>
      </c>
      <c r="K118" s="93"/>
      <c r="L118" s="95">
        <v>33.5</v>
      </c>
      <c r="M118" s="95">
        <f>L118*VLOOKUP(H118,dagsoorttabel1,2,FALSE)</f>
        <v>26.274509803921568</v>
      </c>
      <c r="N118" s="96">
        <f>prodnorm58</f>
        <v>0</v>
      </c>
      <c r="O118" s="37">
        <f>dagwerk58</f>
        <v>0</v>
      </c>
      <c r="P118" s="93" t="s">
        <v>105</v>
      </c>
      <c r="Q118" s="24">
        <f>uurtarief58</f>
        <v>0</v>
      </c>
      <c r="R118" s="95" t="e">
        <f>IF(ISBLANK(N118),0,M118/ROUND(N118,4))</f>
        <v>#DIV/0!</v>
      </c>
      <c r="S118" s="95" t="e">
        <f>IF(ISBLANK(N118),0,R118*ROUND(O118,2))</f>
        <v>#DIV/0!</v>
      </c>
      <c r="T118" s="24" t="e">
        <f>ROUND(Q118,2)*R118</f>
        <v>#DIV/0!</v>
      </c>
      <c r="U118" s="95" t="e">
        <f>R118*dagenperjaar1</f>
        <v>#DIV/0!</v>
      </c>
      <c r="V118" s="25" t="e">
        <f>U118*ROUND(Q118,2)</f>
        <v>#DIV/0!</v>
      </c>
    </row>
    <row r="119" spans="1:22" x14ac:dyDescent="0.2">
      <c r="A119" s="92" t="s">
        <v>471</v>
      </c>
      <c r="B119" s="93" t="s">
        <v>47</v>
      </c>
      <c r="C119" s="93" t="s">
        <v>394</v>
      </c>
      <c r="D119" s="93" t="s">
        <v>413</v>
      </c>
      <c r="E119" s="94" t="s">
        <v>447</v>
      </c>
      <c r="F119" s="93" t="s">
        <v>472</v>
      </c>
      <c r="G119" s="93" t="s">
        <v>284</v>
      </c>
      <c r="H119" s="93" t="s">
        <v>13</v>
      </c>
      <c r="I119" s="93" t="s">
        <v>255</v>
      </c>
      <c r="J119" s="93" t="s">
        <v>47</v>
      </c>
      <c r="K119" s="93"/>
      <c r="L119" s="95">
        <v>32.5</v>
      </c>
      <c r="M119" s="95">
        <f>L119*VLOOKUP(H119,dagsoorttabel1,2,FALSE)</f>
        <v>25.490196078431371</v>
      </c>
      <c r="N119" s="96">
        <f>prodnorm58</f>
        <v>0</v>
      </c>
      <c r="O119" s="37">
        <f>dagwerk58</f>
        <v>0</v>
      </c>
      <c r="P119" s="93" t="s">
        <v>105</v>
      </c>
      <c r="Q119" s="24">
        <f>uurtarief58</f>
        <v>0</v>
      </c>
      <c r="R119" s="95" t="e">
        <f>IF(ISBLANK(N119),0,M119/ROUND(N119,4))</f>
        <v>#DIV/0!</v>
      </c>
      <c r="S119" s="95" t="e">
        <f>IF(ISBLANK(N119),0,R119*ROUND(O119,2))</f>
        <v>#DIV/0!</v>
      </c>
      <c r="T119" s="24" t="e">
        <f>ROUND(Q119,2)*R119</f>
        <v>#DIV/0!</v>
      </c>
      <c r="U119" s="95" t="e">
        <f>R119*dagenperjaar1</f>
        <v>#DIV/0!</v>
      </c>
      <c r="V119" s="25" t="e">
        <f>U119*ROUND(Q119,2)</f>
        <v>#DIV/0!</v>
      </c>
    </row>
    <row r="120" spans="1:22" x14ac:dyDescent="0.2">
      <c r="A120" s="92" t="s">
        <v>471</v>
      </c>
      <c r="B120" s="93" t="s">
        <v>47</v>
      </c>
      <c r="C120" s="93" t="s">
        <v>394</v>
      </c>
      <c r="D120" s="93" t="s">
        <v>416</v>
      </c>
      <c r="E120" s="94" t="s">
        <v>473</v>
      </c>
      <c r="F120" s="93" t="s">
        <v>472</v>
      </c>
      <c r="G120" s="93" t="s">
        <v>284</v>
      </c>
      <c r="H120" s="93" t="s">
        <v>13</v>
      </c>
      <c r="I120" s="93" t="s">
        <v>255</v>
      </c>
      <c r="J120" s="93" t="s">
        <v>47</v>
      </c>
      <c r="K120" s="93"/>
      <c r="L120" s="95">
        <v>3.3</v>
      </c>
      <c r="M120" s="95">
        <f>L120*VLOOKUP(H120,dagsoorttabel1,2,FALSE)</f>
        <v>2.5882352941176467</v>
      </c>
      <c r="N120" s="96">
        <f>prodnorm58</f>
        <v>0</v>
      </c>
      <c r="O120" s="37">
        <f>dagwerk58</f>
        <v>0</v>
      </c>
      <c r="P120" s="93" t="s">
        <v>105</v>
      </c>
      <c r="Q120" s="24">
        <f>uurtarief58</f>
        <v>0</v>
      </c>
      <c r="R120" s="95" t="e">
        <f>IF(ISBLANK(N120),0,M120/ROUND(N120,4))</f>
        <v>#DIV/0!</v>
      </c>
      <c r="S120" s="95" t="e">
        <f>IF(ISBLANK(N120),0,R120*ROUND(O120,2))</f>
        <v>#DIV/0!</v>
      </c>
      <c r="T120" s="24" t="e">
        <f>ROUND(Q120,2)*R120</f>
        <v>#DIV/0!</v>
      </c>
      <c r="U120" s="95" t="e">
        <f>R120*dagenperjaar1</f>
        <v>#DIV/0!</v>
      </c>
      <c r="V120" s="25" t="e">
        <f>U120*ROUND(Q120,2)</f>
        <v>#DIV/0!</v>
      </c>
    </row>
    <row r="121" spans="1:22" x14ac:dyDescent="0.2">
      <c r="A121" s="92" t="s">
        <v>471</v>
      </c>
      <c r="B121" s="93" t="s">
        <v>47</v>
      </c>
      <c r="C121" s="93" t="s">
        <v>394</v>
      </c>
      <c r="D121" s="93" t="s">
        <v>474</v>
      </c>
      <c r="E121" s="94" t="s">
        <v>396</v>
      </c>
      <c r="F121" s="93" t="s">
        <v>472</v>
      </c>
      <c r="G121" s="93" t="s">
        <v>270</v>
      </c>
      <c r="H121" s="93" t="s">
        <v>13</v>
      </c>
      <c r="I121" s="93" t="s">
        <v>255</v>
      </c>
      <c r="J121" s="93" t="s">
        <v>47</v>
      </c>
      <c r="K121" s="93"/>
      <c r="L121" s="95">
        <v>9</v>
      </c>
      <c r="M121" s="95">
        <f>L121*VLOOKUP(H121,dagsoorttabel1,2,FALSE)</f>
        <v>7.0588235294117645</v>
      </c>
      <c r="N121" s="96">
        <f>prodnorm43</f>
        <v>0</v>
      </c>
      <c r="O121" s="37">
        <f>dagwerk43</f>
        <v>0</v>
      </c>
      <c r="P121" s="93" t="s">
        <v>105</v>
      </c>
      <c r="Q121" s="24">
        <f>uurtarief43</f>
        <v>0</v>
      </c>
      <c r="R121" s="95" t="e">
        <f>IF(ISBLANK(N121),0,M121/ROUND(N121,4))</f>
        <v>#DIV/0!</v>
      </c>
      <c r="S121" s="95" t="e">
        <f>IF(ISBLANK(N121),0,R121*ROUND(O121,2))</f>
        <v>#DIV/0!</v>
      </c>
      <c r="T121" s="24" t="e">
        <f>ROUND(Q121,2)*R121</f>
        <v>#DIV/0!</v>
      </c>
      <c r="U121" s="95" t="e">
        <f>R121*dagenperjaar1</f>
        <v>#DIV/0!</v>
      </c>
      <c r="V121" s="25" t="e">
        <f>U121*ROUND(Q121,2)</f>
        <v>#DIV/0!</v>
      </c>
    </row>
    <row r="122" spans="1:22" x14ac:dyDescent="0.2">
      <c r="A122" s="97" t="s">
        <v>471</v>
      </c>
      <c r="B122" s="98" t="s">
        <v>47</v>
      </c>
      <c r="C122" s="98" t="s">
        <v>394</v>
      </c>
      <c r="D122" s="98" t="s">
        <v>475</v>
      </c>
      <c r="E122" s="99" t="s">
        <v>396</v>
      </c>
      <c r="F122" s="98" t="s">
        <v>476</v>
      </c>
      <c r="G122" s="98" t="s">
        <v>274</v>
      </c>
      <c r="H122" s="98" t="s">
        <v>13</v>
      </c>
      <c r="I122" s="98" t="s">
        <v>255</v>
      </c>
      <c r="J122" s="98" t="s">
        <v>47</v>
      </c>
      <c r="K122" s="98"/>
      <c r="L122" s="100">
        <v>9</v>
      </c>
      <c r="M122" s="100">
        <f>L122*VLOOKUP(H122,dagsoorttabel1,2,FALSE)</f>
        <v>7.0588235294117645</v>
      </c>
      <c r="N122" s="101">
        <f>prodnorm47</f>
        <v>0</v>
      </c>
      <c r="O122" s="102">
        <f>dagwerk47</f>
        <v>0</v>
      </c>
      <c r="P122" s="98" t="s">
        <v>105</v>
      </c>
      <c r="Q122" s="34">
        <f>uurtarief47</f>
        <v>0</v>
      </c>
      <c r="R122" s="100" t="e">
        <f>IF(ISBLANK(N122),0,M122/ROUND(N122,4))</f>
        <v>#DIV/0!</v>
      </c>
      <c r="S122" s="100" t="e">
        <f>IF(ISBLANK(N122),0,R122*ROUND(O122,2))</f>
        <v>#DIV/0!</v>
      </c>
      <c r="T122" s="34" t="e">
        <f>ROUND(Q122,2)*R122</f>
        <v>#DIV/0!</v>
      </c>
      <c r="U122" s="100" t="e">
        <f>R122*dagenperjaar1</f>
        <v>#DIV/0!</v>
      </c>
      <c r="V122" s="35" t="e">
        <f>U122*ROUND(Q122,2)</f>
        <v>#DIV/0!</v>
      </c>
    </row>
    <row r="123" spans="1:22" x14ac:dyDescent="0.2">
      <c r="A123" s="103" t="s">
        <v>436</v>
      </c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5" t="e">
        <f>IF(_xlfn.SINGLE(object3_urenjaar1)&gt;0,_xlfn.SINGLE(object3_prijsjaar1)/_xlfn.SINGLE(object3_urenjaar1),0)</f>
        <v>#DIV/0!</v>
      </c>
      <c r="R123" s="74" t="e">
        <f>SUM(R114:R122)</f>
        <v>#DIV/0!</v>
      </c>
      <c r="S123" s="74" t="e">
        <f>SUM(S114:S122)</f>
        <v>#DIV/0!</v>
      </c>
      <c r="T123" s="75" t="e">
        <f>SUM(T114:T122)</f>
        <v>#DIV/0!</v>
      </c>
      <c r="U123" s="74" t="e">
        <f>SUM(U114:U122)</f>
        <v>#DIV/0!</v>
      </c>
      <c r="V123" s="76" t="e">
        <f>SUM(V114:V122)</f>
        <v>#DIV/0!</v>
      </c>
    </row>
    <row r="124" spans="1:22" x14ac:dyDescent="0.2">
      <c r="A124" s="83" t="s">
        <v>477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71"/>
    </row>
    <row r="125" spans="1:22" x14ac:dyDescent="0.2">
      <c r="A125" s="84" t="s">
        <v>478</v>
      </c>
      <c r="B125" s="85" t="s">
        <v>47</v>
      </c>
      <c r="C125" s="85" t="s">
        <v>394</v>
      </c>
      <c r="D125" s="85" t="s">
        <v>395</v>
      </c>
      <c r="E125" s="86" t="s">
        <v>430</v>
      </c>
      <c r="F125" s="85" t="s">
        <v>439</v>
      </c>
      <c r="G125" s="85" t="s">
        <v>280</v>
      </c>
      <c r="H125" s="85" t="s">
        <v>13</v>
      </c>
      <c r="I125" s="85" t="s">
        <v>255</v>
      </c>
      <c r="J125" s="85" t="s">
        <v>47</v>
      </c>
      <c r="K125" s="85"/>
      <c r="L125" s="87">
        <v>252</v>
      </c>
      <c r="M125" s="87">
        <f>L125*VLOOKUP(H125,dagsoorttabel1,2,FALSE)</f>
        <v>197.64705882352942</v>
      </c>
      <c r="N125" s="88">
        <f>prodnorm52</f>
        <v>0</v>
      </c>
      <c r="O125" s="89">
        <f>dagwerk52</f>
        <v>0</v>
      </c>
      <c r="P125" s="85" t="s">
        <v>105</v>
      </c>
      <c r="Q125" s="90">
        <f>uurtarief52</f>
        <v>0</v>
      </c>
      <c r="R125" s="87" t="e">
        <f>IF(ISBLANK(N125),0,M125/ROUND(N125,4))</f>
        <v>#DIV/0!</v>
      </c>
      <c r="S125" s="87" t="e">
        <f>IF(ISBLANK(N125),0,R125*ROUND(O125,2))</f>
        <v>#DIV/0!</v>
      </c>
      <c r="T125" s="90" t="e">
        <f>ROUND(Q125,2)*R125</f>
        <v>#DIV/0!</v>
      </c>
      <c r="U125" s="87" t="e">
        <f>R125*dagenperjaar1</f>
        <v>#DIV/0!</v>
      </c>
      <c r="V125" s="91" t="e">
        <f>U125*ROUND(Q125,2)</f>
        <v>#DIV/0!</v>
      </c>
    </row>
    <row r="126" spans="1:22" x14ac:dyDescent="0.2">
      <c r="A126" s="92" t="s">
        <v>478</v>
      </c>
      <c r="B126" s="93" t="s">
        <v>47</v>
      </c>
      <c r="C126" s="93" t="s">
        <v>394</v>
      </c>
      <c r="D126" s="93" t="s">
        <v>398</v>
      </c>
      <c r="E126" s="94" t="s">
        <v>440</v>
      </c>
      <c r="F126" s="93" t="s">
        <v>439</v>
      </c>
      <c r="G126" s="93" t="s">
        <v>280</v>
      </c>
      <c r="H126" s="93" t="s">
        <v>13</v>
      </c>
      <c r="I126" s="93" t="s">
        <v>255</v>
      </c>
      <c r="J126" s="93" t="s">
        <v>47</v>
      </c>
      <c r="K126" s="93"/>
      <c r="L126" s="95">
        <v>41</v>
      </c>
      <c r="M126" s="95">
        <f>L126*VLOOKUP(H126,dagsoorttabel1,2,FALSE)</f>
        <v>32.156862745098039</v>
      </c>
      <c r="N126" s="96">
        <f>prodnorm52</f>
        <v>0</v>
      </c>
      <c r="O126" s="37">
        <f>dagwerk52</f>
        <v>0</v>
      </c>
      <c r="P126" s="93" t="s">
        <v>105</v>
      </c>
      <c r="Q126" s="24">
        <f>uurtarief52</f>
        <v>0</v>
      </c>
      <c r="R126" s="95" t="e">
        <f>IF(ISBLANK(N126),0,M126/ROUND(N126,4))</f>
        <v>#DIV/0!</v>
      </c>
      <c r="S126" s="95" t="e">
        <f>IF(ISBLANK(N126),0,R126*ROUND(O126,2))</f>
        <v>#DIV/0!</v>
      </c>
      <c r="T126" s="24" t="e">
        <f>ROUND(Q126,2)*R126</f>
        <v>#DIV/0!</v>
      </c>
      <c r="U126" s="95" t="e">
        <f>R126*dagenperjaar1</f>
        <v>#DIV/0!</v>
      </c>
      <c r="V126" s="25" t="e">
        <f>U126*ROUND(Q126,2)</f>
        <v>#DIV/0!</v>
      </c>
    </row>
    <row r="127" spans="1:22" x14ac:dyDescent="0.2">
      <c r="A127" s="92" t="s">
        <v>478</v>
      </c>
      <c r="B127" s="93" t="s">
        <v>47</v>
      </c>
      <c r="C127" s="93" t="s">
        <v>394</v>
      </c>
      <c r="D127" s="93" t="s">
        <v>400</v>
      </c>
      <c r="E127" s="94" t="s">
        <v>443</v>
      </c>
      <c r="F127" s="93" t="s">
        <v>442</v>
      </c>
      <c r="G127" s="93" t="s">
        <v>304</v>
      </c>
      <c r="H127" s="93" t="s">
        <v>13</v>
      </c>
      <c r="I127" s="93" t="s">
        <v>255</v>
      </c>
      <c r="J127" s="93" t="s">
        <v>47</v>
      </c>
      <c r="K127" s="93"/>
      <c r="L127" s="95">
        <v>3</v>
      </c>
      <c r="M127" s="95">
        <f>L127*VLOOKUP(H127,dagsoorttabel1,2,FALSE)</f>
        <v>2.3529411764705883</v>
      </c>
      <c r="N127" s="96">
        <f>prodnorm74</f>
        <v>0</v>
      </c>
      <c r="O127" s="37">
        <f>dagwerk74</f>
        <v>0</v>
      </c>
      <c r="P127" s="93" t="s">
        <v>105</v>
      </c>
      <c r="Q127" s="24">
        <f>uurtarief74</f>
        <v>0</v>
      </c>
      <c r="R127" s="95" t="e">
        <f>IF(ISBLANK(N127),0,M127/ROUND(N127,4))</f>
        <v>#DIV/0!</v>
      </c>
      <c r="S127" s="95" t="e">
        <f>IF(ISBLANK(N127),0,R127*ROUND(O127,2))</f>
        <v>#DIV/0!</v>
      </c>
      <c r="T127" s="24" t="e">
        <f>ROUND(Q127,2)*R127</f>
        <v>#DIV/0!</v>
      </c>
      <c r="U127" s="95" t="e">
        <f>R127*dagenperjaar1</f>
        <v>#DIV/0!</v>
      </c>
      <c r="V127" s="25" t="e">
        <f>U127*ROUND(Q127,2)</f>
        <v>#DIV/0!</v>
      </c>
    </row>
    <row r="128" spans="1:22" x14ac:dyDescent="0.2">
      <c r="A128" s="92" t="s">
        <v>478</v>
      </c>
      <c r="B128" s="93" t="s">
        <v>47</v>
      </c>
      <c r="C128" s="93" t="s">
        <v>394</v>
      </c>
      <c r="D128" s="93" t="s">
        <v>402</v>
      </c>
      <c r="E128" s="94" t="s">
        <v>443</v>
      </c>
      <c r="F128" s="93" t="s">
        <v>442</v>
      </c>
      <c r="G128" s="93" t="s">
        <v>304</v>
      </c>
      <c r="H128" s="93" t="s">
        <v>13</v>
      </c>
      <c r="I128" s="93" t="s">
        <v>255</v>
      </c>
      <c r="J128" s="93" t="s">
        <v>47</v>
      </c>
      <c r="K128" s="93"/>
      <c r="L128" s="95">
        <v>3</v>
      </c>
      <c r="M128" s="95">
        <f>L128*VLOOKUP(H128,dagsoorttabel1,2,FALSE)</f>
        <v>2.3529411764705883</v>
      </c>
      <c r="N128" s="96">
        <f>prodnorm74</f>
        <v>0</v>
      </c>
      <c r="O128" s="37">
        <f>dagwerk74</f>
        <v>0</v>
      </c>
      <c r="P128" s="93" t="s">
        <v>105</v>
      </c>
      <c r="Q128" s="24">
        <f>uurtarief74</f>
        <v>0</v>
      </c>
      <c r="R128" s="95" t="e">
        <f>IF(ISBLANK(N128),0,M128/ROUND(N128,4))</f>
        <v>#DIV/0!</v>
      </c>
      <c r="S128" s="95" t="e">
        <f>IF(ISBLANK(N128),0,R128*ROUND(O128,2))</f>
        <v>#DIV/0!</v>
      </c>
      <c r="T128" s="24" t="e">
        <f>ROUND(Q128,2)*R128</f>
        <v>#DIV/0!</v>
      </c>
      <c r="U128" s="95" t="e">
        <f>R128*dagenperjaar1</f>
        <v>#DIV/0!</v>
      </c>
      <c r="V128" s="25" t="e">
        <f>U128*ROUND(Q128,2)</f>
        <v>#DIV/0!</v>
      </c>
    </row>
    <row r="129" spans="1:22" x14ac:dyDescent="0.2">
      <c r="A129" s="92" t="s">
        <v>478</v>
      </c>
      <c r="B129" s="93" t="s">
        <v>47</v>
      </c>
      <c r="C129" s="93" t="s">
        <v>394</v>
      </c>
      <c r="D129" s="93" t="s">
        <v>411</v>
      </c>
      <c r="E129" s="94" t="s">
        <v>447</v>
      </c>
      <c r="F129" s="93" t="s">
        <v>472</v>
      </c>
      <c r="G129" s="93" t="s">
        <v>284</v>
      </c>
      <c r="H129" s="93" t="s">
        <v>13</v>
      </c>
      <c r="I129" s="93" t="s">
        <v>255</v>
      </c>
      <c r="J129" s="93" t="s">
        <v>47</v>
      </c>
      <c r="K129" s="93"/>
      <c r="L129" s="95">
        <v>33.5</v>
      </c>
      <c r="M129" s="95">
        <f>L129*VLOOKUP(H129,dagsoorttabel1,2,FALSE)</f>
        <v>26.274509803921568</v>
      </c>
      <c r="N129" s="96">
        <f>prodnorm58</f>
        <v>0</v>
      </c>
      <c r="O129" s="37">
        <f>dagwerk58</f>
        <v>0</v>
      </c>
      <c r="P129" s="93" t="s">
        <v>105</v>
      </c>
      <c r="Q129" s="24">
        <f>uurtarief58</f>
        <v>0</v>
      </c>
      <c r="R129" s="95" t="e">
        <f>IF(ISBLANK(N129),0,M129/ROUND(N129,4))</f>
        <v>#DIV/0!</v>
      </c>
      <c r="S129" s="95" t="e">
        <f>IF(ISBLANK(N129),0,R129*ROUND(O129,2))</f>
        <v>#DIV/0!</v>
      </c>
      <c r="T129" s="24" t="e">
        <f>ROUND(Q129,2)*R129</f>
        <v>#DIV/0!</v>
      </c>
      <c r="U129" s="95" t="e">
        <f>R129*dagenperjaar1</f>
        <v>#DIV/0!</v>
      </c>
      <c r="V129" s="25" t="e">
        <f>U129*ROUND(Q129,2)</f>
        <v>#DIV/0!</v>
      </c>
    </row>
    <row r="130" spans="1:22" x14ac:dyDescent="0.2">
      <c r="A130" s="92" t="s">
        <v>478</v>
      </c>
      <c r="B130" s="93" t="s">
        <v>47</v>
      </c>
      <c r="C130" s="93" t="s">
        <v>394</v>
      </c>
      <c r="D130" s="93" t="s">
        <v>413</v>
      </c>
      <c r="E130" s="94" t="s">
        <v>447</v>
      </c>
      <c r="F130" s="93" t="s">
        <v>472</v>
      </c>
      <c r="G130" s="93" t="s">
        <v>284</v>
      </c>
      <c r="H130" s="93" t="s">
        <v>13</v>
      </c>
      <c r="I130" s="93" t="s">
        <v>255</v>
      </c>
      <c r="J130" s="93" t="s">
        <v>47</v>
      </c>
      <c r="K130" s="93"/>
      <c r="L130" s="95">
        <v>32.5</v>
      </c>
      <c r="M130" s="95">
        <f>L130*VLOOKUP(H130,dagsoorttabel1,2,FALSE)</f>
        <v>25.490196078431371</v>
      </c>
      <c r="N130" s="96">
        <f>prodnorm58</f>
        <v>0</v>
      </c>
      <c r="O130" s="37">
        <f>dagwerk58</f>
        <v>0</v>
      </c>
      <c r="P130" s="93" t="s">
        <v>105</v>
      </c>
      <c r="Q130" s="24">
        <f>uurtarief58</f>
        <v>0</v>
      </c>
      <c r="R130" s="95" t="e">
        <f>IF(ISBLANK(N130),0,M130/ROUND(N130,4))</f>
        <v>#DIV/0!</v>
      </c>
      <c r="S130" s="95" t="e">
        <f>IF(ISBLANK(N130),0,R130*ROUND(O130,2))</f>
        <v>#DIV/0!</v>
      </c>
      <c r="T130" s="24" t="e">
        <f>ROUND(Q130,2)*R130</f>
        <v>#DIV/0!</v>
      </c>
      <c r="U130" s="95" t="e">
        <f>R130*dagenperjaar1</f>
        <v>#DIV/0!</v>
      </c>
      <c r="V130" s="25" t="e">
        <f>U130*ROUND(Q130,2)</f>
        <v>#DIV/0!</v>
      </c>
    </row>
    <row r="131" spans="1:22" x14ac:dyDescent="0.2">
      <c r="A131" s="92" t="s">
        <v>478</v>
      </c>
      <c r="B131" s="93" t="s">
        <v>47</v>
      </c>
      <c r="C131" s="93" t="s">
        <v>394</v>
      </c>
      <c r="D131" s="93" t="s">
        <v>416</v>
      </c>
      <c r="E131" s="94" t="s">
        <v>473</v>
      </c>
      <c r="F131" s="93" t="s">
        <v>442</v>
      </c>
      <c r="G131" s="93" t="s">
        <v>284</v>
      </c>
      <c r="H131" s="93" t="s">
        <v>13</v>
      </c>
      <c r="I131" s="93" t="s">
        <v>255</v>
      </c>
      <c r="J131" s="93" t="s">
        <v>47</v>
      </c>
      <c r="K131" s="93"/>
      <c r="L131" s="95">
        <v>3.3</v>
      </c>
      <c r="M131" s="95">
        <f>L131*VLOOKUP(H131,dagsoorttabel1,2,FALSE)</f>
        <v>2.5882352941176467</v>
      </c>
      <c r="N131" s="96">
        <f>prodnorm58</f>
        <v>0</v>
      </c>
      <c r="O131" s="37">
        <f>dagwerk58</f>
        <v>0</v>
      </c>
      <c r="P131" s="93" t="s">
        <v>105</v>
      </c>
      <c r="Q131" s="24">
        <f>uurtarief58</f>
        <v>0</v>
      </c>
      <c r="R131" s="95" t="e">
        <f>IF(ISBLANK(N131),0,M131/ROUND(N131,4))</f>
        <v>#DIV/0!</v>
      </c>
      <c r="S131" s="95" t="e">
        <f>IF(ISBLANK(N131),0,R131*ROUND(O131,2))</f>
        <v>#DIV/0!</v>
      </c>
      <c r="T131" s="24" t="e">
        <f>ROUND(Q131,2)*R131</f>
        <v>#DIV/0!</v>
      </c>
      <c r="U131" s="95" t="e">
        <f>R131*dagenperjaar1</f>
        <v>#DIV/0!</v>
      </c>
      <c r="V131" s="25" t="e">
        <f>U131*ROUND(Q131,2)</f>
        <v>#DIV/0!</v>
      </c>
    </row>
    <row r="132" spans="1:22" x14ac:dyDescent="0.2">
      <c r="A132" s="92" t="s">
        <v>478</v>
      </c>
      <c r="B132" s="93" t="s">
        <v>47</v>
      </c>
      <c r="C132" s="93" t="s">
        <v>394</v>
      </c>
      <c r="D132" s="93" t="s">
        <v>474</v>
      </c>
      <c r="E132" s="94" t="s">
        <v>396</v>
      </c>
      <c r="F132" s="93" t="s">
        <v>472</v>
      </c>
      <c r="G132" s="93" t="s">
        <v>270</v>
      </c>
      <c r="H132" s="93" t="s">
        <v>13</v>
      </c>
      <c r="I132" s="93" t="s">
        <v>255</v>
      </c>
      <c r="J132" s="93" t="s">
        <v>47</v>
      </c>
      <c r="K132" s="93"/>
      <c r="L132" s="95">
        <v>9</v>
      </c>
      <c r="M132" s="95">
        <f>L132*VLOOKUP(H132,dagsoorttabel1,2,FALSE)</f>
        <v>7.0588235294117645</v>
      </c>
      <c r="N132" s="96">
        <f>prodnorm43</f>
        <v>0</v>
      </c>
      <c r="O132" s="37">
        <f>dagwerk43</f>
        <v>0</v>
      </c>
      <c r="P132" s="93" t="s">
        <v>105</v>
      </c>
      <c r="Q132" s="24">
        <f>uurtarief43</f>
        <v>0</v>
      </c>
      <c r="R132" s="95" t="e">
        <f>IF(ISBLANK(N132),0,M132/ROUND(N132,4))</f>
        <v>#DIV/0!</v>
      </c>
      <c r="S132" s="95" t="e">
        <f>IF(ISBLANK(N132),0,R132*ROUND(O132,2))</f>
        <v>#DIV/0!</v>
      </c>
      <c r="T132" s="24" t="e">
        <f>ROUND(Q132,2)*R132</f>
        <v>#DIV/0!</v>
      </c>
      <c r="U132" s="95" t="e">
        <f>R132*dagenperjaar1</f>
        <v>#DIV/0!</v>
      </c>
      <c r="V132" s="25" t="e">
        <f>U132*ROUND(Q132,2)</f>
        <v>#DIV/0!</v>
      </c>
    </row>
    <row r="133" spans="1:22" x14ac:dyDescent="0.2">
      <c r="A133" s="97" t="s">
        <v>478</v>
      </c>
      <c r="B133" s="98" t="s">
        <v>47</v>
      </c>
      <c r="C133" s="98" t="s">
        <v>394</v>
      </c>
      <c r="D133" s="98" t="s">
        <v>475</v>
      </c>
      <c r="E133" s="99" t="s">
        <v>396</v>
      </c>
      <c r="F133" s="98" t="s">
        <v>476</v>
      </c>
      <c r="G133" s="98" t="s">
        <v>274</v>
      </c>
      <c r="H133" s="98" t="s">
        <v>13</v>
      </c>
      <c r="I133" s="98" t="s">
        <v>255</v>
      </c>
      <c r="J133" s="98" t="s">
        <v>47</v>
      </c>
      <c r="K133" s="98"/>
      <c r="L133" s="100">
        <v>9</v>
      </c>
      <c r="M133" s="100">
        <f>L133*VLOOKUP(H133,dagsoorttabel1,2,FALSE)</f>
        <v>7.0588235294117645</v>
      </c>
      <c r="N133" s="101">
        <f>prodnorm47</f>
        <v>0</v>
      </c>
      <c r="O133" s="102">
        <f>dagwerk47</f>
        <v>0</v>
      </c>
      <c r="P133" s="98" t="s">
        <v>105</v>
      </c>
      <c r="Q133" s="34">
        <f>uurtarief47</f>
        <v>0</v>
      </c>
      <c r="R133" s="100" t="e">
        <f>IF(ISBLANK(N133),0,M133/ROUND(N133,4))</f>
        <v>#DIV/0!</v>
      </c>
      <c r="S133" s="100" t="e">
        <f>IF(ISBLANK(N133),0,R133*ROUND(O133,2))</f>
        <v>#DIV/0!</v>
      </c>
      <c r="T133" s="34" t="e">
        <f>ROUND(Q133,2)*R133</f>
        <v>#DIV/0!</v>
      </c>
      <c r="U133" s="100" t="e">
        <f>R133*dagenperjaar1</f>
        <v>#DIV/0!</v>
      </c>
      <c r="V133" s="35" t="e">
        <f>U133*ROUND(Q133,2)</f>
        <v>#DIV/0!</v>
      </c>
    </row>
    <row r="134" spans="1:22" x14ac:dyDescent="0.2">
      <c r="A134" s="103" t="s">
        <v>436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5" t="e">
        <f>IF(_xlfn.SINGLE(object4_urenjaar1)&gt;0,_xlfn.SINGLE(object4_prijsjaar1)/_xlfn.SINGLE(object4_urenjaar1),0)</f>
        <v>#DIV/0!</v>
      </c>
      <c r="R134" s="74" t="e">
        <f>SUM(R125:R133)</f>
        <v>#DIV/0!</v>
      </c>
      <c r="S134" s="74" t="e">
        <f>SUM(S125:S133)</f>
        <v>#DIV/0!</v>
      </c>
      <c r="T134" s="75" t="e">
        <f>SUM(T125:T133)</f>
        <v>#DIV/0!</v>
      </c>
      <c r="U134" s="74" t="e">
        <f>SUM(U125:U133)</f>
        <v>#DIV/0!</v>
      </c>
      <c r="V134" s="76" t="e">
        <f>SUM(V125:V133)</f>
        <v>#DIV/0!</v>
      </c>
    </row>
    <row r="135" spans="1:22" x14ac:dyDescent="0.2">
      <c r="A135" s="83" t="s">
        <v>479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71"/>
    </row>
    <row r="136" spans="1:22" x14ac:dyDescent="0.2">
      <c r="A136" s="84" t="s">
        <v>480</v>
      </c>
      <c r="B136" s="85" t="s">
        <v>47</v>
      </c>
      <c r="C136" s="85" t="s">
        <v>394</v>
      </c>
      <c r="D136" s="85" t="s">
        <v>395</v>
      </c>
      <c r="E136" s="86" t="s">
        <v>430</v>
      </c>
      <c r="F136" s="85" t="s">
        <v>439</v>
      </c>
      <c r="G136" s="85" t="s">
        <v>280</v>
      </c>
      <c r="H136" s="85" t="s">
        <v>13</v>
      </c>
      <c r="I136" s="85" t="s">
        <v>255</v>
      </c>
      <c r="J136" s="85" t="s">
        <v>47</v>
      </c>
      <c r="K136" s="85"/>
      <c r="L136" s="87">
        <v>252</v>
      </c>
      <c r="M136" s="87">
        <f>L136*VLOOKUP(H136,dagsoorttabel1,2,FALSE)</f>
        <v>197.64705882352942</v>
      </c>
      <c r="N136" s="88">
        <f>prodnorm52</f>
        <v>0</v>
      </c>
      <c r="O136" s="89">
        <f>dagwerk52</f>
        <v>0</v>
      </c>
      <c r="P136" s="85" t="s">
        <v>105</v>
      </c>
      <c r="Q136" s="90">
        <f>uurtarief52</f>
        <v>0</v>
      </c>
      <c r="R136" s="87" t="e">
        <f>IF(ISBLANK(N136),0,M136/ROUND(N136,4))</f>
        <v>#DIV/0!</v>
      </c>
      <c r="S136" s="87" t="e">
        <f>IF(ISBLANK(N136),0,R136*ROUND(O136,2))</f>
        <v>#DIV/0!</v>
      </c>
      <c r="T136" s="90" t="e">
        <f>ROUND(Q136,2)*R136</f>
        <v>#DIV/0!</v>
      </c>
      <c r="U136" s="87" t="e">
        <f>R136*dagenperjaar1</f>
        <v>#DIV/0!</v>
      </c>
      <c r="V136" s="91" t="e">
        <f>U136*ROUND(Q136,2)</f>
        <v>#DIV/0!</v>
      </c>
    </row>
    <row r="137" spans="1:22" x14ac:dyDescent="0.2">
      <c r="A137" s="92" t="s">
        <v>480</v>
      </c>
      <c r="B137" s="93" t="s">
        <v>47</v>
      </c>
      <c r="C137" s="93" t="s">
        <v>394</v>
      </c>
      <c r="D137" s="93" t="s">
        <v>398</v>
      </c>
      <c r="E137" s="94" t="s">
        <v>440</v>
      </c>
      <c r="F137" s="93" t="s">
        <v>439</v>
      </c>
      <c r="G137" s="93" t="s">
        <v>280</v>
      </c>
      <c r="H137" s="93" t="s">
        <v>13</v>
      </c>
      <c r="I137" s="93" t="s">
        <v>255</v>
      </c>
      <c r="J137" s="93" t="s">
        <v>47</v>
      </c>
      <c r="K137" s="93"/>
      <c r="L137" s="95">
        <v>41</v>
      </c>
      <c r="M137" s="95">
        <f>L137*VLOOKUP(H137,dagsoorttabel1,2,FALSE)</f>
        <v>32.156862745098039</v>
      </c>
      <c r="N137" s="96">
        <f>prodnorm52</f>
        <v>0</v>
      </c>
      <c r="O137" s="37">
        <f>dagwerk52</f>
        <v>0</v>
      </c>
      <c r="P137" s="93" t="s">
        <v>105</v>
      </c>
      <c r="Q137" s="24">
        <f>uurtarief52</f>
        <v>0</v>
      </c>
      <c r="R137" s="95" t="e">
        <f>IF(ISBLANK(N137),0,M137/ROUND(N137,4))</f>
        <v>#DIV/0!</v>
      </c>
      <c r="S137" s="95" t="e">
        <f>IF(ISBLANK(N137),0,R137*ROUND(O137,2))</f>
        <v>#DIV/0!</v>
      </c>
      <c r="T137" s="24" t="e">
        <f>ROUND(Q137,2)*R137</f>
        <v>#DIV/0!</v>
      </c>
      <c r="U137" s="95" t="e">
        <f>R137*dagenperjaar1</f>
        <v>#DIV/0!</v>
      </c>
      <c r="V137" s="25" t="e">
        <f>U137*ROUND(Q137,2)</f>
        <v>#DIV/0!</v>
      </c>
    </row>
    <row r="138" spans="1:22" x14ac:dyDescent="0.2">
      <c r="A138" s="92" t="s">
        <v>480</v>
      </c>
      <c r="B138" s="93" t="s">
        <v>47</v>
      </c>
      <c r="C138" s="93" t="s">
        <v>394</v>
      </c>
      <c r="D138" s="93" t="s">
        <v>400</v>
      </c>
      <c r="E138" s="94" t="s">
        <v>443</v>
      </c>
      <c r="F138" s="93" t="s">
        <v>442</v>
      </c>
      <c r="G138" s="93" t="s">
        <v>304</v>
      </c>
      <c r="H138" s="93" t="s">
        <v>13</v>
      </c>
      <c r="I138" s="93" t="s">
        <v>255</v>
      </c>
      <c r="J138" s="93" t="s">
        <v>47</v>
      </c>
      <c r="K138" s="93"/>
      <c r="L138" s="95">
        <v>3</v>
      </c>
      <c r="M138" s="95">
        <f>L138*VLOOKUP(H138,dagsoorttabel1,2,FALSE)</f>
        <v>2.3529411764705883</v>
      </c>
      <c r="N138" s="96">
        <f>prodnorm74</f>
        <v>0</v>
      </c>
      <c r="O138" s="37">
        <f>dagwerk74</f>
        <v>0</v>
      </c>
      <c r="P138" s="93" t="s">
        <v>105</v>
      </c>
      <c r="Q138" s="24">
        <f>uurtarief74</f>
        <v>0</v>
      </c>
      <c r="R138" s="95" t="e">
        <f>IF(ISBLANK(N138),0,M138/ROUND(N138,4))</f>
        <v>#DIV/0!</v>
      </c>
      <c r="S138" s="95" t="e">
        <f>IF(ISBLANK(N138),0,R138*ROUND(O138,2))</f>
        <v>#DIV/0!</v>
      </c>
      <c r="T138" s="24" t="e">
        <f>ROUND(Q138,2)*R138</f>
        <v>#DIV/0!</v>
      </c>
      <c r="U138" s="95" t="e">
        <f>R138*dagenperjaar1</f>
        <v>#DIV/0!</v>
      </c>
      <c r="V138" s="25" t="e">
        <f>U138*ROUND(Q138,2)</f>
        <v>#DIV/0!</v>
      </c>
    </row>
    <row r="139" spans="1:22" x14ac:dyDescent="0.2">
      <c r="A139" s="92" t="s">
        <v>480</v>
      </c>
      <c r="B139" s="93" t="s">
        <v>47</v>
      </c>
      <c r="C139" s="93" t="s">
        <v>394</v>
      </c>
      <c r="D139" s="93" t="s">
        <v>402</v>
      </c>
      <c r="E139" s="94" t="s">
        <v>443</v>
      </c>
      <c r="F139" s="93" t="s">
        <v>442</v>
      </c>
      <c r="G139" s="93" t="s">
        <v>304</v>
      </c>
      <c r="H139" s="93" t="s">
        <v>13</v>
      </c>
      <c r="I139" s="93" t="s">
        <v>255</v>
      </c>
      <c r="J139" s="93" t="s">
        <v>47</v>
      </c>
      <c r="K139" s="93"/>
      <c r="L139" s="95">
        <v>3</v>
      </c>
      <c r="M139" s="95">
        <f>L139*VLOOKUP(H139,dagsoorttabel1,2,FALSE)</f>
        <v>2.3529411764705883</v>
      </c>
      <c r="N139" s="96">
        <f>prodnorm74</f>
        <v>0</v>
      </c>
      <c r="O139" s="37">
        <f>dagwerk74</f>
        <v>0</v>
      </c>
      <c r="P139" s="93" t="s">
        <v>105</v>
      </c>
      <c r="Q139" s="24">
        <f>uurtarief74</f>
        <v>0</v>
      </c>
      <c r="R139" s="95" t="e">
        <f>IF(ISBLANK(N139),0,M139/ROUND(N139,4))</f>
        <v>#DIV/0!</v>
      </c>
      <c r="S139" s="95" t="e">
        <f>IF(ISBLANK(N139),0,R139*ROUND(O139,2))</f>
        <v>#DIV/0!</v>
      </c>
      <c r="T139" s="24" t="e">
        <f>ROUND(Q139,2)*R139</f>
        <v>#DIV/0!</v>
      </c>
      <c r="U139" s="95" t="e">
        <f>R139*dagenperjaar1</f>
        <v>#DIV/0!</v>
      </c>
      <c r="V139" s="25" t="e">
        <f>U139*ROUND(Q139,2)</f>
        <v>#DIV/0!</v>
      </c>
    </row>
    <row r="140" spans="1:22" x14ac:dyDescent="0.2">
      <c r="A140" s="92" t="s">
        <v>480</v>
      </c>
      <c r="B140" s="93" t="s">
        <v>47</v>
      </c>
      <c r="C140" s="93" t="s">
        <v>394</v>
      </c>
      <c r="D140" s="93" t="s">
        <v>406</v>
      </c>
      <c r="E140" s="94" t="s">
        <v>481</v>
      </c>
      <c r="F140" s="93" t="s">
        <v>442</v>
      </c>
      <c r="G140" s="93" t="s">
        <v>266</v>
      </c>
      <c r="H140" s="93" t="s">
        <v>13</v>
      </c>
      <c r="I140" s="93" t="s">
        <v>255</v>
      </c>
      <c r="J140" s="93" t="s">
        <v>47</v>
      </c>
      <c r="K140" s="93"/>
      <c r="L140" s="95">
        <v>14.5</v>
      </c>
      <c r="M140" s="95">
        <f>L140*VLOOKUP(H140,dagsoorttabel1,2,FALSE)</f>
        <v>11.372549019607844</v>
      </c>
      <c r="N140" s="96">
        <f>prodnorm40</f>
        <v>0</v>
      </c>
      <c r="O140" s="37">
        <f>dagwerk40</f>
        <v>0</v>
      </c>
      <c r="P140" s="93" t="s">
        <v>105</v>
      </c>
      <c r="Q140" s="24">
        <f>uurtarief40</f>
        <v>0</v>
      </c>
      <c r="R140" s="95" t="e">
        <f>IF(ISBLANK(N140),0,M140/ROUND(N140,4))</f>
        <v>#DIV/0!</v>
      </c>
      <c r="S140" s="95" t="e">
        <f>IF(ISBLANK(N140),0,R140*ROUND(O140,2))</f>
        <v>#DIV/0!</v>
      </c>
      <c r="T140" s="24" t="e">
        <f>ROUND(Q140,2)*R140</f>
        <v>#DIV/0!</v>
      </c>
      <c r="U140" s="95" t="e">
        <f>R140*dagenperjaar1</f>
        <v>#DIV/0!</v>
      </c>
      <c r="V140" s="25" t="e">
        <f>U140*ROUND(Q140,2)</f>
        <v>#DIV/0!</v>
      </c>
    </row>
    <row r="141" spans="1:22" x14ac:dyDescent="0.2">
      <c r="A141" s="92" t="s">
        <v>480</v>
      </c>
      <c r="B141" s="93" t="s">
        <v>47</v>
      </c>
      <c r="C141" s="93" t="s">
        <v>394</v>
      </c>
      <c r="D141" s="93" t="s">
        <v>409</v>
      </c>
      <c r="E141" s="94" t="s">
        <v>481</v>
      </c>
      <c r="F141" s="93" t="s">
        <v>442</v>
      </c>
      <c r="G141" s="93" t="s">
        <v>266</v>
      </c>
      <c r="H141" s="93" t="s">
        <v>13</v>
      </c>
      <c r="I141" s="93" t="s">
        <v>255</v>
      </c>
      <c r="J141" s="93" t="s">
        <v>47</v>
      </c>
      <c r="K141" s="93"/>
      <c r="L141" s="95">
        <v>14.5</v>
      </c>
      <c r="M141" s="95">
        <f>L141*VLOOKUP(H141,dagsoorttabel1,2,FALSE)</f>
        <v>11.372549019607844</v>
      </c>
      <c r="N141" s="96">
        <f>prodnorm40</f>
        <v>0</v>
      </c>
      <c r="O141" s="37">
        <f>dagwerk40</f>
        <v>0</v>
      </c>
      <c r="P141" s="93" t="s">
        <v>105</v>
      </c>
      <c r="Q141" s="24">
        <f>uurtarief40</f>
        <v>0</v>
      </c>
      <c r="R141" s="95" t="e">
        <f>IF(ISBLANK(N141),0,M141/ROUND(N141,4))</f>
        <v>#DIV/0!</v>
      </c>
      <c r="S141" s="95" t="e">
        <f>IF(ISBLANK(N141),0,R141*ROUND(O141,2))</f>
        <v>#DIV/0!</v>
      </c>
      <c r="T141" s="24" t="e">
        <f>ROUND(Q141,2)*R141</f>
        <v>#DIV/0!</v>
      </c>
      <c r="U141" s="95" t="e">
        <f>R141*dagenperjaar1</f>
        <v>#DIV/0!</v>
      </c>
      <c r="V141" s="25" t="e">
        <f>U141*ROUND(Q141,2)</f>
        <v>#DIV/0!</v>
      </c>
    </row>
    <row r="142" spans="1:22" x14ac:dyDescent="0.2">
      <c r="A142" s="92" t="s">
        <v>480</v>
      </c>
      <c r="B142" s="93" t="s">
        <v>47</v>
      </c>
      <c r="C142" s="93" t="s">
        <v>394</v>
      </c>
      <c r="D142" s="93" t="s">
        <v>411</v>
      </c>
      <c r="E142" s="94" t="s">
        <v>447</v>
      </c>
      <c r="F142" s="93" t="s">
        <v>472</v>
      </c>
      <c r="G142" s="93" t="s">
        <v>284</v>
      </c>
      <c r="H142" s="93" t="s">
        <v>13</v>
      </c>
      <c r="I142" s="93" t="s">
        <v>255</v>
      </c>
      <c r="J142" s="93" t="s">
        <v>47</v>
      </c>
      <c r="K142" s="93"/>
      <c r="L142" s="95">
        <v>33.5</v>
      </c>
      <c r="M142" s="95">
        <f>L142*VLOOKUP(H142,dagsoorttabel1,2,FALSE)</f>
        <v>26.274509803921568</v>
      </c>
      <c r="N142" s="96">
        <f>prodnorm58</f>
        <v>0</v>
      </c>
      <c r="O142" s="37">
        <f>dagwerk58</f>
        <v>0</v>
      </c>
      <c r="P142" s="93" t="s">
        <v>105</v>
      </c>
      <c r="Q142" s="24">
        <f>uurtarief58</f>
        <v>0</v>
      </c>
      <c r="R142" s="95" t="e">
        <f>IF(ISBLANK(N142),0,M142/ROUND(N142,4))</f>
        <v>#DIV/0!</v>
      </c>
      <c r="S142" s="95" t="e">
        <f>IF(ISBLANK(N142),0,R142*ROUND(O142,2))</f>
        <v>#DIV/0!</v>
      </c>
      <c r="T142" s="24" t="e">
        <f>ROUND(Q142,2)*R142</f>
        <v>#DIV/0!</v>
      </c>
      <c r="U142" s="95" t="e">
        <f>R142*dagenperjaar1</f>
        <v>#DIV/0!</v>
      </c>
      <c r="V142" s="25" t="e">
        <f>U142*ROUND(Q142,2)</f>
        <v>#DIV/0!</v>
      </c>
    </row>
    <row r="143" spans="1:22" x14ac:dyDescent="0.2">
      <c r="A143" s="92" t="s">
        <v>480</v>
      </c>
      <c r="B143" s="93" t="s">
        <v>47</v>
      </c>
      <c r="C143" s="93" t="s">
        <v>394</v>
      </c>
      <c r="D143" s="93" t="s">
        <v>413</v>
      </c>
      <c r="E143" s="94" t="s">
        <v>447</v>
      </c>
      <c r="F143" s="93" t="s">
        <v>472</v>
      </c>
      <c r="G143" s="93" t="s">
        <v>284</v>
      </c>
      <c r="H143" s="93" t="s">
        <v>13</v>
      </c>
      <c r="I143" s="93" t="s">
        <v>255</v>
      </c>
      <c r="J143" s="93" t="s">
        <v>47</v>
      </c>
      <c r="K143" s="93"/>
      <c r="L143" s="95">
        <v>32.5</v>
      </c>
      <c r="M143" s="95">
        <f>L143*VLOOKUP(H143,dagsoorttabel1,2,FALSE)</f>
        <v>25.490196078431371</v>
      </c>
      <c r="N143" s="96">
        <f>prodnorm58</f>
        <v>0</v>
      </c>
      <c r="O143" s="37">
        <f>dagwerk58</f>
        <v>0</v>
      </c>
      <c r="P143" s="93" t="s">
        <v>105</v>
      </c>
      <c r="Q143" s="24">
        <f>uurtarief58</f>
        <v>0</v>
      </c>
      <c r="R143" s="95" t="e">
        <f>IF(ISBLANK(N143),0,M143/ROUND(N143,4))</f>
        <v>#DIV/0!</v>
      </c>
      <c r="S143" s="95" t="e">
        <f>IF(ISBLANK(N143),0,R143*ROUND(O143,2))</f>
        <v>#DIV/0!</v>
      </c>
      <c r="T143" s="24" t="e">
        <f>ROUND(Q143,2)*R143</f>
        <v>#DIV/0!</v>
      </c>
      <c r="U143" s="95" t="e">
        <f>R143*dagenperjaar1</f>
        <v>#DIV/0!</v>
      </c>
      <c r="V143" s="25" t="e">
        <f>U143*ROUND(Q143,2)</f>
        <v>#DIV/0!</v>
      </c>
    </row>
    <row r="144" spans="1:22" ht="25.2" x14ac:dyDescent="0.2">
      <c r="A144" s="92" t="s">
        <v>480</v>
      </c>
      <c r="B144" s="93" t="s">
        <v>47</v>
      </c>
      <c r="C144" s="93" t="s">
        <v>394</v>
      </c>
      <c r="D144" s="93" t="s">
        <v>415</v>
      </c>
      <c r="E144" s="94" t="s">
        <v>482</v>
      </c>
      <c r="F144" s="93" t="s">
        <v>442</v>
      </c>
      <c r="G144" s="93" t="s">
        <v>304</v>
      </c>
      <c r="H144" s="93" t="s">
        <v>13</v>
      </c>
      <c r="I144" s="93" t="s">
        <v>255</v>
      </c>
      <c r="J144" s="93" t="s">
        <v>47</v>
      </c>
      <c r="K144" s="93"/>
      <c r="L144" s="95">
        <v>4.3</v>
      </c>
      <c r="M144" s="95">
        <f>L144*VLOOKUP(H144,dagsoorttabel1,2,FALSE)</f>
        <v>3.3725490196078431</v>
      </c>
      <c r="N144" s="96">
        <f>prodnorm74</f>
        <v>0</v>
      </c>
      <c r="O144" s="37">
        <f>dagwerk74</f>
        <v>0</v>
      </c>
      <c r="P144" s="93" t="s">
        <v>105</v>
      </c>
      <c r="Q144" s="24">
        <f>uurtarief74</f>
        <v>0</v>
      </c>
      <c r="R144" s="95" t="e">
        <f>IF(ISBLANK(N144),0,M144/ROUND(N144,4))</f>
        <v>#DIV/0!</v>
      </c>
      <c r="S144" s="95" t="e">
        <f>IF(ISBLANK(N144),0,R144*ROUND(O144,2))</f>
        <v>#DIV/0!</v>
      </c>
      <c r="T144" s="24" t="e">
        <f>ROUND(Q144,2)*R144</f>
        <v>#DIV/0!</v>
      </c>
      <c r="U144" s="95" t="e">
        <f>R144*dagenperjaar1</f>
        <v>#DIV/0!</v>
      </c>
      <c r="V144" s="25" t="e">
        <f>U144*ROUND(Q144,2)</f>
        <v>#DIV/0!</v>
      </c>
    </row>
    <row r="145" spans="1:22" x14ac:dyDescent="0.2">
      <c r="A145" s="92" t="s">
        <v>480</v>
      </c>
      <c r="B145" s="93" t="s">
        <v>47</v>
      </c>
      <c r="C145" s="93" t="s">
        <v>394</v>
      </c>
      <c r="D145" s="93" t="s">
        <v>416</v>
      </c>
      <c r="E145" s="94" t="s">
        <v>473</v>
      </c>
      <c r="F145" s="93" t="s">
        <v>472</v>
      </c>
      <c r="G145" s="93" t="s">
        <v>284</v>
      </c>
      <c r="H145" s="93" t="s">
        <v>13</v>
      </c>
      <c r="I145" s="93" t="s">
        <v>255</v>
      </c>
      <c r="J145" s="93" t="s">
        <v>47</v>
      </c>
      <c r="K145" s="93"/>
      <c r="L145" s="95">
        <v>3.3</v>
      </c>
      <c r="M145" s="95">
        <f>L145*VLOOKUP(H145,dagsoorttabel1,2,FALSE)</f>
        <v>2.5882352941176467</v>
      </c>
      <c r="N145" s="96">
        <f>prodnorm58</f>
        <v>0</v>
      </c>
      <c r="O145" s="37">
        <f>dagwerk58</f>
        <v>0</v>
      </c>
      <c r="P145" s="93" t="s">
        <v>105</v>
      </c>
      <c r="Q145" s="24">
        <f>uurtarief58</f>
        <v>0</v>
      </c>
      <c r="R145" s="95" t="e">
        <f>IF(ISBLANK(N145),0,M145/ROUND(N145,4))</f>
        <v>#DIV/0!</v>
      </c>
      <c r="S145" s="95" t="e">
        <f>IF(ISBLANK(N145),0,R145*ROUND(O145,2))</f>
        <v>#DIV/0!</v>
      </c>
      <c r="T145" s="24" t="e">
        <f>ROUND(Q145,2)*R145</f>
        <v>#DIV/0!</v>
      </c>
      <c r="U145" s="95" t="e">
        <f>R145*dagenperjaar1</f>
        <v>#DIV/0!</v>
      </c>
      <c r="V145" s="25" t="e">
        <f>U145*ROUND(Q145,2)</f>
        <v>#DIV/0!</v>
      </c>
    </row>
    <row r="146" spans="1:22" x14ac:dyDescent="0.2">
      <c r="A146" s="92" t="s">
        <v>480</v>
      </c>
      <c r="B146" s="93" t="s">
        <v>47</v>
      </c>
      <c r="C146" s="93" t="s">
        <v>394</v>
      </c>
      <c r="D146" s="93" t="s">
        <v>474</v>
      </c>
      <c r="E146" s="94" t="s">
        <v>396</v>
      </c>
      <c r="F146" s="93" t="s">
        <v>472</v>
      </c>
      <c r="G146" s="93" t="s">
        <v>270</v>
      </c>
      <c r="H146" s="93" t="s">
        <v>13</v>
      </c>
      <c r="I146" s="93" t="s">
        <v>255</v>
      </c>
      <c r="J146" s="93" t="s">
        <v>47</v>
      </c>
      <c r="K146" s="93"/>
      <c r="L146" s="95">
        <v>9</v>
      </c>
      <c r="M146" s="95">
        <f>L146*VLOOKUP(H146,dagsoorttabel1,2,FALSE)</f>
        <v>7.0588235294117645</v>
      </c>
      <c r="N146" s="96">
        <f>prodnorm43</f>
        <v>0</v>
      </c>
      <c r="O146" s="37">
        <f>dagwerk43</f>
        <v>0</v>
      </c>
      <c r="P146" s="93" t="s">
        <v>105</v>
      </c>
      <c r="Q146" s="24">
        <f>uurtarief43</f>
        <v>0</v>
      </c>
      <c r="R146" s="95" t="e">
        <f>IF(ISBLANK(N146),0,M146/ROUND(N146,4))</f>
        <v>#DIV/0!</v>
      </c>
      <c r="S146" s="95" t="e">
        <f>IF(ISBLANK(N146),0,R146*ROUND(O146,2))</f>
        <v>#DIV/0!</v>
      </c>
      <c r="T146" s="24" t="e">
        <f>ROUND(Q146,2)*R146</f>
        <v>#DIV/0!</v>
      </c>
      <c r="U146" s="95" t="e">
        <f>R146*dagenperjaar1</f>
        <v>#DIV/0!</v>
      </c>
      <c r="V146" s="25" t="e">
        <f>U146*ROUND(Q146,2)</f>
        <v>#DIV/0!</v>
      </c>
    </row>
    <row r="147" spans="1:22" x14ac:dyDescent="0.2">
      <c r="A147" s="97" t="s">
        <v>480</v>
      </c>
      <c r="B147" s="98" t="s">
        <v>47</v>
      </c>
      <c r="C147" s="98" t="s">
        <v>394</v>
      </c>
      <c r="D147" s="98" t="s">
        <v>475</v>
      </c>
      <c r="E147" s="99" t="s">
        <v>396</v>
      </c>
      <c r="F147" s="98" t="s">
        <v>476</v>
      </c>
      <c r="G147" s="98" t="s">
        <v>274</v>
      </c>
      <c r="H147" s="98" t="s">
        <v>13</v>
      </c>
      <c r="I147" s="98" t="s">
        <v>255</v>
      </c>
      <c r="J147" s="98" t="s">
        <v>47</v>
      </c>
      <c r="K147" s="98"/>
      <c r="L147" s="100">
        <v>9</v>
      </c>
      <c r="M147" s="100">
        <f>L147*VLOOKUP(H147,dagsoorttabel1,2,FALSE)</f>
        <v>7.0588235294117645</v>
      </c>
      <c r="N147" s="101">
        <f>prodnorm47</f>
        <v>0</v>
      </c>
      <c r="O147" s="102">
        <f>dagwerk47</f>
        <v>0</v>
      </c>
      <c r="P147" s="98" t="s">
        <v>105</v>
      </c>
      <c r="Q147" s="34">
        <f>uurtarief47</f>
        <v>0</v>
      </c>
      <c r="R147" s="100" t="e">
        <f>IF(ISBLANK(N147),0,M147/ROUND(N147,4))</f>
        <v>#DIV/0!</v>
      </c>
      <c r="S147" s="100" t="e">
        <f>IF(ISBLANK(N147),0,R147*ROUND(O147,2))</f>
        <v>#DIV/0!</v>
      </c>
      <c r="T147" s="34" t="e">
        <f>ROUND(Q147,2)*R147</f>
        <v>#DIV/0!</v>
      </c>
      <c r="U147" s="100" t="e">
        <f>R147*dagenperjaar1</f>
        <v>#DIV/0!</v>
      </c>
      <c r="V147" s="35" t="e">
        <f>U147*ROUND(Q147,2)</f>
        <v>#DIV/0!</v>
      </c>
    </row>
    <row r="148" spans="1:22" x14ac:dyDescent="0.2">
      <c r="A148" s="103" t="s">
        <v>436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5" t="e">
        <f>IF(_xlfn.SINGLE(object5_urenjaar1)&gt;0,_xlfn.SINGLE(object5_prijsjaar1)/_xlfn.SINGLE(object5_urenjaar1),0)</f>
        <v>#DIV/0!</v>
      </c>
      <c r="R148" s="74" t="e">
        <f>SUM(R136:R147)</f>
        <v>#DIV/0!</v>
      </c>
      <c r="S148" s="74" t="e">
        <f>SUM(S136:S147)</f>
        <v>#DIV/0!</v>
      </c>
      <c r="T148" s="75" t="e">
        <f>SUM(T136:T147)</f>
        <v>#DIV/0!</v>
      </c>
      <c r="U148" s="74" t="e">
        <f>SUM(U136:U147)</f>
        <v>#DIV/0!</v>
      </c>
      <c r="V148" s="76" t="e">
        <f>SUM(V136:V147)</f>
        <v>#DIV/0!</v>
      </c>
    </row>
    <row r="149" spans="1:22" x14ac:dyDescent="0.2">
      <c r="A149" s="83" t="s">
        <v>483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71"/>
    </row>
    <row r="150" spans="1:22" x14ac:dyDescent="0.2">
      <c r="A150" s="84" t="s">
        <v>484</v>
      </c>
      <c r="B150" s="85" t="s">
        <v>47</v>
      </c>
      <c r="C150" s="85" t="s">
        <v>394</v>
      </c>
      <c r="D150" s="85" t="s">
        <v>395</v>
      </c>
      <c r="E150" s="86" t="s">
        <v>430</v>
      </c>
      <c r="F150" s="85" t="s">
        <v>439</v>
      </c>
      <c r="G150" s="85" t="s">
        <v>280</v>
      </c>
      <c r="H150" s="85" t="s">
        <v>13</v>
      </c>
      <c r="I150" s="85" t="s">
        <v>255</v>
      </c>
      <c r="J150" s="85" t="s">
        <v>47</v>
      </c>
      <c r="K150" s="85"/>
      <c r="L150" s="87">
        <v>252</v>
      </c>
      <c r="M150" s="87">
        <f>L150*VLOOKUP(H150,dagsoorttabel1,2,FALSE)</f>
        <v>197.64705882352942</v>
      </c>
      <c r="N150" s="88">
        <f>prodnorm52</f>
        <v>0</v>
      </c>
      <c r="O150" s="89">
        <f>dagwerk52</f>
        <v>0</v>
      </c>
      <c r="P150" s="85" t="s">
        <v>105</v>
      </c>
      <c r="Q150" s="90">
        <f>uurtarief52</f>
        <v>0</v>
      </c>
      <c r="R150" s="87" t="e">
        <f>IF(ISBLANK(N150),0,M150/ROUND(N150,4))</f>
        <v>#DIV/0!</v>
      </c>
      <c r="S150" s="87" t="e">
        <f>IF(ISBLANK(N150),0,R150*ROUND(O150,2))</f>
        <v>#DIV/0!</v>
      </c>
      <c r="T150" s="90" t="e">
        <f>ROUND(Q150,2)*R150</f>
        <v>#DIV/0!</v>
      </c>
      <c r="U150" s="87" t="e">
        <f>R150*dagenperjaar1</f>
        <v>#DIV/0!</v>
      </c>
      <c r="V150" s="91" t="e">
        <f>U150*ROUND(Q150,2)</f>
        <v>#DIV/0!</v>
      </c>
    </row>
    <row r="151" spans="1:22" x14ac:dyDescent="0.2">
      <c r="A151" s="92" t="s">
        <v>484</v>
      </c>
      <c r="B151" s="93" t="s">
        <v>47</v>
      </c>
      <c r="C151" s="93" t="s">
        <v>394</v>
      </c>
      <c r="D151" s="93" t="s">
        <v>398</v>
      </c>
      <c r="E151" s="94" t="s">
        <v>440</v>
      </c>
      <c r="F151" s="93" t="s">
        <v>439</v>
      </c>
      <c r="G151" s="93" t="s">
        <v>280</v>
      </c>
      <c r="H151" s="93" t="s">
        <v>13</v>
      </c>
      <c r="I151" s="93" t="s">
        <v>255</v>
      </c>
      <c r="J151" s="93" t="s">
        <v>47</v>
      </c>
      <c r="K151" s="93"/>
      <c r="L151" s="95">
        <v>41</v>
      </c>
      <c r="M151" s="95">
        <f>L151*VLOOKUP(H151,dagsoorttabel1,2,FALSE)</f>
        <v>32.156862745098039</v>
      </c>
      <c r="N151" s="96">
        <f>prodnorm52</f>
        <v>0</v>
      </c>
      <c r="O151" s="37">
        <f>dagwerk52</f>
        <v>0</v>
      </c>
      <c r="P151" s="93" t="s">
        <v>105</v>
      </c>
      <c r="Q151" s="24">
        <f>uurtarief52</f>
        <v>0</v>
      </c>
      <c r="R151" s="95" t="e">
        <f>IF(ISBLANK(N151),0,M151/ROUND(N151,4))</f>
        <v>#DIV/0!</v>
      </c>
      <c r="S151" s="95" t="e">
        <f>IF(ISBLANK(N151),0,R151*ROUND(O151,2))</f>
        <v>#DIV/0!</v>
      </c>
      <c r="T151" s="24" t="e">
        <f>ROUND(Q151,2)*R151</f>
        <v>#DIV/0!</v>
      </c>
      <c r="U151" s="95" t="e">
        <f>R151*dagenperjaar1</f>
        <v>#DIV/0!</v>
      </c>
      <c r="V151" s="25" t="e">
        <f>U151*ROUND(Q151,2)</f>
        <v>#DIV/0!</v>
      </c>
    </row>
    <row r="152" spans="1:22" x14ac:dyDescent="0.2">
      <c r="A152" s="92" t="s">
        <v>484</v>
      </c>
      <c r="B152" s="93" t="s">
        <v>47</v>
      </c>
      <c r="C152" s="93" t="s">
        <v>394</v>
      </c>
      <c r="D152" s="93" t="s">
        <v>400</v>
      </c>
      <c r="E152" s="94" t="s">
        <v>443</v>
      </c>
      <c r="F152" s="93" t="s">
        <v>442</v>
      </c>
      <c r="G152" s="93" t="s">
        <v>304</v>
      </c>
      <c r="H152" s="93" t="s">
        <v>13</v>
      </c>
      <c r="I152" s="93" t="s">
        <v>255</v>
      </c>
      <c r="J152" s="93" t="s">
        <v>47</v>
      </c>
      <c r="K152" s="93"/>
      <c r="L152" s="95">
        <v>3</v>
      </c>
      <c r="M152" s="95">
        <f>L152*VLOOKUP(H152,dagsoorttabel1,2,FALSE)</f>
        <v>2.3529411764705883</v>
      </c>
      <c r="N152" s="96">
        <f>prodnorm74</f>
        <v>0</v>
      </c>
      <c r="O152" s="37">
        <f>dagwerk74</f>
        <v>0</v>
      </c>
      <c r="P152" s="93" t="s">
        <v>105</v>
      </c>
      <c r="Q152" s="24">
        <f>uurtarief74</f>
        <v>0</v>
      </c>
      <c r="R152" s="95" t="e">
        <f>IF(ISBLANK(N152),0,M152/ROUND(N152,4))</f>
        <v>#DIV/0!</v>
      </c>
      <c r="S152" s="95" t="e">
        <f>IF(ISBLANK(N152),0,R152*ROUND(O152,2))</f>
        <v>#DIV/0!</v>
      </c>
      <c r="T152" s="24" t="e">
        <f>ROUND(Q152,2)*R152</f>
        <v>#DIV/0!</v>
      </c>
      <c r="U152" s="95" t="e">
        <f>R152*dagenperjaar1</f>
        <v>#DIV/0!</v>
      </c>
      <c r="V152" s="25" t="e">
        <f>U152*ROUND(Q152,2)</f>
        <v>#DIV/0!</v>
      </c>
    </row>
    <row r="153" spans="1:22" x14ac:dyDescent="0.2">
      <c r="A153" s="92" t="s">
        <v>484</v>
      </c>
      <c r="B153" s="93" t="s">
        <v>47</v>
      </c>
      <c r="C153" s="93" t="s">
        <v>394</v>
      </c>
      <c r="D153" s="93" t="s">
        <v>402</v>
      </c>
      <c r="E153" s="94" t="s">
        <v>443</v>
      </c>
      <c r="F153" s="93" t="s">
        <v>442</v>
      </c>
      <c r="G153" s="93" t="s">
        <v>304</v>
      </c>
      <c r="H153" s="93" t="s">
        <v>13</v>
      </c>
      <c r="I153" s="93" t="s">
        <v>255</v>
      </c>
      <c r="J153" s="93" t="s">
        <v>47</v>
      </c>
      <c r="K153" s="93"/>
      <c r="L153" s="95">
        <v>3</v>
      </c>
      <c r="M153" s="95">
        <f>L153*VLOOKUP(H153,dagsoorttabel1,2,FALSE)</f>
        <v>2.3529411764705883</v>
      </c>
      <c r="N153" s="96">
        <f>prodnorm74</f>
        <v>0</v>
      </c>
      <c r="O153" s="37">
        <f>dagwerk74</f>
        <v>0</v>
      </c>
      <c r="P153" s="93" t="s">
        <v>105</v>
      </c>
      <c r="Q153" s="24">
        <f>uurtarief74</f>
        <v>0</v>
      </c>
      <c r="R153" s="95" t="e">
        <f>IF(ISBLANK(N153),0,M153/ROUND(N153,4))</f>
        <v>#DIV/0!</v>
      </c>
      <c r="S153" s="95" t="e">
        <f>IF(ISBLANK(N153),0,R153*ROUND(O153,2))</f>
        <v>#DIV/0!</v>
      </c>
      <c r="T153" s="24" t="e">
        <f>ROUND(Q153,2)*R153</f>
        <v>#DIV/0!</v>
      </c>
      <c r="U153" s="95" t="e">
        <f>R153*dagenperjaar1</f>
        <v>#DIV/0!</v>
      </c>
      <c r="V153" s="25" t="e">
        <f>U153*ROUND(Q153,2)</f>
        <v>#DIV/0!</v>
      </c>
    </row>
    <row r="154" spans="1:22" x14ac:dyDescent="0.2">
      <c r="A154" s="92" t="s">
        <v>484</v>
      </c>
      <c r="B154" s="93" t="s">
        <v>47</v>
      </c>
      <c r="C154" s="93" t="s">
        <v>394</v>
      </c>
      <c r="D154" s="93" t="s">
        <v>411</v>
      </c>
      <c r="E154" s="94" t="s">
        <v>447</v>
      </c>
      <c r="F154" s="93" t="s">
        <v>472</v>
      </c>
      <c r="G154" s="93" t="s">
        <v>284</v>
      </c>
      <c r="H154" s="93" t="s">
        <v>13</v>
      </c>
      <c r="I154" s="93" t="s">
        <v>255</v>
      </c>
      <c r="J154" s="93" t="s">
        <v>47</v>
      </c>
      <c r="K154" s="93"/>
      <c r="L154" s="95">
        <v>33.5</v>
      </c>
      <c r="M154" s="95">
        <f>L154*VLOOKUP(H154,dagsoorttabel1,2,FALSE)</f>
        <v>26.274509803921568</v>
      </c>
      <c r="N154" s="96">
        <f>prodnorm58</f>
        <v>0</v>
      </c>
      <c r="O154" s="37">
        <f>dagwerk58</f>
        <v>0</v>
      </c>
      <c r="P154" s="93" t="s">
        <v>105</v>
      </c>
      <c r="Q154" s="24">
        <f>uurtarief58</f>
        <v>0</v>
      </c>
      <c r="R154" s="95" t="e">
        <f>IF(ISBLANK(N154),0,M154/ROUND(N154,4))</f>
        <v>#DIV/0!</v>
      </c>
      <c r="S154" s="95" t="e">
        <f>IF(ISBLANK(N154),0,R154*ROUND(O154,2))</f>
        <v>#DIV/0!</v>
      </c>
      <c r="T154" s="24" t="e">
        <f>ROUND(Q154,2)*R154</f>
        <v>#DIV/0!</v>
      </c>
      <c r="U154" s="95" t="e">
        <f>R154*dagenperjaar1</f>
        <v>#DIV/0!</v>
      </c>
      <c r="V154" s="25" t="e">
        <f>U154*ROUND(Q154,2)</f>
        <v>#DIV/0!</v>
      </c>
    </row>
    <row r="155" spans="1:22" x14ac:dyDescent="0.2">
      <c r="A155" s="92" t="s">
        <v>484</v>
      </c>
      <c r="B155" s="93" t="s">
        <v>47</v>
      </c>
      <c r="C155" s="93" t="s">
        <v>394</v>
      </c>
      <c r="D155" s="93" t="s">
        <v>413</v>
      </c>
      <c r="E155" s="94" t="s">
        <v>447</v>
      </c>
      <c r="F155" s="93" t="s">
        <v>472</v>
      </c>
      <c r="G155" s="93" t="s">
        <v>284</v>
      </c>
      <c r="H155" s="93" t="s">
        <v>13</v>
      </c>
      <c r="I155" s="93" t="s">
        <v>255</v>
      </c>
      <c r="J155" s="93" t="s">
        <v>47</v>
      </c>
      <c r="K155" s="93"/>
      <c r="L155" s="95">
        <v>32.5</v>
      </c>
      <c r="M155" s="95">
        <f>L155*VLOOKUP(H155,dagsoorttabel1,2,FALSE)</f>
        <v>25.490196078431371</v>
      </c>
      <c r="N155" s="96">
        <f>prodnorm58</f>
        <v>0</v>
      </c>
      <c r="O155" s="37">
        <f>dagwerk58</f>
        <v>0</v>
      </c>
      <c r="P155" s="93" t="s">
        <v>105</v>
      </c>
      <c r="Q155" s="24">
        <f>uurtarief58</f>
        <v>0</v>
      </c>
      <c r="R155" s="95" t="e">
        <f>IF(ISBLANK(N155),0,M155/ROUND(N155,4))</f>
        <v>#DIV/0!</v>
      </c>
      <c r="S155" s="95" t="e">
        <f>IF(ISBLANK(N155),0,R155*ROUND(O155,2))</f>
        <v>#DIV/0!</v>
      </c>
      <c r="T155" s="24" t="e">
        <f>ROUND(Q155,2)*R155</f>
        <v>#DIV/0!</v>
      </c>
      <c r="U155" s="95" t="e">
        <f>R155*dagenperjaar1</f>
        <v>#DIV/0!</v>
      </c>
      <c r="V155" s="25" t="e">
        <f>U155*ROUND(Q155,2)</f>
        <v>#DIV/0!</v>
      </c>
    </row>
    <row r="156" spans="1:22" x14ac:dyDescent="0.2">
      <c r="A156" s="92" t="s">
        <v>484</v>
      </c>
      <c r="B156" s="93" t="s">
        <v>47</v>
      </c>
      <c r="C156" s="93" t="s">
        <v>394</v>
      </c>
      <c r="D156" s="93" t="s">
        <v>416</v>
      </c>
      <c r="E156" s="94" t="s">
        <v>473</v>
      </c>
      <c r="F156" s="93" t="s">
        <v>472</v>
      </c>
      <c r="G156" s="93" t="s">
        <v>284</v>
      </c>
      <c r="H156" s="93" t="s">
        <v>13</v>
      </c>
      <c r="I156" s="93" t="s">
        <v>255</v>
      </c>
      <c r="J156" s="93" t="s">
        <v>47</v>
      </c>
      <c r="K156" s="93"/>
      <c r="L156" s="95">
        <v>3.3</v>
      </c>
      <c r="M156" s="95">
        <f>L156*VLOOKUP(H156,dagsoorttabel1,2,FALSE)</f>
        <v>2.5882352941176467</v>
      </c>
      <c r="N156" s="96">
        <f>prodnorm58</f>
        <v>0</v>
      </c>
      <c r="O156" s="37">
        <f>dagwerk58</f>
        <v>0</v>
      </c>
      <c r="P156" s="93" t="s">
        <v>105</v>
      </c>
      <c r="Q156" s="24">
        <f>uurtarief58</f>
        <v>0</v>
      </c>
      <c r="R156" s="95" t="e">
        <f>IF(ISBLANK(N156),0,M156/ROUND(N156,4))</f>
        <v>#DIV/0!</v>
      </c>
      <c r="S156" s="95" t="e">
        <f>IF(ISBLANK(N156),0,R156*ROUND(O156,2))</f>
        <v>#DIV/0!</v>
      </c>
      <c r="T156" s="24" t="e">
        <f>ROUND(Q156,2)*R156</f>
        <v>#DIV/0!</v>
      </c>
      <c r="U156" s="95" t="e">
        <f>R156*dagenperjaar1</f>
        <v>#DIV/0!</v>
      </c>
      <c r="V156" s="25" t="e">
        <f>U156*ROUND(Q156,2)</f>
        <v>#DIV/0!</v>
      </c>
    </row>
    <row r="157" spans="1:22" x14ac:dyDescent="0.2">
      <c r="A157" s="92" t="s">
        <v>484</v>
      </c>
      <c r="B157" s="93" t="s">
        <v>47</v>
      </c>
      <c r="C157" s="93" t="s">
        <v>394</v>
      </c>
      <c r="D157" s="93" t="s">
        <v>474</v>
      </c>
      <c r="E157" s="94" t="s">
        <v>396</v>
      </c>
      <c r="F157" s="93" t="s">
        <v>472</v>
      </c>
      <c r="G157" s="93" t="s">
        <v>270</v>
      </c>
      <c r="H157" s="93" t="s">
        <v>13</v>
      </c>
      <c r="I157" s="93" t="s">
        <v>255</v>
      </c>
      <c r="J157" s="93" t="s">
        <v>47</v>
      </c>
      <c r="K157" s="93"/>
      <c r="L157" s="95">
        <v>9</v>
      </c>
      <c r="M157" s="95">
        <f>L157*VLOOKUP(H157,dagsoorttabel1,2,FALSE)</f>
        <v>7.0588235294117645</v>
      </c>
      <c r="N157" s="96">
        <f>prodnorm43</f>
        <v>0</v>
      </c>
      <c r="O157" s="37">
        <f>dagwerk43</f>
        <v>0</v>
      </c>
      <c r="P157" s="93" t="s">
        <v>105</v>
      </c>
      <c r="Q157" s="24">
        <f>uurtarief43</f>
        <v>0</v>
      </c>
      <c r="R157" s="95" t="e">
        <f>IF(ISBLANK(N157),0,M157/ROUND(N157,4))</f>
        <v>#DIV/0!</v>
      </c>
      <c r="S157" s="95" t="e">
        <f>IF(ISBLANK(N157),0,R157*ROUND(O157,2))</f>
        <v>#DIV/0!</v>
      </c>
      <c r="T157" s="24" t="e">
        <f>ROUND(Q157,2)*R157</f>
        <v>#DIV/0!</v>
      </c>
      <c r="U157" s="95" t="e">
        <f>R157*dagenperjaar1</f>
        <v>#DIV/0!</v>
      </c>
      <c r="V157" s="25" t="e">
        <f>U157*ROUND(Q157,2)</f>
        <v>#DIV/0!</v>
      </c>
    </row>
    <row r="158" spans="1:22" x14ac:dyDescent="0.2">
      <c r="A158" s="97" t="s">
        <v>484</v>
      </c>
      <c r="B158" s="98" t="s">
        <v>47</v>
      </c>
      <c r="C158" s="98" t="s">
        <v>394</v>
      </c>
      <c r="D158" s="98" t="s">
        <v>475</v>
      </c>
      <c r="E158" s="99" t="s">
        <v>396</v>
      </c>
      <c r="F158" s="98" t="s">
        <v>476</v>
      </c>
      <c r="G158" s="98" t="s">
        <v>274</v>
      </c>
      <c r="H158" s="98" t="s">
        <v>13</v>
      </c>
      <c r="I158" s="98" t="s">
        <v>255</v>
      </c>
      <c r="J158" s="98" t="s">
        <v>47</v>
      </c>
      <c r="K158" s="98"/>
      <c r="L158" s="100">
        <v>9</v>
      </c>
      <c r="M158" s="100">
        <f>L158*VLOOKUP(H158,dagsoorttabel1,2,FALSE)</f>
        <v>7.0588235294117645</v>
      </c>
      <c r="N158" s="101">
        <f>prodnorm47</f>
        <v>0</v>
      </c>
      <c r="O158" s="102">
        <f>dagwerk47</f>
        <v>0</v>
      </c>
      <c r="P158" s="98" t="s">
        <v>105</v>
      </c>
      <c r="Q158" s="34">
        <f>uurtarief47</f>
        <v>0</v>
      </c>
      <c r="R158" s="100" t="e">
        <f>IF(ISBLANK(N158),0,M158/ROUND(N158,4))</f>
        <v>#DIV/0!</v>
      </c>
      <c r="S158" s="100" t="e">
        <f>IF(ISBLANK(N158),0,R158*ROUND(O158,2))</f>
        <v>#DIV/0!</v>
      </c>
      <c r="T158" s="34" t="e">
        <f>ROUND(Q158,2)*R158</f>
        <v>#DIV/0!</v>
      </c>
      <c r="U158" s="100" t="e">
        <f>R158*dagenperjaar1</f>
        <v>#DIV/0!</v>
      </c>
      <c r="V158" s="35" t="e">
        <f>U158*ROUND(Q158,2)</f>
        <v>#DIV/0!</v>
      </c>
    </row>
    <row r="159" spans="1:22" x14ac:dyDescent="0.2">
      <c r="A159" s="103" t="s">
        <v>436</v>
      </c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5" t="e">
        <f>IF(_xlfn.SINGLE(object6_urenjaar1)&gt;0,_xlfn.SINGLE(object6_prijsjaar1)/_xlfn.SINGLE(object6_urenjaar1),0)</f>
        <v>#DIV/0!</v>
      </c>
      <c r="R159" s="74" t="e">
        <f>SUM(R150:R158)</f>
        <v>#DIV/0!</v>
      </c>
      <c r="S159" s="74" t="e">
        <f>SUM(S150:S158)</f>
        <v>#DIV/0!</v>
      </c>
      <c r="T159" s="75" t="e">
        <f>SUM(T150:T158)</f>
        <v>#DIV/0!</v>
      </c>
      <c r="U159" s="74" t="e">
        <f>SUM(U150:U158)</f>
        <v>#DIV/0!</v>
      </c>
      <c r="V159" s="76" t="e">
        <f>SUM(V150:V158)</f>
        <v>#DIV/0!</v>
      </c>
    </row>
    <row r="160" spans="1:22" x14ac:dyDescent="0.2">
      <c r="A160" s="83" t="s">
        <v>485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71"/>
    </row>
    <row r="161" spans="1:22" x14ac:dyDescent="0.2">
      <c r="A161" s="84" t="s">
        <v>486</v>
      </c>
      <c r="B161" s="85" t="s">
        <v>47</v>
      </c>
      <c r="C161" s="85" t="s">
        <v>394</v>
      </c>
      <c r="D161" s="85" t="s">
        <v>487</v>
      </c>
      <c r="E161" s="86" t="s">
        <v>396</v>
      </c>
      <c r="F161" s="85" t="s">
        <v>476</v>
      </c>
      <c r="G161" s="85" t="s">
        <v>274</v>
      </c>
      <c r="H161" s="85" t="s">
        <v>13</v>
      </c>
      <c r="I161" s="85" t="s">
        <v>255</v>
      </c>
      <c r="J161" s="85" t="s">
        <v>47</v>
      </c>
      <c r="K161" s="85"/>
      <c r="L161" s="87">
        <v>7</v>
      </c>
      <c r="M161" s="87">
        <f>L161*VLOOKUP(H161,dagsoorttabel1,2,FALSE)</f>
        <v>5.4901960784313726</v>
      </c>
      <c r="N161" s="88">
        <f>prodnorm47</f>
        <v>0</v>
      </c>
      <c r="O161" s="89">
        <f>dagwerk47</f>
        <v>0</v>
      </c>
      <c r="P161" s="85" t="s">
        <v>105</v>
      </c>
      <c r="Q161" s="90">
        <f>uurtarief47</f>
        <v>0</v>
      </c>
      <c r="R161" s="87" t="e">
        <f>IF(ISBLANK(N161),0,M161/ROUND(N161,4))</f>
        <v>#DIV/0!</v>
      </c>
      <c r="S161" s="87" t="e">
        <f>IF(ISBLANK(N161),0,R161*ROUND(O161,2))</f>
        <v>#DIV/0!</v>
      </c>
      <c r="T161" s="90" t="e">
        <f>ROUND(Q161,2)*R161</f>
        <v>#DIV/0!</v>
      </c>
      <c r="U161" s="87" t="e">
        <f>R161*dagenperjaar1</f>
        <v>#DIV/0!</v>
      </c>
      <c r="V161" s="91" t="e">
        <f>U161*ROUND(Q161,2)</f>
        <v>#DIV/0!</v>
      </c>
    </row>
    <row r="162" spans="1:22" x14ac:dyDescent="0.2">
      <c r="A162" s="92" t="s">
        <v>486</v>
      </c>
      <c r="B162" s="93" t="s">
        <v>47</v>
      </c>
      <c r="C162" s="93" t="s">
        <v>394</v>
      </c>
      <c r="D162" s="93" t="s">
        <v>487</v>
      </c>
      <c r="E162" s="94" t="s">
        <v>396</v>
      </c>
      <c r="F162" s="93" t="s">
        <v>476</v>
      </c>
      <c r="G162" s="93" t="s">
        <v>276</v>
      </c>
      <c r="H162" s="93" t="s">
        <v>13</v>
      </c>
      <c r="I162" s="93" t="s">
        <v>255</v>
      </c>
      <c r="J162" s="93" t="s">
        <v>47</v>
      </c>
      <c r="K162" s="93"/>
      <c r="L162" s="95">
        <v>7</v>
      </c>
      <c r="M162" s="95">
        <f>L162*VLOOKUP(H162,dagsoorttabel1,2,FALSE)</f>
        <v>5.4901960784313726</v>
      </c>
      <c r="N162" s="96">
        <f>prodnorm50</f>
        <v>0</v>
      </c>
      <c r="O162" s="37">
        <f>dagwerk50</f>
        <v>0</v>
      </c>
      <c r="P162" s="93" t="s">
        <v>105</v>
      </c>
      <c r="Q162" s="24">
        <f>uurtarief50</f>
        <v>0</v>
      </c>
      <c r="R162" s="95" t="e">
        <f>IF(ISBLANK(N162),0,M162/ROUND(N162,4))</f>
        <v>#DIV/0!</v>
      </c>
      <c r="S162" s="95" t="e">
        <f>IF(ISBLANK(N162),0,R162*ROUND(O162,2))</f>
        <v>#DIV/0!</v>
      </c>
      <c r="T162" s="24" t="e">
        <f>ROUND(Q162,2)*R162</f>
        <v>#DIV/0!</v>
      </c>
      <c r="U162" s="95" t="e">
        <f>R162*dagenperjaar1</f>
        <v>#DIV/0!</v>
      </c>
      <c r="V162" s="25" t="e">
        <f>U162*ROUND(Q162,2)</f>
        <v>#DIV/0!</v>
      </c>
    </row>
    <row r="163" spans="1:22" x14ac:dyDescent="0.2">
      <c r="A163" s="92" t="s">
        <v>486</v>
      </c>
      <c r="B163" s="93" t="s">
        <v>47</v>
      </c>
      <c r="C163" s="93" t="s">
        <v>394</v>
      </c>
      <c r="D163" s="93" t="s">
        <v>488</v>
      </c>
      <c r="E163" s="94" t="s">
        <v>396</v>
      </c>
      <c r="F163" s="93" t="s">
        <v>442</v>
      </c>
      <c r="G163" s="93" t="s">
        <v>270</v>
      </c>
      <c r="H163" s="93" t="s">
        <v>13</v>
      </c>
      <c r="I163" s="93" t="s">
        <v>255</v>
      </c>
      <c r="J163" s="93" t="s">
        <v>47</v>
      </c>
      <c r="K163" s="93"/>
      <c r="L163" s="95">
        <v>14.09</v>
      </c>
      <c r="M163" s="95">
        <f>L163*VLOOKUP(H163,dagsoorttabel1,2,FALSE)</f>
        <v>11.050980392156863</v>
      </c>
      <c r="N163" s="96">
        <f>prodnorm43</f>
        <v>0</v>
      </c>
      <c r="O163" s="37">
        <f>dagwerk43</f>
        <v>0</v>
      </c>
      <c r="P163" s="93" t="s">
        <v>105</v>
      </c>
      <c r="Q163" s="24">
        <f>uurtarief43</f>
        <v>0</v>
      </c>
      <c r="R163" s="95" t="e">
        <f>IF(ISBLANK(N163),0,M163/ROUND(N163,4))</f>
        <v>#DIV/0!</v>
      </c>
      <c r="S163" s="95" t="e">
        <f>IF(ISBLANK(N163),0,R163*ROUND(O163,2))</f>
        <v>#DIV/0!</v>
      </c>
      <c r="T163" s="24" t="e">
        <f>ROUND(Q163,2)*R163</f>
        <v>#DIV/0!</v>
      </c>
      <c r="U163" s="95" t="e">
        <f>R163*dagenperjaar1</f>
        <v>#DIV/0!</v>
      </c>
      <c r="V163" s="25" t="e">
        <f>U163*ROUND(Q163,2)</f>
        <v>#DIV/0!</v>
      </c>
    </row>
    <row r="164" spans="1:22" x14ac:dyDescent="0.2">
      <c r="A164" s="92" t="s">
        <v>486</v>
      </c>
      <c r="B164" s="93" t="s">
        <v>47</v>
      </c>
      <c r="C164" s="93" t="s">
        <v>394</v>
      </c>
      <c r="D164" s="93" t="s">
        <v>488</v>
      </c>
      <c r="E164" s="94" t="s">
        <v>396</v>
      </c>
      <c r="F164" s="93" t="s">
        <v>442</v>
      </c>
      <c r="G164" s="93" t="s">
        <v>272</v>
      </c>
      <c r="H164" s="93" t="s">
        <v>13</v>
      </c>
      <c r="I164" s="93" t="s">
        <v>255</v>
      </c>
      <c r="J164" s="93" t="s">
        <v>47</v>
      </c>
      <c r="K164" s="93"/>
      <c r="L164" s="95">
        <v>14.09</v>
      </c>
      <c r="M164" s="95">
        <f>L164*VLOOKUP(H164,dagsoorttabel1,2,FALSE)</f>
        <v>11.050980392156863</v>
      </c>
      <c r="N164" s="96">
        <f>prodnorm45</f>
        <v>0</v>
      </c>
      <c r="O164" s="37">
        <f>dagwerk45</f>
        <v>0</v>
      </c>
      <c r="P164" s="93" t="s">
        <v>105</v>
      </c>
      <c r="Q164" s="24">
        <f>uurtarief45</f>
        <v>0</v>
      </c>
      <c r="R164" s="95" t="e">
        <f>IF(ISBLANK(N164),0,M164/ROUND(N164,4))</f>
        <v>#DIV/0!</v>
      </c>
      <c r="S164" s="95" t="e">
        <f>IF(ISBLANK(N164),0,R164*ROUND(O164,2))</f>
        <v>#DIV/0!</v>
      </c>
      <c r="T164" s="24" t="e">
        <f>ROUND(Q164,2)*R164</f>
        <v>#DIV/0!</v>
      </c>
      <c r="U164" s="95" t="e">
        <f>R164*dagenperjaar1</f>
        <v>#DIV/0!</v>
      </c>
      <c r="V164" s="25" t="e">
        <f>U164*ROUND(Q164,2)</f>
        <v>#DIV/0!</v>
      </c>
    </row>
    <row r="165" spans="1:22" x14ac:dyDescent="0.2">
      <c r="A165" s="92" t="s">
        <v>486</v>
      </c>
      <c r="B165" s="93" t="s">
        <v>47</v>
      </c>
      <c r="C165" s="93" t="s">
        <v>394</v>
      </c>
      <c r="D165" s="93" t="s">
        <v>398</v>
      </c>
      <c r="E165" s="94" t="s">
        <v>489</v>
      </c>
      <c r="F165" s="93" t="s">
        <v>442</v>
      </c>
      <c r="G165" s="93" t="s">
        <v>314</v>
      </c>
      <c r="H165" s="93" t="s">
        <v>13</v>
      </c>
      <c r="I165" s="93" t="s">
        <v>255</v>
      </c>
      <c r="J165" s="93" t="s">
        <v>47</v>
      </c>
      <c r="K165" s="93"/>
      <c r="L165" s="95">
        <v>12.82</v>
      </c>
      <c r="M165" s="95">
        <f>L165*VLOOKUP(H165,dagsoorttabel1,2,FALSE)</f>
        <v>10.054901960784314</v>
      </c>
      <c r="N165" s="96">
        <f>prodnorm88</f>
        <v>0</v>
      </c>
      <c r="O165" s="37">
        <f>dagwerk88</f>
        <v>0</v>
      </c>
      <c r="P165" s="93" t="s">
        <v>105</v>
      </c>
      <c r="Q165" s="24">
        <f>uurtarief88</f>
        <v>0</v>
      </c>
      <c r="R165" s="95" t="e">
        <f>IF(ISBLANK(N165),0,M165/ROUND(N165,4))</f>
        <v>#DIV/0!</v>
      </c>
      <c r="S165" s="95" t="e">
        <f>IF(ISBLANK(N165),0,R165*ROUND(O165,2))</f>
        <v>#DIV/0!</v>
      </c>
      <c r="T165" s="24" t="e">
        <f>ROUND(Q165,2)*R165</f>
        <v>#DIV/0!</v>
      </c>
      <c r="U165" s="95" t="e">
        <f>R165*dagenperjaar1</f>
        <v>#DIV/0!</v>
      </c>
      <c r="V165" s="25" t="e">
        <f>U165*ROUND(Q165,2)</f>
        <v>#DIV/0!</v>
      </c>
    </row>
    <row r="166" spans="1:22" x14ac:dyDescent="0.2">
      <c r="A166" s="92" t="s">
        <v>486</v>
      </c>
      <c r="B166" s="93" t="s">
        <v>47</v>
      </c>
      <c r="C166" s="93" t="s">
        <v>394</v>
      </c>
      <c r="D166" s="93" t="s">
        <v>398</v>
      </c>
      <c r="E166" s="94" t="s">
        <v>489</v>
      </c>
      <c r="F166" s="93" t="s">
        <v>442</v>
      </c>
      <c r="G166" s="93" t="s">
        <v>316</v>
      </c>
      <c r="H166" s="93" t="s">
        <v>13</v>
      </c>
      <c r="I166" s="93" t="s">
        <v>255</v>
      </c>
      <c r="J166" s="93" t="s">
        <v>47</v>
      </c>
      <c r="K166" s="93"/>
      <c r="L166" s="95">
        <v>12.82</v>
      </c>
      <c r="M166" s="95">
        <f>L166*VLOOKUP(H166,dagsoorttabel1,2,FALSE)</f>
        <v>10.054901960784314</v>
      </c>
      <c r="N166" s="96">
        <f>prodnorm93</f>
        <v>0</v>
      </c>
      <c r="O166" s="37">
        <f>dagwerk93</f>
        <v>0</v>
      </c>
      <c r="P166" s="93" t="s">
        <v>105</v>
      </c>
      <c r="Q166" s="24">
        <f>uurtarief93</f>
        <v>0</v>
      </c>
      <c r="R166" s="95" t="e">
        <f>IF(ISBLANK(N166),0,M166/ROUND(N166,4))</f>
        <v>#DIV/0!</v>
      </c>
      <c r="S166" s="95" t="e">
        <f>IF(ISBLANK(N166),0,R166*ROUND(O166,2))</f>
        <v>#DIV/0!</v>
      </c>
      <c r="T166" s="24" t="e">
        <f>ROUND(Q166,2)*R166</f>
        <v>#DIV/0!</v>
      </c>
      <c r="U166" s="95" t="e">
        <f>R166*dagenperjaar1</f>
        <v>#DIV/0!</v>
      </c>
      <c r="V166" s="25" t="e">
        <f>U166*ROUND(Q166,2)</f>
        <v>#DIV/0!</v>
      </c>
    </row>
    <row r="167" spans="1:22" x14ac:dyDescent="0.2">
      <c r="A167" s="92" t="s">
        <v>486</v>
      </c>
      <c r="B167" s="93" t="s">
        <v>47</v>
      </c>
      <c r="C167" s="93" t="s">
        <v>394</v>
      </c>
      <c r="D167" s="93" t="s">
        <v>400</v>
      </c>
      <c r="E167" s="94" t="s">
        <v>490</v>
      </c>
      <c r="F167" s="93" t="s">
        <v>442</v>
      </c>
      <c r="G167" s="93" t="s">
        <v>304</v>
      </c>
      <c r="H167" s="93" t="s">
        <v>13</v>
      </c>
      <c r="I167" s="93" t="s">
        <v>255</v>
      </c>
      <c r="J167" s="93" t="s">
        <v>47</v>
      </c>
      <c r="K167" s="93"/>
      <c r="L167" s="95">
        <v>2.2000000000000002</v>
      </c>
      <c r="M167" s="95">
        <f>L167*VLOOKUP(H167,dagsoorttabel1,2,FALSE)</f>
        <v>1.7254901960784315</v>
      </c>
      <c r="N167" s="96">
        <f>prodnorm74</f>
        <v>0</v>
      </c>
      <c r="O167" s="37">
        <f>dagwerk74</f>
        <v>0</v>
      </c>
      <c r="P167" s="93" t="s">
        <v>105</v>
      </c>
      <c r="Q167" s="24">
        <f>uurtarief74</f>
        <v>0</v>
      </c>
      <c r="R167" s="95" t="e">
        <f>IF(ISBLANK(N167),0,M167/ROUND(N167,4))</f>
        <v>#DIV/0!</v>
      </c>
      <c r="S167" s="95" t="e">
        <f>IF(ISBLANK(N167),0,R167*ROUND(O167,2))</f>
        <v>#DIV/0!</v>
      </c>
      <c r="T167" s="24" t="e">
        <f>ROUND(Q167,2)*R167</f>
        <v>#DIV/0!</v>
      </c>
      <c r="U167" s="95" t="e">
        <f>R167*dagenperjaar1</f>
        <v>#DIV/0!</v>
      </c>
      <c r="V167" s="25" t="e">
        <f>U167*ROUND(Q167,2)</f>
        <v>#DIV/0!</v>
      </c>
    </row>
    <row r="168" spans="1:22" x14ac:dyDescent="0.2">
      <c r="A168" s="92" t="s">
        <v>486</v>
      </c>
      <c r="B168" s="93" t="s">
        <v>47</v>
      </c>
      <c r="C168" s="93" t="s">
        <v>394</v>
      </c>
      <c r="D168" s="93" t="s">
        <v>400</v>
      </c>
      <c r="E168" s="94" t="s">
        <v>490</v>
      </c>
      <c r="F168" s="93" t="s">
        <v>442</v>
      </c>
      <c r="G168" s="93" t="s">
        <v>306</v>
      </c>
      <c r="H168" s="93" t="s">
        <v>13</v>
      </c>
      <c r="I168" s="93" t="s">
        <v>255</v>
      </c>
      <c r="J168" s="93" t="s">
        <v>47</v>
      </c>
      <c r="K168" s="93"/>
      <c r="L168" s="95">
        <v>2.2000000000000002</v>
      </c>
      <c r="M168" s="95">
        <f>L168*VLOOKUP(H168,dagsoorttabel1,2,FALSE)</f>
        <v>1.7254901960784315</v>
      </c>
      <c r="N168" s="96">
        <f>prodnorm78</f>
        <v>0</v>
      </c>
      <c r="O168" s="37">
        <f>dagwerk78</f>
        <v>0</v>
      </c>
      <c r="P168" s="93" t="s">
        <v>105</v>
      </c>
      <c r="Q168" s="24">
        <f>uurtarief78</f>
        <v>0</v>
      </c>
      <c r="R168" s="95" t="e">
        <f>IF(ISBLANK(N168),0,M168/ROUND(N168,4))</f>
        <v>#DIV/0!</v>
      </c>
      <c r="S168" s="95" t="e">
        <f>IF(ISBLANK(N168),0,R168*ROUND(O168,2))</f>
        <v>#DIV/0!</v>
      </c>
      <c r="T168" s="24" t="e">
        <f>ROUND(Q168,2)*R168</f>
        <v>#DIV/0!</v>
      </c>
      <c r="U168" s="95" t="e">
        <f>R168*dagenperjaar1</f>
        <v>#DIV/0!</v>
      </c>
      <c r="V168" s="25" t="e">
        <f>U168*ROUND(Q168,2)</f>
        <v>#DIV/0!</v>
      </c>
    </row>
    <row r="169" spans="1:22" ht="25.2" x14ac:dyDescent="0.2">
      <c r="A169" s="92" t="s">
        <v>486</v>
      </c>
      <c r="B169" s="93" t="s">
        <v>47</v>
      </c>
      <c r="C169" s="93" t="s">
        <v>394</v>
      </c>
      <c r="D169" s="93" t="s">
        <v>402</v>
      </c>
      <c r="E169" s="94" t="s">
        <v>491</v>
      </c>
      <c r="F169" s="93" t="s">
        <v>442</v>
      </c>
      <c r="G169" s="93" t="s">
        <v>304</v>
      </c>
      <c r="H169" s="93" t="s">
        <v>13</v>
      </c>
      <c r="I169" s="93" t="s">
        <v>255</v>
      </c>
      <c r="J169" s="93" t="s">
        <v>47</v>
      </c>
      <c r="K169" s="93"/>
      <c r="L169" s="95">
        <v>4.5</v>
      </c>
      <c r="M169" s="95">
        <f>L169*VLOOKUP(H169,dagsoorttabel1,2,FALSE)</f>
        <v>3.5294117647058822</v>
      </c>
      <c r="N169" s="96">
        <f>prodnorm74</f>
        <v>0</v>
      </c>
      <c r="O169" s="37">
        <f>dagwerk74</f>
        <v>0</v>
      </c>
      <c r="P169" s="93" t="s">
        <v>105</v>
      </c>
      <c r="Q169" s="24">
        <f>uurtarief74</f>
        <v>0</v>
      </c>
      <c r="R169" s="95" t="e">
        <f>IF(ISBLANK(N169),0,M169/ROUND(N169,4))</f>
        <v>#DIV/0!</v>
      </c>
      <c r="S169" s="95" t="e">
        <f>IF(ISBLANK(N169),0,R169*ROUND(O169,2))</f>
        <v>#DIV/0!</v>
      </c>
      <c r="T169" s="24" t="e">
        <f>ROUND(Q169,2)*R169</f>
        <v>#DIV/0!</v>
      </c>
      <c r="U169" s="95" t="e">
        <f>R169*dagenperjaar1</f>
        <v>#DIV/0!</v>
      </c>
      <c r="V169" s="25" t="e">
        <f>U169*ROUND(Q169,2)</f>
        <v>#DIV/0!</v>
      </c>
    </row>
    <row r="170" spans="1:22" ht="25.2" x14ac:dyDescent="0.2">
      <c r="A170" s="92" t="s">
        <v>486</v>
      </c>
      <c r="B170" s="93" t="s">
        <v>47</v>
      </c>
      <c r="C170" s="93" t="s">
        <v>394</v>
      </c>
      <c r="D170" s="93" t="s">
        <v>402</v>
      </c>
      <c r="E170" s="94" t="s">
        <v>491</v>
      </c>
      <c r="F170" s="93" t="s">
        <v>442</v>
      </c>
      <c r="G170" s="93" t="s">
        <v>306</v>
      </c>
      <c r="H170" s="93" t="s">
        <v>13</v>
      </c>
      <c r="I170" s="93" t="s">
        <v>255</v>
      </c>
      <c r="J170" s="93" t="s">
        <v>47</v>
      </c>
      <c r="K170" s="93"/>
      <c r="L170" s="95">
        <v>4.5</v>
      </c>
      <c r="M170" s="95">
        <f>L170*VLOOKUP(H170,dagsoorttabel1,2,FALSE)</f>
        <v>3.5294117647058822</v>
      </c>
      <c r="N170" s="96">
        <f>prodnorm78</f>
        <v>0</v>
      </c>
      <c r="O170" s="37">
        <f>dagwerk78</f>
        <v>0</v>
      </c>
      <c r="P170" s="93" t="s">
        <v>105</v>
      </c>
      <c r="Q170" s="24">
        <f>uurtarief78</f>
        <v>0</v>
      </c>
      <c r="R170" s="95" t="e">
        <f>IF(ISBLANK(N170),0,M170/ROUND(N170,4))</f>
        <v>#DIV/0!</v>
      </c>
      <c r="S170" s="95" t="e">
        <f>IF(ISBLANK(N170),0,R170*ROUND(O170,2))</f>
        <v>#DIV/0!</v>
      </c>
      <c r="T170" s="24" t="e">
        <f>ROUND(Q170,2)*R170</f>
        <v>#DIV/0!</v>
      </c>
      <c r="U170" s="95" t="e">
        <f>R170*dagenperjaar1</f>
        <v>#DIV/0!</v>
      </c>
      <c r="V170" s="25" t="e">
        <f>U170*ROUND(Q170,2)</f>
        <v>#DIV/0!</v>
      </c>
    </row>
    <row r="171" spans="1:22" x14ac:dyDescent="0.2">
      <c r="A171" s="92" t="s">
        <v>486</v>
      </c>
      <c r="B171" s="93" t="s">
        <v>47</v>
      </c>
      <c r="C171" s="93" t="s">
        <v>394</v>
      </c>
      <c r="D171" s="93" t="s">
        <v>404</v>
      </c>
      <c r="E171" s="94" t="s">
        <v>492</v>
      </c>
      <c r="F171" s="93" t="s">
        <v>442</v>
      </c>
      <c r="G171" s="93" t="s">
        <v>304</v>
      </c>
      <c r="H171" s="93" t="s">
        <v>13</v>
      </c>
      <c r="I171" s="93" t="s">
        <v>255</v>
      </c>
      <c r="J171" s="93" t="s">
        <v>47</v>
      </c>
      <c r="K171" s="93"/>
      <c r="L171" s="95">
        <v>3.2</v>
      </c>
      <c r="M171" s="95">
        <f>L171*VLOOKUP(H171,dagsoorttabel1,2,FALSE)</f>
        <v>2.5098039215686274</v>
      </c>
      <c r="N171" s="96">
        <f>prodnorm74</f>
        <v>0</v>
      </c>
      <c r="O171" s="37">
        <f>dagwerk74</f>
        <v>0</v>
      </c>
      <c r="P171" s="93" t="s">
        <v>105</v>
      </c>
      <c r="Q171" s="24">
        <f>uurtarief74</f>
        <v>0</v>
      </c>
      <c r="R171" s="95" t="e">
        <f>IF(ISBLANK(N171),0,M171/ROUND(N171,4))</f>
        <v>#DIV/0!</v>
      </c>
      <c r="S171" s="95" t="e">
        <f>IF(ISBLANK(N171),0,R171*ROUND(O171,2))</f>
        <v>#DIV/0!</v>
      </c>
      <c r="T171" s="24" t="e">
        <f>ROUND(Q171,2)*R171</f>
        <v>#DIV/0!</v>
      </c>
      <c r="U171" s="95" t="e">
        <f>R171*dagenperjaar1</f>
        <v>#DIV/0!</v>
      </c>
      <c r="V171" s="25" t="e">
        <f>U171*ROUND(Q171,2)</f>
        <v>#DIV/0!</v>
      </c>
    </row>
    <row r="172" spans="1:22" ht="25.2" x14ac:dyDescent="0.2">
      <c r="A172" s="92" t="s">
        <v>486</v>
      </c>
      <c r="B172" s="93" t="s">
        <v>47</v>
      </c>
      <c r="C172" s="93" t="s">
        <v>394</v>
      </c>
      <c r="D172" s="93" t="s">
        <v>406</v>
      </c>
      <c r="E172" s="94" t="s">
        <v>493</v>
      </c>
      <c r="F172" s="93" t="s">
        <v>442</v>
      </c>
      <c r="G172" s="93" t="s">
        <v>304</v>
      </c>
      <c r="H172" s="93" t="s">
        <v>13</v>
      </c>
      <c r="I172" s="93" t="s">
        <v>255</v>
      </c>
      <c r="J172" s="93" t="s">
        <v>47</v>
      </c>
      <c r="K172" s="93"/>
      <c r="L172" s="95">
        <v>4.5</v>
      </c>
      <c r="M172" s="95">
        <f>L172*VLOOKUP(H172,dagsoorttabel1,2,FALSE)</f>
        <v>3.5294117647058822</v>
      </c>
      <c r="N172" s="96">
        <f>prodnorm74</f>
        <v>0</v>
      </c>
      <c r="O172" s="37">
        <f>dagwerk74</f>
        <v>0</v>
      </c>
      <c r="P172" s="93" t="s">
        <v>105</v>
      </c>
      <c r="Q172" s="24">
        <f>uurtarief74</f>
        <v>0</v>
      </c>
      <c r="R172" s="95" t="e">
        <f>IF(ISBLANK(N172),0,M172/ROUND(N172,4))</f>
        <v>#DIV/0!</v>
      </c>
      <c r="S172" s="95" t="e">
        <f>IF(ISBLANK(N172),0,R172*ROUND(O172,2))</f>
        <v>#DIV/0!</v>
      </c>
      <c r="T172" s="24" t="e">
        <f>ROUND(Q172,2)*R172</f>
        <v>#DIV/0!</v>
      </c>
      <c r="U172" s="95" t="e">
        <f>R172*dagenperjaar1</f>
        <v>#DIV/0!</v>
      </c>
      <c r="V172" s="25" t="e">
        <f>U172*ROUND(Q172,2)</f>
        <v>#DIV/0!</v>
      </c>
    </row>
    <row r="173" spans="1:22" ht="25.2" x14ac:dyDescent="0.2">
      <c r="A173" s="92" t="s">
        <v>486</v>
      </c>
      <c r="B173" s="93" t="s">
        <v>47</v>
      </c>
      <c r="C173" s="93" t="s">
        <v>394</v>
      </c>
      <c r="D173" s="93" t="s">
        <v>406</v>
      </c>
      <c r="E173" s="94" t="s">
        <v>493</v>
      </c>
      <c r="F173" s="93" t="s">
        <v>442</v>
      </c>
      <c r="G173" s="93" t="s">
        <v>306</v>
      </c>
      <c r="H173" s="93" t="s">
        <v>13</v>
      </c>
      <c r="I173" s="93" t="s">
        <v>255</v>
      </c>
      <c r="J173" s="93" t="s">
        <v>47</v>
      </c>
      <c r="K173" s="93"/>
      <c r="L173" s="95">
        <v>4.5</v>
      </c>
      <c r="M173" s="95">
        <f>L173*VLOOKUP(H173,dagsoorttabel1,2,FALSE)</f>
        <v>3.5294117647058822</v>
      </c>
      <c r="N173" s="96">
        <f>prodnorm78</f>
        <v>0</v>
      </c>
      <c r="O173" s="37">
        <f>dagwerk78</f>
        <v>0</v>
      </c>
      <c r="P173" s="93" t="s">
        <v>105</v>
      </c>
      <c r="Q173" s="24">
        <f>uurtarief78</f>
        <v>0</v>
      </c>
      <c r="R173" s="95" t="e">
        <f>IF(ISBLANK(N173),0,M173/ROUND(N173,4))</f>
        <v>#DIV/0!</v>
      </c>
      <c r="S173" s="95" t="e">
        <f>IF(ISBLANK(N173),0,R173*ROUND(O173,2))</f>
        <v>#DIV/0!</v>
      </c>
      <c r="T173" s="24" t="e">
        <f>ROUND(Q173,2)*R173</f>
        <v>#DIV/0!</v>
      </c>
      <c r="U173" s="95" t="e">
        <f>R173*dagenperjaar1</f>
        <v>#DIV/0!</v>
      </c>
      <c r="V173" s="25" t="e">
        <f>U173*ROUND(Q173,2)</f>
        <v>#DIV/0!</v>
      </c>
    </row>
    <row r="174" spans="1:22" ht="25.2" x14ac:dyDescent="0.2">
      <c r="A174" s="92" t="s">
        <v>486</v>
      </c>
      <c r="B174" s="93" t="s">
        <v>47</v>
      </c>
      <c r="C174" s="93" t="s">
        <v>394</v>
      </c>
      <c r="D174" s="93" t="s">
        <v>409</v>
      </c>
      <c r="E174" s="94" t="s">
        <v>494</v>
      </c>
      <c r="F174" s="93" t="s">
        <v>442</v>
      </c>
      <c r="G174" s="93" t="s">
        <v>304</v>
      </c>
      <c r="H174" s="93" t="s">
        <v>13</v>
      </c>
      <c r="I174" s="93" t="s">
        <v>255</v>
      </c>
      <c r="J174" s="93" t="s">
        <v>47</v>
      </c>
      <c r="K174" s="93"/>
      <c r="L174" s="95">
        <v>6.25</v>
      </c>
      <c r="M174" s="95">
        <f>L174*VLOOKUP(H174,dagsoorttabel1,2,FALSE)</f>
        <v>4.9019607843137258</v>
      </c>
      <c r="N174" s="96">
        <f>prodnorm74</f>
        <v>0</v>
      </c>
      <c r="O174" s="37">
        <f>dagwerk74</f>
        <v>0</v>
      </c>
      <c r="P174" s="93" t="s">
        <v>105</v>
      </c>
      <c r="Q174" s="24">
        <f>uurtarief74</f>
        <v>0</v>
      </c>
      <c r="R174" s="95" t="e">
        <f>IF(ISBLANK(N174),0,M174/ROUND(N174,4))</f>
        <v>#DIV/0!</v>
      </c>
      <c r="S174" s="95" t="e">
        <f>IF(ISBLANK(N174),0,R174*ROUND(O174,2))</f>
        <v>#DIV/0!</v>
      </c>
      <c r="T174" s="24" t="e">
        <f>ROUND(Q174,2)*R174</f>
        <v>#DIV/0!</v>
      </c>
      <c r="U174" s="95" t="e">
        <f>R174*dagenperjaar1</f>
        <v>#DIV/0!</v>
      </c>
      <c r="V174" s="25" t="e">
        <f>U174*ROUND(Q174,2)</f>
        <v>#DIV/0!</v>
      </c>
    </row>
    <row r="175" spans="1:22" ht="25.2" x14ac:dyDescent="0.2">
      <c r="A175" s="92" t="s">
        <v>486</v>
      </c>
      <c r="B175" s="93" t="s">
        <v>47</v>
      </c>
      <c r="C175" s="93" t="s">
        <v>394</v>
      </c>
      <c r="D175" s="93" t="s">
        <v>409</v>
      </c>
      <c r="E175" s="94" t="s">
        <v>494</v>
      </c>
      <c r="F175" s="93" t="s">
        <v>442</v>
      </c>
      <c r="G175" s="93" t="s">
        <v>306</v>
      </c>
      <c r="H175" s="93" t="s">
        <v>13</v>
      </c>
      <c r="I175" s="93" t="s">
        <v>255</v>
      </c>
      <c r="J175" s="93" t="s">
        <v>47</v>
      </c>
      <c r="K175" s="93"/>
      <c r="L175" s="95">
        <v>6.25</v>
      </c>
      <c r="M175" s="95">
        <f>L175*VLOOKUP(H175,dagsoorttabel1,2,FALSE)</f>
        <v>4.9019607843137258</v>
      </c>
      <c r="N175" s="96">
        <f>prodnorm78</f>
        <v>0</v>
      </c>
      <c r="O175" s="37">
        <f>dagwerk78</f>
        <v>0</v>
      </c>
      <c r="P175" s="93" t="s">
        <v>105</v>
      </c>
      <c r="Q175" s="24">
        <f>uurtarief78</f>
        <v>0</v>
      </c>
      <c r="R175" s="95" t="e">
        <f>IF(ISBLANK(N175),0,M175/ROUND(N175,4))</f>
        <v>#DIV/0!</v>
      </c>
      <c r="S175" s="95" t="e">
        <f>IF(ISBLANK(N175),0,R175*ROUND(O175,2))</f>
        <v>#DIV/0!</v>
      </c>
      <c r="T175" s="24" t="e">
        <f>ROUND(Q175,2)*R175</f>
        <v>#DIV/0!</v>
      </c>
      <c r="U175" s="95" t="e">
        <f>R175*dagenperjaar1</f>
        <v>#DIV/0!</v>
      </c>
      <c r="V175" s="25" t="e">
        <f>U175*ROUND(Q175,2)</f>
        <v>#DIV/0!</v>
      </c>
    </row>
    <row r="176" spans="1:22" x14ac:dyDescent="0.2">
      <c r="A176" s="92" t="s">
        <v>486</v>
      </c>
      <c r="B176" s="93" t="s">
        <v>47</v>
      </c>
      <c r="C176" s="93" t="s">
        <v>394</v>
      </c>
      <c r="D176" s="93" t="s">
        <v>411</v>
      </c>
      <c r="E176" s="94" t="s">
        <v>495</v>
      </c>
      <c r="F176" s="93" t="s">
        <v>496</v>
      </c>
      <c r="G176" s="93" t="s">
        <v>263</v>
      </c>
      <c r="H176" s="93" t="s">
        <v>22</v>
      </c>
      <c r="I176" s="93" t="s">
        <v>255</v>
      </c>
      <c r="J176" s="93" t="s">
        <v>47</v>
      </c>
      <c r="K176" s="93"/>
      <c r="L176" s="95">
        <v>8.129999999999999</v>
      </c>
      <c r="M176" s="95">
        <f>L176*VLOOKUP(H176,dagsoorttabel1,2,FALSE)</f>
        <v>1.2752941176470587</v>
      </c>
      <c r="N176" s="96">
        <f>prodnorm38</f>
        <v>0</v>
      </c>
      <c r="O176" s="37">
        <f>dagwerk38</f>
        <v>0</v>
      </c>
      <c r="P176" s="93" t="s">
        <v>105</v>
      </c>
      <c r="Q176" s="24">
        <f>uurtarief38</f>
        <v>0</v>
      </c>
      <c r="R176" s="95" t="e">
        <f>IF(ISBLANK(N176),0,M176/ROUND(N176,4))</f>
        <v>#DIV/0!</v>
      </c>
      <c r="S176" s="95" t="e">
        <f>IF(ISBLANK(N176),0,R176*ROUND(O176,2))</f>
        <v>#DIV/0!</v>
      </c>
      <c r="T176" s="24" t="e">
        <f>ROUND(Q176,2)*R176</f>
        <v>#DIV/0!</v>
      </c>
      <c r="U176" s="95" t="e">
        <f>R176*dagenperjaar1</f>
        <v>#DIV/0!</v>
      </c>
      <c r="V176" s="25" t="e">
        <f>U176*ROUND(Q176,2)</f>
        <v>#DIV/0!</v>
      </c>
    </row>
    <row r="177" spans="1:22" x14ac:dyDescent="0.2">
      <c r="A177" s="92" t="s">
        <v>486</v>
      </c>
      <c r="B177" s="93" t="s">
        <v>47</v>
      </c>
      <c r="C177" s="93" t="s">
        <v>394</v>
      </c>
      <c r="D177" s="93" t="s">
        <v>413</v>
      </c>
      <c r="E177" s="94" t="s">
        <v>403</v>
      </c>
      <c r="F177" s="93" t="s">
        <v>442</v>
      </c>
      <c r="G177" s="93" t="s">
        <v>314</v>
      </c>
      <c r="H177" s="93" t="s">
        <v>13</v>
      </c>
      <c r="I177" s="93" t="s">
        <v>255</v>
      </c>
      <c r="J177" s="93" t="s">
        <v>47</v>
      </c>
      <c r="K177" s="93"/>
      <c r="L177" s="95">
        <v>27.6</v>
      </c>
      <c r="M177" s="95">
        <f>L177*VLOOKUP(H177,dagsoorttabel1,2,FALSE)</f>
        <v>21.647058823529413</v>
      </c>
      <c r="N177" s="96">
        <f>prodnorm88</f>
        <v>0</v>
      </c>
      <c r="O177" s="37">
        <f>dagwerk88</f>
        <v>0</v>
      </c>
      <c r="P177" s="93" t="s">
        <v>105</v>
      </c>
      <c r="Q177" s="24">
        <f>uurtarief88</f>
        <v>0</v>
      </c>
      <c r="R177" s="95" t="e">
        <f>IF(ISBLANK(N177),0,M177/ROUND(N177,4))</f>
        <v>#DIV/0!</v>
      </c>
      <c r="S177" s="95" t="e">
        <f>IF(ISBLANK(N177),0,R177*ROUND(O177,2))</f>
        <v>#DIV/0!</v>
      </c>
      <c r="T177" s="24" t="e">
        <f>ROUND(Q177,2)*R177</f>
        <v>#DIV/0!</v>
      </c>
      <c r="U177" s="95" t="e">
        <f>R177*dagenperjaar1</f>
        <v>#DIV/0!</v>
      </c>
      <c r="V177" s="25" t="e">
        <f>U177*ROUND(Q177,2)</f>
        <v>#DIV/0!</v>
      </c>
    </row>
    <row r="178" spans="1:22" x14ac:dyDescent="0.2">
      <c r="A178" s="92" t="s">
        <v>486</v>
      </c>
      <c r="B178" s="93" t="s">
        <v>47</v>
      </c>
      <c r="C178" s="93" t="s">
        <v>394</v>
      </c>
      <c r="D178" s="93" t="s">
        <v>413</v>
      </c>
      <c r="E178" s="94" t="s">
        <v>403</v>
      </c>
      <c r="F178" s="93" t="s">
        <v>442</v>
      </c>
      <c r="G178" s="93" t="s">
        <v>316</v>
      </c>
      <c r="H178" s="93" t="s">
        <v>13</v>
      </c>
      <c r="I178" s="93" t="s">
        <v>255</v>
      </c>
      <c r="J178" s="93" t="s">
        <v>47</v>
      </c>
      <c r="K178" s="93"/>
      <c r="L178" s="95">
        <v>27.6</v>
      </c>
      <c r="M178" s="95">
        <f>L178*VLOOKUP(H178,dagsoorttabel1,2,FALSE)</f>
        <v>21.647058823529413</v>
      </c>
      <c r="N178" s="96">
        <f>prodnorm93</f>
        <v>0</v>
      </c>
      <c r="O178" s="37">
        <f>dagwerk93</f>
        <v>0</v>
      </c>
      <c r="P178" s="93" t="s">
        <v>105</v>
      </c>
      <c r="Q178" s="24">
        <f>uurtarief93</f>
        <v>0</v>
      </c>
      <c r="R178" s="95" t="e">
        <f>IF(ISBLANK(N178),0,M178/ROUND(N178,4))</f>
        <v>#DIV/0!</v>
      </c>
      <c r="S178" s="95" t="e">
        <f>IF(ISBLANK(N178),0,R178*ROUND(O178,2))</f>
        <v>#DIV/0!</v>
      </c>
      <c r="T178" s="24" t="e">
        <f>ROUND(Q178,2)*R178</f>
        <v>#DIV/0!</v>
      </c>
      <c r="U178" s="95" t="e">
        <f>R178*dagenperjaar1</f>
        <v>#DIV/0!</v>
      </c>
      <c r="V178" s="25" t="e">
        <f>U178*ROUND(Q178,2)</f>
        <v>#DIV/0!</v>
      </c>
    </row>
    <row r="179" spans="1:22" x14ac:dyDescent="0.2">
      <c r="A179" s="92" t="s">
        <v>486</v>
      </c>
      <c r="B179" s="93" t="s">
        <v>47</v>
      </c>
      <c r="C179" s="93" t="s">
        <v>394</v>
      </c>
      <c r="D179" s="93" t="s">
        <v>415</v>
      </c>
      <c r="E179" s="94" t="s">
        <v>399</v>
      </c>
      <c r="F179" s="93" t="s">
        <v>442</v>
      </c>
      <c r="G179" s="93" t="s">
        <v>314</v>
      </c>
      <c r="H179" s="93" t="s">
        <v>13</v>
      </c>
      <c r="I179" s="93" t="s">
        <v>255</v>
      </c>
      <c r="J179" s="93" t="s">
        <v>47</v>
      </c>
      <c r="K179" s="93"/>
      <c r="L179" s="95">
        <v>23.4</v>
      </c>
      <c r="M179" s="95">
        <f>L179*VLOOKUP(H179,dagsoorttabel1,2,FALSE)</f>
        <v>18.352941176470587</v>
      </c>
      <c r="N179" s="96">
        <f>prodnorm88</f>
        <v>0</v>
      </c>
      <c r="O179" s="37">
        <f>dagwerk88</f>
        <v>0</v>
      </c>
      <c r="P179" s="93" t="s">
        <v>105</v>
      </c>
      <c r="Q179" s="24">
        <f>uurtarief88</f>
        <v>0</v>
      </c>
      <c r="R179" s="95" t="e">
        <f>IF(ISBLANK(N179),0,M179/ROUND(N179,4))</f>
        <v>#DIV/0!</v>
      </c>
      <c r="S179" s="95" t="e">
        <f>IF(ISBLANK(N179),0,R179*ROUND(O179,2))</f>
        <v>#DIV/0!</v>
      </c>
      <c r="T179" s="24" t="e">
        <f>ROUND(Q179,2)*R179</f>
        <v>#DIV/0!</v>
      </c>
      <c r="U179" s="95" t="e">
        <f>R179*dagenperjaar1</f>
        <v>#DIV/0!</v>
      </c>
      <c r="V179" s="25" t="e">
        <f>U179*ROUND(Q179,2)</f>
        <v>#DIV/0!</v>
      </c>
    </row>
    <row r="180" spans="1:22" x14ac:dyDescent="0.2">
      <c r="A180" s="92" t="s">
        <v>486</v>
      </c>
      <c r="B180" s="93" t="s">
        <v>47</v>
      </c>
      <c r="C180" s="93" t="s">
        <v>394</v>
      </c>
      <c r="D180" s="93" t="s">
        <v>415</v>
      </c>
      <c r="E180" s="94" t="s">
        <v>399</v>
      </c>
      <c r="F180" s="93" t="s">
        <v>442</v>
      </c>
      <c r="G180" s="93" t="s">
        <v>316</v>
      </c>
      <c r="H180" s="93" t="s">
        <v>13</v>
      </c>
      <c r="I180" s="93" t="s">
        <v>255</v>
      </c>
      <c r="J180" s="93" t="s">
        <v>47</v>
      </c>
      <c r="K180" s="93"/>
      <c r="L180" s="95">
        <v>23.4</v>
      </c>
      <c r="M180" s="95">
        <f>L180*VLOOKUP(H180,dagsoorttabel1,2,FALSE)</f>
        <v>18.352941176470587</v>
      </c>
      <c r="N180" s="96">
        <f>prodnorm93</f>
        <v>0</v>
      </c>
      <c r="O180" s="37">
        <f>dagwerk93</f>
        <v>0</v>
      </c>
      <c r="P180" s="93" t="s">
        <v>105</v>
      </c>
      <c r="Q180" s="24">
        <f>uurtarief93</f>
        <v>0</v>
      </c>
      <c r="R180" s="95" t="e">
        <f>IF(ISBLANK(N180),0,M180/ROUND(N180,4))</f>
        <v>#DIV/0!</v>
      </c>
      <c r="S180" s="95" t="e">
        <f>IF(ISBLANK(N180),0,R180*ROUND(O180,2))</f>
        <v>#DIV/0!</v>
      </c>
      <c r="T180" s="24" t="e">
        <f>ROUND(Q180,2)*R180</f>
        <v>#DIV/0!</v>
      </c>
      <c r="U180" s="95" t="e">
        <f>R180*dagenperjaar1</f>
        <v>#DIV/0!</v>
      </c>
      <c r="V180" s="25" t="e">
        <f>U180*ROUND(Q180,2)</f>
        <v>#DIV/0!</v>
      </c>
    </row>
    <row r="181" spans="1:22" x14ac:dyDescent="0.2">
      <c r="A181" s="92" t="s">
        <v>486</v>
      </c>
      <c r="B181" s="93" t="s">
        <v>47</v>
      </c>
      <c r="C181" s="93" t="s">
        <v>394</v>
      </c>
      <c r="D181" s="93" t="s">
        <v>416</v>
      </c>
      <c r="E181" s="94" t="s">
        <v>412</v>
      </c>
      <c r="F181" s="93" t="s">
        <v>442</v>
      </c>
      <c r="G181" s="93" t="s">
        <v>284</v>
      </c>
      <c r="H181" s="93" t="s">
        <v>13</v>
      </c>
      <c r="I181" s="93" t="s">
        <v>255</v>
      </c>
      <c r="J181" s="93" t="s">
        <v>47</v>
      </c>
      <c r="K181" s="93"/>
      <c r="L181" s="95">
        <v>22.75</v>
      </c>
      <c r="M181" s="95">
        <f>L181*VLOOKUP(H181,dagsoorttabel1,2,FALSE)</f>
        <v>17.843137254901961</v>
      </c>
      <c r="N181" s="96">
        <f>prodnorm58</f>
        <v>0</v>
      </c>
      <c r="O181" s="37">
        <f>dagwerk58</f>
        <v>0</v>
      </c>
      <c r="P181" s="93" t="s">
        <v>105</v>
      </c>
      <c r="Q181" s="24">
        <f>uurtarief58</f>
        <v>0</v>
      </c>
      <c r="R181" s="95" t="e">
        <f>IF(ISBLANK(N181),0,M181/ROUND(N181,4))</f>
        <v>#DIV/0!</v>
      </c>
      <c r="S181" s="95" t="e">
        <f>IF(ISBLANK(N181),0,R181*ROUND(O181,2))</f>
        <v>#DIV/0!</v>
      </c>
      <c r="T181" s="24" t="e">
        <f>ROUND(Q181,2)*R181</f>
        <v>#DIV/0!</v>
      </c>
      <c r="U181" s="95" t="e">
        <f>R181*dagenperjaar1</f>
        <v>#DIV/0!</v>
      </c>
      <c r="V181" s="25" t="e">
        <f>U181*ROUND(Q181,2)</f>
        <v>#DIV/0!</v>
      </c>
    </row>
    <row r="182" spans="1:22" x14ac:dyDescent="0.2">
      <c r="A182" s="92" t="s">
        <v>486</v>
      </c>
      <c r="B182" s="93" t="s">
        <v>47</v>
      </c>
      <c r="C182" s="93" t="s">
        <v>394</v>
      </c>
      <c r="D182" s="93" t="s">
        <v>416</v>
      </c>
      <c r="E182" s="94" t="s">
        <v>412</v>
      </c>
      <c r="F182" s="93" t="s">
        <v>442</v>
      </c>
      <c r="G182" s="93" t="s">
        <v>286</v>
      </c>
      <c r="H182" s="93" t="s">
        <v>13</v>
      </c>
      <c r="I182" s="93" t="s">
        <v>255</v>
      </c>
      <c r="J182" s="93" t="s">
        <v>47</v>
      </c>
      <c r="K182" s="93"/>
      <c r="L182" s="95">
        <v>22.75</v>
      </c>
      <c r="M182" s="95">
        <f>L182*VLOOKUP(H182,dagsoorttabel1,2,FALSE)</f>
        <v>17.843137254901961</v>
      </c>
      <c r="N182" s="96">
        <f>prodnorm61</f>
        <v>0</v>
      </c>
      <c r="O182" s="37">
        <f>dagwerk61</f>
        <v>0</v>
      </c>
      <c r="P182" s="93" t="s">
        <v>105</v>
      </c>
      <c r="Q182" s="24">
        <f>uurtarief61</f>
        <v>0</v>
      </c>
      <c r="R182" s="95" t="e">
        <f>IF(ISBLANK(N182),0,M182/ROUND(N182,4))</f>
        <v>#DIV/0!</v>
      </c>
      <c r="S182" s="95" t="e">
        <f>IF(ISBLANK(N182),0,R182*ROUND(O182,2))</f>
        <v>#DIV/0!</v>
      </c>
      <c r="T182" s="24" t="e">
        <f>ROUND(Q182,2)*R182</f>
        <v>#DIV/0!</v>
      </c>
      <c r="U182" s="95" t="e">
        <f>R182*dagenperjaar1</f>
        <v>#DIV/0!</v>
      </c>
      <c r="V182" s="25" t="e">
        <f>U182*ROUND(Q182,2)</f>
        <v>#DIV/0!</v>
      </c>
    </row>
    <row r="183" spans="1:22" x14ac:dyDescent="0.2">
      <c r="A183" s="92" t="s">
        <v>486</v>
      </c>
      <c r="B183" s="93" t="s">
        <v>47</v>
      </c>
      <c r="C183" s="93" t="s">
        <v>394</v>
      </c>
      <c r="D183" s="93" t="s">
        <v>418</v>
      </c>
      <c r="E183" s="94" t="s">
        <v>407</v>
      </c>
      <c r="F183" s="93" t="s">
        <v>442</v>
      </c>
      <c r="G183" s="93" t="s">
        <v>266</v>
      </c>
      <c r="H183" s="93" t="s">
        <v>13</v>
      </c>
      <c r="I183" s="93" t="s">
        <v>255</v>
      </c>
      <c r="J183" s="93" t="s">
        <v>47</v>
      </c>
      <c r="K183" s="93"/>
      <c r="L183" s="95">
        <v>6</v>
      </c>
      <c r="M183" s="95">
        <f>L183*VLOOKUP(H183,dagsoorttabel1,2,FALSE)</f>
        <v>4.7058823529411766</v>
      </c>
      <c r="N183" s="96">
        <f>prodnorm40</f>
        <v>0</v>
      </c>
      <c r="O183" s="37">
        <f>dagwerk40</f>
        <v>0</v>
      </c>
      <c r="P183" s="93" t="s">
        <v>105</v>
      </c>
      <c r="Q183" s="24">
        <f>uurtarief40</f>
        <v>0</v>
      </c>
      <c r="R183" s="95" t="e">
        <f>IF(ISBLANK(N183),0,M183/ROUND(N183,4))</f>
        <v>#DIV/0!</v>
      </c>
      <c r="S183" s="95" t="e">
        <f>IF(ISBLANK(N183),0,R183*ROUND(O183,2))</f>
        <v>#DIV/0!</v>
      </c>
      <c r="T183" s="24" t="e">
        <f>ROUND(Q183,2)*R183</f>
        <v>#DIV/0!</v>
      </c>
      <c r="U183" s="95" t="e">
        <f>R183*dagenperjaar1</f>
        <v>#DIV/0!</v>
      </c>
      <c r="V183" s="25" t="e">
        <f>U183*ROUND(Q183,2)</f>
        <v>#DIV/0!</v>
      </c>
    </row>
    <row r="184" spans="1:22" x14ac:dyDescent="0.2">
      <c r="A184" s="92" t="s">
        <v>486</v>
      </c>
      <c r="B184" s="93" t="s">
        <v>47</v>
      </c>
      <c r="C184" s="93" t="s">
        <v>394</v>
      </c>
      <c r="D184" s="93" t="s">
        <v>418</v>
      </c>
      <c r="E184" s="94" t="s">
        <v>407</v>
      </c>
      <c r="F184" s="93" t="s">
        <v>442</v>
      </c>
      <c r="G184" s="93" t="s">
        <v>268</v>
      </c>
      <c r="H184" s="93" t="s">
        <v>13</v>
      </c>
      <c r="I184" s="93" t="s">
        <v>255</v>
      </c>
      <c r="J184" s="93" t="s">
        <v>47</v>
      </c>
      <c r="K184" s="93"/>
      <c r="L184" s="95">
        <v>6</v>
      </c>
      <c r="M184" s="95">
        <f>L184*VLOOKUP(H184,dagsoorttabel1,2,FALSE)</f>
        <v>4.7058823529411766</v>
      </c>
      <c r="N184" s="96">
        <f>prodnorm42</f>
        <v>0</v>
      </c>
      <c r="O184" s="37">
        <f>dagwerk42</f>
        <v>0</v>
      </c>
      <c r="P184" s="93" t="s">
        <v>105</v>
      </c>
      <c r="Q184" s="24">
        <f>uurtarief42</f>
        <v>0</v>
      </c>
      <c r="R184" s="95" t="e">
        <f>IF(ISBLANK(N184),0,M184/ROUND(N184,4))</f>
        <v>#DIV/0!</v>
      </c>
      <c r="S184" s="95" t="e">
        <f>IF(ISBLANK(N184),0,R184*ROUND(O184,2))</f>
        <v>#DIV/0!</v>
      </c>
      <c r="T184" s="24" t="e">
        <f>ROUND(Q184,2)*R184</f>
        <v>#DIV/0!</v>
      </c>
      <c r="U184" s="95" t="e">
        <f>R184*dagenperjaar1</f>
        <v>#DIV/0!</v>
      </c>
      <c r="V184" s="25" t="e">
        <f>U184*ROUND(Q184,2)</f>
        <v>#DIV/0!</v>
      </c>
    </row>
    <row r="185" spans="1:22" x14ac:dyDescent="0.2">
      <c r="A185" s="92" t="s">
        <v>486</v>
      </c>
      <c r="B185" s="93" t="s">
        <v>47</v>
      </c>
      <c r="C185" s="93" t="s">
        <v>394</v>
      </c>
      <c r="D185" s="93" t="s">
        <v>419</v>
      </c>
      <c r="E185" s="94" t="s">
        <v>497</v>
      </c>
      <c r="F185" s="93" t="s">
        <v>442</v>
      </c>
      <c r="G185" s="93" t="s">
        <v>284</v>
      </c>
      <c r="H185" s="93" t="s">
        <v>13</v>
      </c>
      <c r="I185" s="93" t="s">
        <v>255</v>
      </c>
      <c r="J185" s="93" t="s">
        <v>47</v>
      </c>
      <c r="K185" s="93"/>
      <c r="L185" s="95">
        <v>19.5</v>
      </c>
      <c r="M185" s="95">
        <f>L185*VLOOKUP(H185,dagsoorttabel1,2,FALSE)</f>
        <v>15.294117647058822</v>
      </c>
      <c r="N185" s="96">
        <f>prodnorm58</f>
        <v>0</v>
      </c>
      <c r="O185" s="37">
        <f>dagwerk58</f>
        <v>0</v>
      </c>
      <c r="P185" s="93" t="s">
        <v>105</v>
      </c>
      <c r="Q185" s="24">
        <f>uurtarief58</f>
        <v>0</v>
      </c>
      <c r="R185" s="95" t="e">
        <f>IF(ISBLANK(N185),0,M185/ROUND(N185,4))</f>
        <v>#DIV/0!</v>
      </c>
      <c r="S185" s="95" t="e">
        <f>IF(ISBLANK(N185),0,R185*ROUND(O185,2))</f>
        <v>#DIV/0!</v>
      </c>
      <c r="T185" s="24" t="e">
        <f>ROUND(Q185,2)*R185</f>
        <v>#DIV/0!</v>
      </c>
      <c r="U185" s="95" t="e">
        <f>R185*dagenperjaar1</f>
        <v>#DIV/0!</v>
      </c>
      <c r="V185" s="25" t="e">
        <f>U185*ROUND(Q185,2)</f>
        <v>#DIV/0!</v>
      </c>
    </row>
    <row r="186" spans="1:22" x14ac:dyDescent="0.2">
      <c r="A186" s="92" t="s">
        <v>486</v>
      </c>
      <c r="B186" s="93" t="s">
        <v>47</v>
      </c>
      <c r="C186" s="93" t="s">
        <v>394</v>
      </c>
      <c r="D186" s="93" t="s">
        <v>419</v>
      </c>
      <c r="E186" s="94" t="s">
        <v>497</v>
      </c>
      <c r="F186" s="93" t="s">
        <v>442</v>
      </c>
      <c r="G186" s="93" t="s">
        <v>286</v>
      </c>
      <c r="H186" s="93" t="s">
        <v>13</v>
      </c>
      <c r="I186" s="93" t="s">
        <v>255</v>
      </c>
      <c r="J186" s="93" t="s">
        <v>47</v>
      </c>
      <c r="K186" s="93"/>
      <c r="L186" s="95">
        <v>19.5</v>
      </c>
      <c r="M186" s="95">
        <f>L186*VLOOKUP(H186,dagsoorttabel1,2,FALSE)</f>
        <v>15.294117647058822</v>
      </c>
      <c r="N186" s="96">
        <f>prodnorm61</f>
        <v>0</v>
      </c>
      <c r="O186" s="37">
        <f>dagwerk61</f>
        <v>0</v>
      </c>
      <c r="P186" s="93" t="s">
        <v>105</v>
      </c>
      <c r="Q186" s="24">
        <f>uurtarief61</f>
        <v>0</v>
      </c>
      <c r="R186" s="95" t="e">
        <f>IF(ISBLANK(N186),0,M186/ROUND(N186,4))</f>
        <v>#DIV/0!</v>
      </c>
      <c r="S186" s="95" t="e">
        <f>IF(ISBLANK(N186),0,R186*ROUND(O186,2))</f>
        <v>#DIV/0!</v>
      </c>
      <c r="T186" s="24" t="e">
        <f>ROUND(Q186,2)*R186</f>
        <v>#DIV/0!</v>
      </c>
      <c r="U186" s="95" t="e">
        <f>R186*dagenperjaar1</f>
        <v>#DIV/0!</v>
      </c>
      <c r="V186" s="25" t="e">
        <f>U186*ROUND(Q186,2)</f>
        <v>#DIV/0!</v>
      </c>
    </row>
    <row r="187" spans="1:22" x14ac:dyDescent="0.2">
      <c r="A187" s="92" t="s">
        <v>486</v>
      </c>
      <c r="B187" s="93" t="s">
        <v>47</v>
      </c>
      <c r="C187" s="93" t="s">
        <v>394</v>
      </c>
      <c r="D187" s="93" t="s">
        <v>420</v>
      </c>
      <c r="E187" s="94" t="s">
        <v>414</v>
      </c>
      <c r="F187" s="93" t="s">
        <v>442</v>
      </c>
      <c r="G187" s="93" t="s">
        <v>304</v>
      </c>
      <c r="H187" s="93" t="s">
        <v>13</v>
      </c>
      <c r="I187" s="93" t="s">
        <v>255</v>
      </c>
      <c r="J187" s="93" t="s">
        <v>47</v>
      </c>
      <c r="K187" s="93"/>
      <c r="L187" s="95">
        <v>1.1000000000000001</v>
      </c>
      <c r="M187" s="95">
        <f>L187*VLOOKUP(H187,dagsoorttabel1,2,FALSE)</f>
        <v>0.86274509803921573</v>
      </c>
      <c r="N187" s="96">
        <f>prodnorm74</f>
        <v>0</v>
      </c>
      <c r="O187" s="37">
        <f>dagwerk74</f>
        <v>0</v>
      </c>
      <c r="P187" s="93" t="s">
        <v>105</v>
      </c>
      <c r="Q187" s="24">
        <f>uurtarief74</f>
        <v>0</v>
      </c>
      <c r="R187" s="95" t="e">
        <f>IF(ISBLANK(N187),0,M187/ROUND(N187,4))</f>
        <v>#DIV/0!</v>
      </c>
      <c r="S187" s="95" t="e">
        <f>IF(ISBLANK(N187),0,R187*ROUND(O187,2))</f>
        <v>#DIV/0!</v>
      </c>
      <c r="T187" s="24" t="e">
        <f>ROUND(Q187,2)*R187</f>
        <v>#DIV/0!</v>
      </c>
      <c r="U187" s="95" t="e">
        <f>R187*dagenperjaar1</f>
        <v>#DIV/0!</v>
      </c>
      <c r="V187" s="25" t="e">
        <f>U187*ROUND(Q187,2)</f>
        <v>#DIV/0!</v>
      </c>
    </row>
    <row r="188" spans="1:22" x14ac:dyDescent="0.2">
      <c r="A188" s="92" t="s">
        <v>486</v>
      </c>
      <c r="B188" s="93" t="s">
        <v>47</v>
      </c>
      <c r="C188" s="93" t="s">
        <v>394</v>
      </c>
      <c r="D188" s="93" t="s">
        <v>420</v>
      </c>
      <c r="E188" s="94" t="s">
        <v>414</v>
      </c>
      <c r="F188" s="93" t="s">
        <v>442</v>
      </c>
      <c r="G188" s="93" t="s">
        <v>306</v>
      </c>
      <c r="H188" s="93" t="s">
        <v>13</v>
      </c>
      <c r="I188" s="93" t="s">
        <v>255</v>
      </c>
      <c r="J188" s="93" t="s">
        <v>47</v>
      </c>
      <c r="K188" s="93"/>
      <c r="L188" s="95">
        <v>1.1000000000000001</v>
      </c>
      <c r="M188" s="95">
        <f>L188*VLOOKUP(H188,dagsoorttabel1,2,FALSE)</f>
        <v>0.86274509803921573</v>
      </c>
      <c r="N188" s="96">
        <f>prodnorm78</f>
        <v>0</v>
      </c>
      <c r="O188" s="37">
        <f>dagwerk78</f>
        <v>0</v>
      </c>
      <c r="P188" s="93" t="s">
        <v>105</v>
      </c>
      <c r="Q188" s="24">
        <f>uurtarief78</f>
        <v>0</v>
      </c>
      <c r="R188" s="95" t="e">
        <f>IF(ISBLANK(N188),0,M188/ROUND(N188,4))</f>
        <v>#DIV/0!</v>
      </c>
      <c r="S188" s="95" t="e">
        <f>IF(ISBLANK(N188),0,R188*ROUND(O188,2))</f>
        <v>#DIV/0!</v>
      </c>
      <c r="T188" s="24" t="e">
        <f>ROUND(Q188,2)*R188</f>
        <v>#DIV/0!</v>
      </c>
      <c r="U188" s="95" t="e">
        <f>R188*dagenperjaar1</f>
        <v>#DIV/0!</v>
      </c>
      <c r="V188" s="25" t="e">
        <f>U188*ROUND(Q188,2)</f>
        <v>#DIV/0!</v>
      </c>
    </row>
    <row r="189" spans="1:22" x14ac:dyDescent="0.2">
      <c r="A189" s="92" t="s">
        <v>486</v>
      </c>
      <c r="B189" s="93" t="s">
        <v>47</v>
      </c>
      <c r="C189" s="93" t="s">
        <v>394</v>
      </c>
      <c r="D189" s="93" t="s">
        <v>422</v>
      </c>
      <c r="E189" s="94" t="s">
        <v>407</v>
      </c>
      <c r="F189" s="93" t="s">
        <v>442</v>
      </c>
      <c r="G189" s="93" t="s">
        <v>266</v>
      </c>
      <c r="H189" s="93" t="s">
        <v>13</v>
      </c>
      <c r="I189" s="93" t="s">
        <v>255</v>
      </c>
      <c r="J189" s="93" t="s">
        <v>47</v>
      </c>
      <c r="K189" s="93"/>
      <c r="L189" s="95">
        <v>6.48</v>
      </c>
      <c r="M189" s="95">
        <f>L189*VLOOKUP(H189,dagsoorttabel1,2,FALSE)</f>
        <v>5.0823529411764712</v>
      </c>
      <c r="N189" s="96">
        <f>prodnorm40</f>
        <v>0</v>
      </c>
      <c r="O189" s="37">
        <f>dagwerk40</f>
        <v>0</v>
      </c>
      <c r="P189" s="93" t="s">
        <v>105</v>
      </c>
      <c r="Q189" s="24">
        <f>uurtarief40</f>
        <v>0</v>
      </c>
      <c r="R189" s="95" t="e">
        <f>IF(ISBLANK(N189),0,M189/ROUND(N189,4))</f>
        <v>#DIV/0!</v>
      </c>
      <c r="S189" s="95" t="e">
        <f>IF(ISBLANK(N189),0,R189*ROUND(O189,2))</f>
        <v>#DIV/0!</v>
      </c>
      <c r="T189" s="24" t="e">
        <f>ROUND(Q189,2)*R189</f>
        <v>#DIV/0!</v>
      </c>
      <c r="U189" s="95" t="e">
        <f>R189*dagenperjaar1</f>
        <v>#DIV/0!</v>
      </c>
      <c r="V189" s="25" t="e">
        <f>U189*ROUND(Q189,2)</f>
        <v>#DIV/0!</v>
      </c>
    </row>
    <row r="190" spans="1:22" x14ac:dyDescent="0.2">
      <c r="A190" s="92" t="s">
        <v>486</v>
      </c>
      <c r="B190" s="93" t="s">
        <v>47</v>
      </c>
      <c r="C190" s="93" t="s">
        <v>394</v>
      </c>
      <c r="D190" s="93" t="s">
        <v>422</v>
      </c>
      <c r="E190" s="94" t="s">
        <v>407</v>
      </c>
      <c r="F190" s="93" t="s">
        <v>442</v>
      </c>
      <c r="G190" s="93" t="s">
        <v>268</v>
      </c>
      <c r="H190" s="93" t="s">
        <v>13</v>
      </c>
      <c r="I190" s="93" t="s">
        <v>255</v>
      </c>
      <c r="J190" s="93" t="s">
        <v>47</v>
      </c>
      <c r="K190" s="93"/>
      <c r="L190" s="95">
        <v>6.48</v>
      </c>
      <c r="M190" s="95">
        <f>L190*VLOOKUP(H190,dagsoorttabel1,2,FALSE)</f>
        <v>5.0823529411764712</v>
      </c>
      <c r="N190" s="96">
        <f>prodnorm42</f>
        <v>0</v>
      </c>
      <c r="O190" s="37">
        <f>dagwerk42</f>
        <v>0</v>
      </c>
      <c r="P190" s="93" t="s">
        <v>105</v>
      </c>
      <c r="Q190" s="24">
        <f>uurtarief42</f>
        <v>0</v>
      </c>
      <c r="R190" s="95" t="e">
        <f>IF(ISBLANK(N190),0,M190/ROUND(N190,4))</f>
        <v>#DIV/0!</v>
      </c>
      <c r="S190" s="95" t="e">
        <f>IF(ISBLANK(N190),0,R190*ROUND(O190,2))</f>
        <v>#DIV/0!</v>
      </c>
      <c r="T190" s="24" t="e">
        <f>ROUND(Q190,2)*R190</f>
        <v>#DIV/0!</v>
      </c>
      <c r="U190" s="95" t="e">
        <f>R190*dagenperjaar1</f>
        <v>#DIV/0!</v>
      </c>
      <c r="V190" s="25" t="e">
        <f>U190*ROUND(Q190,2)</f>
        <v>#DIV/0!</v>
      </c>
    </row>
    <row r="191" spans="1:22" x14ac:dyDescent="0.2">
      <c r="A191" s="92" t="s">
        <v>486</v>
      </c>
      <c r="B191" s="93" t="s">
        <v>47</v>
      </c>
      <c r="C191" s="93" t="s">
        <v>394</v>
      </c>
      <c r="D191" s="93" t="s">
        <v>424</v>
      </c>
      <c r="E191" s="94" t="s">
        <v>498</v>
      </c>
      <c r="F191" s="93" t="s">
        <v>442</v>
      </c>
      <c r="G191" s="93" t="s">
        <v>284</v>
      </c>
      <c r="H191" s="93" t="s">
        <v>13</v>
      </c>
      <c r="I191" s="93" t="s">
        <v>255</v>
      </c>
      <c r="J191" s="93" t="s">
        <v>47</v>
      </c>
      <c r="K191" s="93"/>
      <c r="L191" s="95">
        <v>19.5</v>
      </c>
      <c r="M191" s="95">
        <f>L191*VLOOKUP(H191,dagsoorttabel1,2,FALSE)</f>
        <v>15.294117647058822</v>
      </c>
      <c r="N191" s="96">
        <f>prodnorm58</f>
        <v>0</v>
      </c>
      <c r="O191" s="37">
        <f>dagwerk58</f>
        <v>0</v>
      </c>
      <c r="P191" s="93" t="s">
        <v>105</v>
      </c>
      <c r="Q191" s="24">
        <f>uurtarief58</f>
        <v>0</v>
      </c>
      <c r="R191" s="95" t="e">
        <f>IF(ISBLANK(N191),0,M191/ROUND(N191,4))</f>
        <v>#DIV/0!</v>
      </c>
      <c r="S191" s="95" t="e">
        <f>IF(ISBLANK(N191),0,R191*ROUND(O191,2))</f>
        <v>#DIV/0!</v>
      </c>
      <c r="T191" s="24" t="e">
        <f>ROUND(Q191,2)*R191</f>
        <v>#DIV/0!</v>
      </c>
      <c r="U191" s="95" t="e">
        <f>R191*dagenperjaar1</f>
        <v>#DIV/0!</v>
      </c>
      <c r="V191" s="25" t="e">
        <f>U191*ROUND(Q191,2)</f>
        <v>#DIV/0!</v>
      </c>
    </row>
    <row r="192" spans="1:22" x14ac:dyDescent="0.2">
      <c r="A192" s="92" t="s">
        <v>486</v>
      </c>
      <c r="B192" s="93" t="s">
        <v>47</v>
      </c>
      <c r="C192" s="93" t="s">
        <v>394</v>
      </c>
      <c r="D192" s="93" t="s">
        <v>424</v>
      </c>
      <c r="E192" s="94" t="s">
        <v>498</v>
      </c>
      <c r="F192" s="93" t="s">
        <v>442</v>
      </c>
      <c r="G192" s="93" t="s">
        <v>286</v>
      </c>
      <c r="H192" s="93" t="s">
        <v>13</v>
      </c>
      <c r="I192" s="93" t="s">
        <v>255</v>
      </c>
      <c r="J192" s="93" t="s">
        <v>47</v>
      </c>
      <c r="K192" s="93"/>
      <c r="L192" s="95">
        <v>19.5</v>
      </c>
      <c r="M192" s="95">
        <f>L192*VLOOKUP(H192,dagsoorttabel1,2,FALSE)</f>
        <v>15.294117647058822</v>
      </c>
      <c r="N192" s="96">
        <f>prodnorm61</f>
        <v>0</v>
      </c>
      <c r="O192" s="37">
        <f>dagwerk61</f>
        <v>0</v>
      </c>
      <c r="P192" s="93" t="s">
        <v>105</v>
      </c>
      <c r="Q192" s="24">
        <f>uurtarief61</f>
        <v>0</v>
      </c>
      <c r="R192" s="95" t="e">
        <f>IF(ISBLANK(N192),0,M192/ROUND(N192,4))</f>
        <v>#DIV/0!</v>
      </c>
      <c r="S192" s="95" t="e">
        <f>IF(ISBLANK(N192),0,R192*ROUND(O192,2))</f>
        <v>#DIV/0!</v>
      </c>
      <c r="T192" s="24" t="e">
        <f>ROUND(Q192,2)*R192</f>
        <v>#DIV/0!</v>
      </c>
      <c r="U192" s="95" t="e">
        <f>R192*dagenperjaar1</f>
        <v>#DIV/0!</v>
      </c>
      <c r="V192" s="25" t="e">
        <f>U192*ROUND(Q192,2)</f>
        <v>#DIV/0!</v>
      </c>
    </row>
    <row r="193" spans="1:22" x14ac:dyDescent="0.2">
      <c r="A193" s="92" t="s">
        <v>486</v>
      </c>
      <c r="B193" s="93" t="s">
        <v>47</v>
      </c>
      <c r="C193" s="93" t="s">
        <v>394</v>
      </c>
      <c r="D193" s="93" t="s">
        <v>446</v>
      </c>
      <c r="E193" s="94" t="s">
        <v>410</v>
      </c>
      <c r="F193" s="93" t="s">
        <v>442</v>
      </c>
      <c r="G193" s="93" t="s">
        <v>304</v>
      </c>
      <c r="H193" s="93" t="s">
        <v>13</v>
      </c>
      <c r="I193" s="93" t="s">
        <v>255</v>
      </c>
      <c r="J193" s="93" t="s">
        <v>47</v>
      </c>
      <c r="K193" s="93"/>
      <c r="L193" s="95">
        <v>1.1000000000000001</v>
      </c>
      <c r="M193" s="95">
        <f>L193*VLOOKUP(H193,dagsoorttabel1,2,FALSE)</f>
        <v>0.86274509803921573</v>
      </c>
      <c r="N193" s="96">
        <f>prodnorm74</f>
        <v>0</v>
      </c>
      <c r="O193" s="37">
        <f>dagwerk74</f>
        <v>0</v>
      </c>
      <c r="P193" s="93" t="s">
        <v>105</v>
      </c>
      <c r="Q193" s="24">
        <f>uurtarief74</f>
        <v>0</v>
      </c>
      <c r="R193" s="95" t="e">
        <f>IF(ISBLANK(N193),0,M193/ROUND(N193,4))</f>
        <v>#DIV/0!</v>
      </c>
      <c r="S193" s="95" t="e">
        <f>IF(ISBLANK(N193),0,R193*ROUND(O193,2))</f>
        <v>#DIV/0!</v>
      </c>
      <c r="T193" s="24" t="e">
        <f>ROUND(Q193,2)*R193</f>
        <v>#DIV/0!</v>
      </c>
      <c r="U193" s="95" t="e">
        <f>R193*dagenperjaar1</f>
        <v>#DIV/0!</v>
      </c>
      <c r="V193" s="25" t="e">
        <f>U193*ROUND(Q193,2)</f>
        <v>#DIV/0!</v>
      </c>
    </row>
    <row r="194" spans="1:22" x14ac:dyDescent="0.2">
      <c r="A194" s="92" t="s">
        <v>486</v>
      </c>
      <c r="B194" s="93" t="s">
        <v>47</v>
      </c>
      <c r="C194" s="93" t="s">
        <v>394</v>
      </c>
      <c r="D194" s="93" t="s">
        <v>446</v>
      </c>
      <c r="E194" s="94" t="s">
        <v>410</v>
      </c>
      <c r="F194" s="93" t="s">
        <v>442</v>
      </c>
      <c r="G194" s="93" t="s">
        <v>306</v>
      </c>
      <c r="H194" s="93" t="s">
        <v>13</v>
      </c>
      <c r="I194" s="93" t="s">
        <v>255</v>
      </c>
      <c r="J194" s="93" t="s">
        <v>47</v>
      </c>
      <c r="K194" s="93"/>
      <c r="L194" s="95">
        <v>1.1000000000000001</v>
      </c>
      <c r="M194" s="95">
        <f>L194*VLOOKUP(H194,dagsoorttabel1,2,FALSE)</f>
        <v>0.86274509803921573</v>
      </c>
      <c r="N194" s="96">
        <f>prodnorm78</f>
        <v>0</v>
      </c>
      <c r="O194" s="37">
        <f>dagwerk78</f>
        <v>0</v>
      </c>
      <c r="P194" s="93" t="s">
        <v>105</v>
      </c>
      <c r="Q194" s="24">
        <f>uurtarief78</f>
        <v>0</v>
      </c>
      <c r="R194" s="95" t="e">
        <f>IF(ISBLANK(N194),0,M194/ROUND(N194,4))</f>
        <v>#DIV/0!</v>
      </c>
      <c r="S194" s="95" t="e">
        <f>IF(ISBLANK(N194),0,R194*ROUND(O194,2))</f>
        <v>#DIV/0!</v>
      </c>
      <c r="T194" s="24" t="e">
        <f>ROUND(Q194,2)*R194</f>
        <v>#DIV/0!</v>
      </c>
      <c r="U194" s="95" t="e">
        <f>R194*dagenperjaar1</f>
        <v>#DIV/0!</v>
      </c>
      <c r="V194" s="25" t="e">
        <f>U194*ROUND(Q194,2)</f>
        <v>#DIV/0!</v>
      </c>
    </row>
    <row r="195" spans="1:22" x14ac:dyDescent="0.2">
      <c r="A195" s="92" t="s">
        <v>486</v>
      </c>
      <c r="B195" s="93" t="s">
        <v>47</v>
      </c>
      <c r="C195" s="93" t="s">
        <v>394</v>
      </c>
      <c r="D195" s="93" t="s">
        <v>425</v>
      </c>
      <c r="E195" s="94" t="s">
        <v>407</v>
      </c>
      <c r="F195" s="93" t="s">
        <v>442</v>
      </c>
      <c r="G195" s="93" t="s">
        <v>266</v>
      </c>
      <c r="H195" s="93" t="s">
        <v>13</v>
      </c>
      <c r="I195" s="93" t="s">
        <v>255</v>
      </c>
      <c r="J195" s="93" t="s">
        <v>47</v>
      </c>
      <c r="K195" s="93"/>
      <c r="L195" s="95">
        <v>6.48</v>
      </c>
      <c r="M195" s="95">
        <f>L195*VLOOKUP(H195,dagsoorttabel1,2,FALSE)</f>
        <v>5.0823529411764712</v>
      </c>
      <c r="N195" s="96">
        <f>prodnorm40</f>
        <v>0</v>
      </c>
      <c r="O195" s="37">
        <f>dagwerk40</f>
        <v>0</v>
      </c>
      <c r="P195" s="93" t="s">
        <v>105</v>
      </c>
      <c r="Q195" s="24">
        <f>uurtarief40</f>
        <v>0</v>
      </c>
      <c r="R195" s="95" t="e">
        <f>IF(ISBLANK(N195),0,M195/ROUND(N195,4))</f>
        <v>#DIV/0!</v>
      </c>
      <c r="S195" s="95" t="e">
        <f>IF(ISBLANK(N195),0,R195*ROUND(O195,2))</f>
        <v>#DIV/0!</v>
      </c>
      <c r="T195" s="24" t="e">
        <f>ROUND(Q195,2)*R195</f>
        <v>#DIV/0!</v>
      </c>
      <c r="U195" s="95" t="e">
        <f>R195*dagenperjaar1</f>
        <v>#DIV/0!</v>
      </c>
      <c r="V195" s="25" t="e">
        <f>U195*ROUND(Q195,2)</f>
        <v>#DIV/0!</v>
      </c>
    </row>
    <row r="196" spans="1:22" x14ac:dyDescent="0.2">
      <c r="A196" s="92" t="s">
        <v>486</v>
      </c>
      <c r="B196" s="93" t="s">
        <v>47</v>
      </c>
      <c r="C196" s="93" t="s">
        <v>394</v>
      </c>
      <c r="D196" s="93" t="s">
        <v>425</v>
      </c>
      <c r="E196" s="94" t="s">
        <v>407</v>
      </c>
      <c r="F196" s="93" t="s">
        <v>442</v>
      </c>
      <c r="G196" s="93" t="s">
        <v>268</v>
      </c>
      <c r="H196" s="93" t="s">
        <v>13</v>
      </c>
      <c r="I196" s="93" t="s">
        <v>255</v>
      </c>
      <c r="J196" s="93" t="s">
        <v>47</v>
      </c>
      <c r="K196" s="93"/>
      <c r="L196" s="95">
        <v>6.48</v>
      </c>
      <c r="M196" s="95">
        <f>L196*VLOOKUP(H196,dagsoorttabel1,2,FALSE)</f>
        <v>5.0823529411764712</v>
      </c>
      <c r="N196" s="96">
        <f>prodnorm42</f>
        <v>0</v>
      </c>
      <c r="O196" s="37">
        <f>dagwerk42</f>
        <v>0</v>
      </c>
      <c r="P196" s="93" t="s">
        <v>105</v>
      </c>
      <c r="Q196" s="24">
        <f>uurtarief42</f>
        <v>0</v>
      </c>
      <c r="R196" s="95" t="e">
        <f>IF(ISBLANK(N196),0,M196/ROUND(N196,4))</f>
        <v>#DIV/0!</v>
      </c>
      <c r="S196" s="95" t="e">
        <f>IF(ISBLANK(N196),0,R196*ROUND(O196,2))</f>
        <v>#DIV/0!</v>
      </c>
      <c r="T196" s="24" t="e">
        <f>ROUND(Q196,2)*R196</f>
        <v>#DIV/0!</v>
      </c>
      <c r="U196" s="95" t="e">
        <f>R196*dagenperjaar1</f>
        <v>#DIV/0!</v>
      </c>
      <c r="V196" s="25" t="e">
        <f>U196*ROUND(Q196,2)</f>
        <v>#DIV/0!</v>
      </c>
    </row>
    <row r="197" spans="1:22" x14ac:dyDescent="0.2">
      <c r="A197" s="92" t="s">
        <v>486</v>
      </c>
      <c r="B197" s="93" t="s">
        <v>47</v>
      </c>
      <c r="C197" s="93" t="s">
        <v>394</v>
      </c>
      <c r="D197" s="93" t="s">
        <v>426</v>
      </c>
      <c r="E197" s="94" t="s">
        <v>421</v>
      </c>
      <c r="F197" s="93" t="s">
        <v>442</v>
      </c>
      <c r="G197" s="93" t="s">
        <v>284</v>
      </c>
      <c r="H197" s="93" t="s">
        <v>13</v>
      </c>
      <c r="I197" s="93" t="s">
        <v>255</v>
      </c>
      <c r="J197" s="93" t="s">
        <v>47</v>
      </c>
      <c r="K197" s="93"/>
      <c r="L197" s="95">
        <v>22.75</v>
      </c>
      <c r="M197" s="95">
        <f>L197*VLOOKUP(H197,dagsoorttabel1,2,FALSE)</f>
        <v>17.843137254901961</v>
      </c>
      <c r="N197" s="96">
        <f>prodnorm58</f>
        <v>0</v>
      </c>
      <c r="O197" s="37">
        <f>dagwerk58</f>
        <v>0</v>
      </c>
      <c r="P197" s="93" t="s">
        <v>105</v>
      </c>
      <c r="Q197" s="24">
        <f>uurtarief58</f>
        <v>0</v>
      </c>
      <c r="R197" s="95" t="e">
        <f>IF(ISBLANK(N197),0,M197/ROUND(N197,4))</f>
        <v>#DIV/0!</v>
      </c>
      <c r="S197" s="95" t="e">
        <f>IF(ISBLANK(N197),0,R197*ROUND(O197,2))</f>
        <v>#DIV/0!</v>
      </c>
      <c r="T197" s="24" t="e">
        <f>ROUND(Q197,2)*R197</f>
        <v>#DIV/0!</v>
      </c>
      <c r="U197" s="95" t="e">
        <f>R197*dagenperjaar1</f>
        <v>#DIV/0!</v>
      </c>
      <c r="V197" s="25" t="e">
        <f>U197*ROUND(Q197,2)</f>
        <v>#DIV/0!</v>
      </c>
    </row>
    <row r="198" spans="1:22" x14ac:dyDescent="0.2">
      <c r="A198" s="92" t="s">
        <v>486</v>
      </c>
      <c r="B198" s="93" t="s">
        <v>47</v>
      </c>
      <c r="C198" s="93" t="s">
        <v>394</v>
      </c>
      <c r="D198" s="93" t="s">
        <v>426</v>
      </c>
      <c r="E198" s="94" t="s">
        <v>421</v>
      </c>
      <c r="F198" s="93" t="s">
        <v>442</v>
      </c>
      <c r="G198" s="93" t="s">
        <v>286</v>
      </c>
      <c r="H198" s="93" t="s">
        <v>13</v>
      </c>
      <c r="I198" s="93" t="s">
        <v>255</v>
      </c>
      <c r="J198" s="93" t="s">
        <v>47</v>
      </c>
      <c r="K198" s="93"/>
      <c r="L198" s="95">
        <v>22.75</v>
      </c>
      <c r="M198" s="95">
        <f>L198*VLOOKUP(H198,dagsoorttabel1,2,FALSE)</f>
        <v>17.843137254901961</v>
      </c>
      <c r="N198" s="96">
        <f>prodnorm61</f>
        <v>0</v>
      </c>
      <c r="O198" s="37">
        <f>dagwerk61</f>
        <v>0</v>
      </c>
      <c r="P198" s="93" t="s">
        <v>105</v>
      </c>
      <c r="Q198" s="24">
        <f>uurtarief61</f>
        <v>0</v>
      </c>
      <c r="R198" s="95" t="e">
        <f>IF(ISBLANK(N198),0,M198/ROUND(N198,4))</f>
        <v>#DIV/0!</v>
      </c>
      <c r="S198" s="95" t="e">
        <f>IF(ISBLANK(N198),0,R198*ROUND(O198,2))</f>
        <v>#DIV/0!</v>
      </c>
      <c r="T198" s="24" t="e">
        <f>ROUND(Q198,2)*R198</f>
        <v>#DIV/0!</v>
      </c>
      <c r="U198" s="95" t="e">
        <f>R198*dagenperjaar1</f>
        <v>#DIV/0!</v>
      </c>
      <c r="V198" s="25" t="e">
        <f>U198*ROUND(Q198,2)</f>
        <v>#DIV/0!</v>
      </c>
    </row>
    <row r="199" spans="1:22" ht="25.2" x14ac:dyDescent="0.2">
      <c r="A199" s="92" t="s">
        <v>486</v>
      </c>
      <c r="B199" s="93" t="s">
        <v>47</v>
      </c>
      <c r="C199" s="93" t="s">
        <v>394</v>
      </c>
      <c r="D199" s="93" t="s">
        <v>427</v>
      </c>
      <c r="E199" s="94" t="s">
        <v>499</v>
      </c>
      <c r="F199" s="93" t="s">
        <v>442</v>
      </c>
      <c r="G199" s="93" t="s">
        <v>304</v>
      </c>
      <c r="H199" s="93" t="s">
        <v>13</v>
      </c>
      <c r="I199" s="93" t="s">
        <v>255</v>
      </c>
      <c r="J199" s="93" t="s">
        <v>47</v>
      </c>
      <c r="K199" s="93"/>
      <c r="L199" s="95">
        <v>6.25</v>
      </c>
      <c r="M199" s="95">
        <f>L199*VLOOKUP(H199,dagsoorttabel1,2,FALSE)</f>
        <v>4.9019607843137258</v>
      </c>
      <c r="N199" s="96">
        <f>prodnorm74</f>
        <v>0</v>
      </c>
      <c r="O199" s="37">
        <f>dagwerk74</f>
        <v>0</v>
      </c>
      <c r="P199" s="93" t="s">
        <v>105</v>
      </c>
      <c r="Q199" s="24">
        <f>uurtarief74</f>
        <v>0</v>
      </c>
      <c r="R199" s="95" t="e">
        <f>IF(ISBLANK(N199),0,M199/ROUND(N199,4))</f>
        <v>#DIV/0!</v>
      </c>
      <c r="S199" s="95" t="e">
        <f>IF(ISBLANK(N199),0,R199*ROUND(O199,2))</f>
        <v>#DIV/0!</v>
      </c>
      <c r="T199" s="24" t="e">
        <f>ROUND(Q199,2)*R199</f>
        <v>#DIV/0!</v>
      </c>
      <c r="U199" s="95" t="e">
        <f>R199*dagenperjaar1</f>
        <v>#DIV/0!</v>
      </c>
      <c r="V199" s="25" t="e">
        <f>U199*ROUND(Q199,2)</f>
        <v>#DIV/0!</v>
      </c>
    </row>
    <row r="200" spans="1:22" ht="25.2" x14ac:dyDescent="0.2">
      <c r="A200" s="92" t="s">
        <v>486</v>
      </c>
      <c r="B200" s="93" t="s">
        <v>47</v>
      </c>
      <c r="C200" s="93" t="s">
        <v>394</v>
      </c>
      <c r="D200" s="93" t="s">
        <v>427</v>
      </c>
      <c r="E200" s="94" t="s">
        <v>499</v>
      </c>
      <c r="F200" s="93" t="s">
        <v>442</v>
      </c>
      <c r="G200" s="93" t="s">
        <v>306</v>
      </c>
      <c r="H200" s="93" t="s">
        <v>13</v>
      </c>
      <c r="I200" s="93" t="s">
        <v>255</v>
      </c>
      <c r="J200" s="93" t="s">
        <v>47</v>
      </c>
      <c r="K200" s="93"/>
      <c r="L200" s="95">
        <v>6.25</v>
      </c>
      <c r="M200" s="95">
        <f>L200*VLOOKUP(H200,dagsoorttabel1,2,FALSE)</f>
        <v>4.9019607843137258</v>
      </c>
      <c r="N200" s="96">
        <f>prodnorm78</f>
        <v>0</v>
      </c>
      <c r="O200" s="37">
        <f>dagwerk78</f>
        <v>0</v>
      </c>
      <c r="P200" s="93" t="s">
        <v>105</v>
      </c>
      <c r="Q200" s="24">
        <f>uurtarief78</f>
        <v>0</v>
      </c>
      <c r="R200" s="95" t="e">
        <f>IF(ISBLANK(N200),0,M200/ROUND(N200,4))</f>
        <v>#DIV/0!</v>
      </c>
      <c r="S200" s="95" t="e">
        <f>IF(ISBLANK(N200),0,R200*ROUND(O200,2))</f>
        <v>#DIV/0!</v>
      </c>
      <c r="T200" s="24" t="e">
        <f>ROUND(Q200,2)*R200</f>
        <v>#DIV/0!</v>
      </c>
      <c r="U200" s="95" t="e">
        <f>R200*dagenperjaar1</f>
        <v>#DIV/0!</v>
      </c>
      <c r="V200" s="25" t="e">
        <f>U200*ROUND(Q200,2)</f>
        <v>#DIV/0!</v>
      </c>
    </row>
    <row r="201" spans="1:22" x14ac:dyDescent="0.2">
      <c r="A201" s="92" t="s">
        <v>486</v>
      </c>
      <c r="B201" s="93" t="s">
        <v>47</v>
      </c>
      <c r="C201" s="93" t="s">
        <v>394</v>
      </c>
      <c r="D201" s="93" t="s">
        <v>429</v>
      </c>
      <c r="E201" s="94" t="s">
        <v>407</v>
      </c>
      <c r="F201" s="93" t="s">
        <v>442</v>
      </c>
      <c r="G201" s="93" t="s">
        <v>266</v>
      </c>
      <c r="H201" s="93" t="s">
        <v>13</v>
      </c>
      <c r="I201" s="93" t="s">
        <v>255</v>
      </c>
      <c r="J201" s="93" t="s">
        <v>47</v>
      </c>
      <c r="K201" s="93"/>
      <c r="L201" s="95">
        <v>6</v>
      </c>
      <c r="M201" s="95">
        <f>L201*VLOOKUP(H201,dagsoorttabel1,2,FALSE)</f>
        <v>4.7058823529411766</v>
      </c>
      <c r="N201" s="96">
        <f>prodnorm40</f>
        <v>0</v>
      </c>
      <c r="O201" s="37">
        <f>dagwerk40</f>
        <v>0</v>
      </c>
      <c r="P201" s="93" t="s">
        <v>105</v>
      </c>
      <c r="Q201" s="24">
        <f>uurtarief40</f>
        <v>0</v>
      </c>
      <c r="R201" s="95" t="e">
        <f>IF(ISBLANK(N201),0,M201/ROUND(N201,4))</f>
        <v>#DIV/0!</v>
      </c>
      <c r="S201" s="95" t="e">
        <f>IF(ISBLANK(N201),0,R201*ROUND(O201,2))</f>
        <v>#DIV/0!</v>
      </c>
      <c r="T201" s="24" t="e">
        <f>ROUND(Q201,2)*R201</f>
        <v>#DIV/0!</v>
      </c>
      <c r="U201" s="95" t="e">
        <f>R201*dagenperjaar1</f>
        <v>#DIV/0!</v>
      </c>
      <c r="V201" s="25" t="e">
        <f>U201*ROUND(Q201,2)</f>
        <v>#DIV/0!</v>
      </c>
    </row>
    <row r="202" spans="1:22" x14ac:dyDescent="0.2">
      <c r="A202" s="92" t="s">
        <v>486</v>
      </c>
      <c r="B202" s="93" t="s">
        <v>47</v>
      </c>
      <c r="C202" s="93" t="s">
        <v>394</v>
      </c>
      <c r="D202" s="93" t="s">
        <v>429</v>
      </c>
      <c r="E202" s="94" t="s">
        <v>407</v>
      </c>
      <c r="F202" s="93" t="s">
        <v>442</v>
      </c>
      <c r="G202" s="93" t="s">
        <v>268</v>
      </c>
      <c r="H202" s="93" t="s">
        <v>13</v>
      </c>
      <c r="I202" s="93" t="s">
        <v>255</v>
      </c>
      <c r="J202" s="93" t="s">
        <v>47</v>
      </c>
      <c r="K202" s="93"/>
      <c r="L202" s="95">
        <v>6</v>
      </c>
      <c r="M202" s="95">
        <f>L202*VLOOKUP(H202,dagsoorttabel1,2,FALSE)</f>
        <v>4.7058823529411766</v>
      </c>
      <c r="N202" s="96">
        <f>prodnorm42</f>
        <v>0</v>
      </c>
      <c r="O202" s="37">
        <f>dagwerk42</f>
        <v>0</v>
      </c>
      <c r="P202" s="93" t="s">
        <v>105</v>
      </c>
      <c r="Q202" s="24">
        <f>uurtarief42</f>
        <v>0</v>
      </c>
      <c r="R202" s="95" t="e">
        <f>IF(ISBLANK(N202),0,M202/ROUND(N202,4))</f>
        <v>#DIV/0!</v>
      </c>
      <c r="S202" s="95" t="e">
        <f>IF(ISBLANK(N202),0,R202*ROUND(O202,2))</f>
        <v>#DIV/0!</v>
      </c>
      <c r="T202" s="24" t="e">
        <f>ROUND(Q202,2)*R202</f>
        <v>#DIV/0!</v>
      </c>
      <c r="U202" s="95" t="e">
        <f>R202*dagenperjaar1</f>
        <v>#DIV/0!</v>
      </c>
      <c r="V202" s="25" t="e">
        <f>U202*ROUND(Q202,2)</f>
        <v>#DIV/0!</v>
      </c>
    </row>
    <row r="203" spans="1:22" x14ac:dyDescent="0.2">
      <c r="A203" s="92" t="s">
        <v>486</v>
      </c>
      <c r="B203" s="93" t="s">
        <v>47</v>
      </c>
      <c r="C203" s="93" t="s">
        <v>394</v>
      </c>
      <c r="D203" s="93" t="s">
        <v>432</v>
      </c>
      <c r="E203" s="94" t="s">
        <v>423</v>
      </c>
      <c r="F203" s="93" t="s">
        <v>442</v>
      </c>
      <c r="G203" s="93" t="s">
        <v>304</v>
      </c>
      <c r="H203" s="93" t="s">
        <v>13</v>
      </c>
      <c r="I203" s="93" t="s">
        <v>255</v>
      </c>
      <c r="J203" s="93" t="s">
        <v>47</v>
      </c>
      <c r="K203" s="93"/>
      <c r="L203" s="95">
        <v>1.1000000000000001</v>
      </c>
      <c r="M203" s="95">
        <f>L203*VLOOKUP(H203,dagsoorttabel1,2,FALSE)</f>
        <v>0.86274509803921573</v>
      </c>
      <c r="N203" s="96">
        <f>prodnorm74</f>
        <v>0</v>
      </c>
      <c r="O203" s="37">
        <f>dagwerk74</f>
        <v>0</v>
      </c>
      <c r="P203" s="93" t="s">
        <v>105</v>
      </c>
      <c r="Q203" s="24">
        <f>uurtarief74</f>
        <v>0</v>
      </c>
      <c r="R203" s="95" t="e">
        <f>IF(ISBLANK(N203),0,M203/ROUND(N203,4))</f>
        <v>#DIV/0!</v>
      </c>
      <c r="S203" s="95" t="e">
        <f>IF(ISBLANK(N203),0,R203*ROUND(O203,2))</f>
        <v>#DIV/0!</v>
      </c>
      <c r="T203" s="24" t="e">
        <f>ROUND(Q203,2)*R203</f>
        <v>#DIV/0!</v>
      </c>
      <c r="U203" s="95" t="e">
        <f>R203*dagenperjaar1</f>
        <v>#DIV/0!</v>
      </c>
      <c r="V203" s="25" t="e">
        <f>U203*ROUND(Q203,2)</f>
        <v>#DIV/0!</v>
      </c>
    </row>
    <row r="204" spans="1:22" x14ac:dyDescent="0.2">
      <c r="A204" s="92" t="s">
        <v>486</v>
      </c>
      <c r="B204" s="93" t="s">
        <v>47</v>
      </c>
      <c r="C204" s="93" t="s">
        <v>394</v>
      </c>
      <c r="D204" s="93" t="s">
        <v>432</v>
      </c>
      <c r="E204" s="94" t="s">
        <v>423</v>
      </c>
      <c r="F204" s="93" t="s">
        <v>442</v>
      </c>
      <c r="G204" s="93" t="s">
        <v>306</v>
      </c>
      <c r="H204" s="93" t="s">
        <v>13</v>
      </c>
      <c r="I204" s="93" t="s">
        <v>255</v>
      </c>
      <c r="J204" s="93" t="s">
        <v>47</v>
      </c>
      <c r="K204" s="93"/>
      <c r="L204" s="95">
        <v>1.1000000000000001</v>
      </c>
      <c r="M204" s="95">
        <f>L204*VLOOKUP(H204,dagsoorttabel1,2,FALSE)</f>
        <v>0.86274509803921573</v>
      </c>
      <c r="N204" s="96">
        <f>prodnorm78</f>
        <v>0</v>
      </c>
      <c r="O204" s="37">
        <f>dagwerk78</f>
        <v>0</v>
      </c>
      <c r="P204" s="93" t="s">
        <v>105</v>
      </c>
      <c r="Q204" s="24">
        <f>uurtarief78</f>
        <v>0</v>
      </c>
      <c r="R204" s="95" t="e">
        <f>IF(ISBLANK(N204),0,M204/ROUND(N204,4))</f>
        <v>#DIV/0!</v>
      </c>
      <c r="S204" s="95" t="e">
        <f>IF(ISBLANK(N204),0,R204*ROUND(O204,2))</f>
        <v>#DIV/0!</v>
      </c>
      <c r="T204" s="24" t="e">
        <f>ROUND(Q204,2)*R204</f>
        <v>#DIV/0!</v>
      </c>
      <c r="U204" s="95" t="e">
        <f>R204*dagenperjaar1</f>
        <v>#DIV/0!</v>
      </c>
      <c r="V204" s="25" t="e">
        <f>U204*ROUND(Q204,2)</f>
        <v>#DIV/0!</v>
      </c>
    </row>
    <row r="205" spans="1:22" x14ac:dyDescent="0.2">
      <c r="A205" s="92" t="s">
        <v>486</v>
      </c>
      <c r="B205" s="93" t="s">
        <v>47</v>
      </c>
      <c r="C205" s="93" t="s">
        <v>394</v>
      </c>
      <c r="D205" s="93" t="s">
        <v>434</v>
      </c>
      <c r="E205" s="94" t="s">
        <v>407</v>
      </c>
      <c r="F205" s="93" t="s">
        <v>442</v>
      </c>
      <c r="G205" s="93" t="s">
        <v>266</v>
      </c>
      <c r="H205" s="93" t="s">
        <v>13</v>
      </c>
      <c r="I205" s="93" t="s">
        <v>255</v>
      </c>
      <c r="J205" s="93" t="s">
        <v>47</v>
      </c>
      <c r="K205" s="93"/>
      <c r="L205" s="95">
        <v>1.1000000000000001</v>
      </c>
      <c r="M205" s="95">
        <f>L205*VLOOKUP(H205,dagsoorttabel1,2,FALSE)</f>
        <v>0.86274509803921573</v>
      </c>
      <c r="N205" s="96">
        <f>prodnorm40</f>
        <v>0</v>
      </c>
      <c r="O205" s="37">
        <f>dagwerk40</f>
        <v>0</v>
      </c>
      <c r="P205" s="93" t="s">
        <v>105</v>
      </c>
      <c r="Q205" s="24">
        <f>uurtarief40</f>
        <v>0</v>
      </c>
      <c r="R205" s="95" t="e">
        <f>IF(ISBLANK(N205),0,M205/ROUND(N205,4))</f>
        <v>#DIV/0!</v>
      </c>
      <c r="S205" s="95" t="e">
        <f>IF(ISBLANK(N205),0,R205*ROUND(O205,2))</f>
        <v>#DIV/0!</v>
      </c>
      <c r="T205" s="24" t="e">
        <f>ROUND(Q205,2)*R205</f>
        <v>#DIV/0!</v>
      </c>
      <c r="U205" s="95" t="e">
        <f>R205*dagenperjaar1</f>
        <v>#DIV/0!</v>
      </c>
      <c r="V205" s="25" t="e">
        <f>U205*ROUND(Q205,2)</f>
        <v>#DIV/0!</v>
      </c>
    </row>
    <row r="206" spans="1:22" x14ac:dyDescent="0.2">
      <c r="A206" s="92" t="s">
        <v>486</v>
      </c>
      <c r="B206" s="93" t="s">
        <v>47</v>
      </c>
      <c r="C206" s="93" t="s">
        <v>394</v>
      </c>
      <c r="D206" s="93" t="s">
        <v>434</v>
      </c>
      <c r="E206" s="94" t="s">
        <v>407</v>
      </c>
      <c r="F206" s="93" t="s">
        <v>442</v>
      </c>
      <c r="G206" s="93" t="s">
        <v>268</v>
      </c>
      <c r="H206" s="93" t="s">
        <v>13</v>
      </c>
      <c r="I206" s="93" t="s">
        <v>255</v>
      </c>
      <c r="J206" s="93" t="s">
        <v>47</v>
      </c>
      <c r="K206" s="93"/>
      <c r="L206" s="95">
        <v>1.1000000000000001</v>
      </c>
      <c r="M206" s="95">
        <f>L206*VLOOKUP(H206,dagsoorttabel1,2,FALSE)</f>
        <v>0.86274509803921573</v>
      </c>
      <c r="N206" s="96">
        <f>prodnorm42</f>
        <v>0</v>
      </c>
      <c r="O206" s="37">
        <f>dagwerk42</f>
        <v>0</v>
      </c>
      <c r="P206" s="93" t="s">
        <v>105</v>
      </c>
      <c r="Q206" s="24">
        <f>uurtarief42</f>
        <v>0</v>
      </c>
      <c r="R206" s="95" t="e">
        <f>IF(ISBLANK(N206),0,M206/ROUND(N206,4))</f>
        <v>#DIV/0!</v>
      </c>
      <c r="S206" s="95" t="e">
        <f>IF(ISBLANK(N206),0,R206*ROUND(O206,2))</f>
        <v>#DIV/0!</v>
      </c>
      <c r="T206" s="24" t="e">
        <f>ROUND(Q206,2)*R206</f>
        <v>#DIV/0!</v>
      </c>
      <c r="U206" s="95" t="e">
        <f>R206*dagenperjaar1</f>
        <v>#DIV/0!</v>
      </c>
      <c r="V206" s="25" t="e">
        <f>U206*ROUND(Q206,2)</f>
        <v>#DIV/0!</v>
      </c>
    </row>
    <row r="207" spans="1:22" x14ac:dyDescent="0.2">
      <c r="A207" s="92" t="s">
        <v>486</v>
      </c>
      <c r="B207" s="93" t="s">
        <v>47</v>
      </c>
      <c r="C207" s="93" t="s">
        <v>394</v>
      </c>
      <c r="D207" s="93" t="s">
        <v>448</v>
      </c>
      <c r="E207" s="94" t="s">
        <v>430</v>
      </c>
      <c r="F207" s="93" t="s">
        <v>431</v>
      </c>
      <c r="G207" s="93" t="s">
        <v>280</v>
      </c>
      <c r="H207" s="93" t="s">
        <v>13</v>
      </c>
      <c r="I207" s="93" t="s">
        <v>255</v>
      </c>
      <c r="J207" s="93" t="s">
        <v>47</v>
      </c>
      <c r="K207" s="93"/>
      <c r="L207" s="95">
        <v>672</v>
      </c>
      <c r="M207" s="95">
        <f>L207*VLOOKUP(H207,dagsoorttabel1,2,FALSE)</f>
        <v>527.05882352941171</v>
      </c>
      <c r="N207" s="96">
        <f>prodnorm52</f>
        <v>0</v>
      </c>
      <c r="O207" s="37">
        <f>dagwerk52</f>
        <v>0</v>
      </c>
      <c r="P207" s="93" t="s">
        <v>105</v>
      </c>
      <c r="Q207" s="24">
        <f>uurtarief52</f>
        <v>0</v>
      </c>
      <c r="R207" s="95" t="e">
        <f>IF(ISBLANK(N207),0,M207/ROUND(N207,4))</f>
        <v>#DIV/0!</v>
      </c>
      <c r="S207" s="95" t="e">
        <f>IF(ISBLANK(N207),0,R207*ROUND(O207,2))</f>
        <v>#DIV/0!</v>
      </c>
      <c r="T207" s="24" t="e">
        <f>ROUND(Q207,2)*R207</f>
        <v>#DIV/0!</v>
      </c>
      <c r="U207" s="95" t="e">
        <f>R207*dagenperjaar1</f>
        <v>#DIV/0!</v>
      </c>
      <c r="V207" s="25" t="e">
        <f>U207*ROUND(Q207,2)</f>
        <v>#DIV/0!</v>
      </c>
    </row>
    <row r="208" spans="1:22" x14ac:dyDescent="0.2">
      <c r="A208" s="92" t="s">
        <v>486</v>
      </c>
      <c r="B208" s="93" t="s">
        <v>47</v>
      </c>
      <c r="C208" s="93" t="s">
        <v>394</v>
      </c>
      <c r="D208" s="93" t="s">
        <v>448</v>
      </c>
      <c r="E208" s="94" t="s">
        <v>430</v>
      </c>
      <c r="F208" s="93" t="s">
        <v>431</v>
      </c>
      <c r="G208" s="93" t="s">
        <v>282</v>
      </c>
      <c r="H208" s="93" t="s">
        <v>13</v>
      </c>
      <c r="I208" s="93" t="s">
        <v>255</v>
      </c>
      <c r="J208" s="93" t="s">
        <v>47</v>
      </c>
      <c r="K208" s="93"/>
      <c r="L208" s="95">
        <v>672</v>
      </c>
      <c r="M208" s="95">
        <f>L208*VLOOKUP(H208,dagsoorttabel1,2,FALSE)</f>
        <v>527.05882352941171</v>
      </c>
      <c r="N208" s="96">
        <f>prodnorm55</f>
        <v>0</v>
      </c>
      <c r="O208" s="37">
        <f>dagwerk55</f>
        <v>0</v>
      </c>
      <c r="P208" s="93" t="s">
        <v>105</v>
      </c>
      <c r="Q208" s="24">
        <f>uurtarief55</f>
        <v>0</v>
      </c>
      <c r="R208" s="95" t="e">
        <f>IF(ISBLANK(N208),0,M208/ROUND(N208,4))</f>
        <v>#DIV/0!</v>
      </c>
      <c r="S208" s="95" t="e">
        <f>IF(ISBLANK(N208),0,R208*ROUND(O208,2))</f>
        <v>#DIV/0!</v>
      </c>
      <c r="T208" s="24" t="e">
        <f>ROUND(Q208,2)*R208</f>
        <v>#DIV/0!</v>
      </c>
      <c r="U208" s="95" t="e">
        <f>R208*dagenperjaar1</f>
        <v>#DIV/0!</v>
      </c>
      <c r="V208" s="25" t="e">
        <f>U208*ROUND(Q208,2)</f>
        <v>#DIV/0!</v>
      </c>
    </row>
    <row r="209" spans="1:22" x14ac:dyDescent="0.2">
      <c r="A209" s="92" t="s">
        <v>486</v>
      </c>
      <c r="B209" s="93" t="s">
        <v>47</v>
      </c>
      <c r="C209" s="93" t="s">
        <v>394</v>
      </c>
      <c r="D209" s="93" t="s">
        <v>449</v>
      </c>
      <c r="E209" s="94" t="s">
        <v>433</v>
      </c>
      <c r="F209" s="93" t="s">
        <v>397</v>
      </c>
      <c r="G209" s="93" t="s">
        <v>280</v>
      </c>
      <c r="H209" s="93" t="s">
        <v>22</v>
      </c>
      <c r="I209" s="93" t="s">
        <v>255</v>
      </c>
      <c r="J209" s="93" t="s">
        <v>47</v>
      </c>
      <c r="K209" s="93"/>
      <c r="L209" s="95">
        <v>78</v>
      </c>
      <c r="M209" s="95">
        <f>L209*VLOOKUP(H209,dagsoorttabel1,2,FALSE)</f>
        <v>12.235294117647058</v>
      </c>
      <c r="N209" s="96">
        <f>prodnorm54</f>
        <v>0</v>
      </c>
      <c r="O209" s="37">
        <f>dagwerk54</f>
        <v>0</v>
      </c>
      <c r="P209" s="93" t="s">
        <v>105</v>
      </c>
      <c r="Q209" s="24">
        <f>uurtarief54</f>
        <v>0</v>
      </c>
      <c r="R209" s="95" t="e">
        <f>IF(ISBLANK(N209),0,M209/ROUND(N209,4))</f>
        <v>#DIV/0!</v>
      </c>
      <c r="S209" s="95" t="e">
        <f>IF(ISBLANK(N209),0,R209*ROUND(O209,2))</f>
        <v>#DIV/0!</v>
      </c>
      <c r="T209" s="24" t="e">
        <f>ROUND(Q209,2)*R209</f>
        <v>#DIV/0!</v>
      </c>
      <c r="U209" s="95" t="e">
        <f>R209*dagenperjaar1</f>
        <v>#DIV/0!</v>
      </c>
      <c r="V209" s="25" t="e">
        <f>U209*ROUND(Q209,2)</f>
        <v>#DIV/0!</v>
      </c>
    </row>
    <row r="210" spans="1:22" x14ac:dyDescent="0.2">
      <c r="A210" s="97" t="s">
        <v>486</v>
      </c>
      <c r="B210" s="98" t="s">
        <v>47</v>
      </c>
      <c r="C210" s="98" t="s">
        <v>394</v>
      </c>
      <c r="D210" s="98" t="s">
        <v>450</v>
      </c>
      <c r="E210" s="99" t="s">
        <v>500</v>
      </c>
      <c r="F210" s="98" t="s">
        <v>496</v>
      </c>
      <c r="G210" s="98" t="s">
        <v>259</v>
      </c>
      <c r="H210" s="98" t="s">
        <v>13</v>
      </c>
      <c r="I210" s="98" t="s">
        <v>255</v>
      </c>
      <c r="J210" s="98" t="s">
        <v>47</v>
      </c>
      <c r="K210" s="98"/>
      <c r="L210" s="100">
        <v>98</v>
      </c>
      <c r="M210" s="100">
        <f>L210*VLOOKUP(H210,dagsoorttabel1,2,FALSE)</f>
        <v>76.862745098039213</v>
      </c>
      <c r="N210" s="101">
        <f>prodnorm31</f>
        <v>0</v>
      </c>
      <c r="O210" s="102">
        <f>dagwerk31</f>
        <v>0</v>
      </c>
      <c r="P210" s="98" t="s">
        <v>105</v>
      </c>
      <c r="Q210" s="34">
        <f>uurtarief31</f>
        <v>0</v>
      </c>
      <c r="R210" s="100" t="e">
        <f>IF(ISBLANK(N210),0,M210/ROUND(N210,4))</f>
        <v>#DIV/0!</v>
      </c>
      <c r="S210" s="100" t="e">
        <f>IF(ISBLANK(N210),0,R210*ROUND(O210,2))</f>
        <v>#DIV/0!</v>
      </c>
      <c r="T210" s="34" t="e">
        <f>ROUND(Q210,2)*R210</f>
        <v>#DIV/0!</v>
      </c>
      <c r="U210" s="100" t="e">
        <f>R210*dagenperjaar1</f>
        <v>#DIV/0!</v>
      </c>
      <c r="V210" s="35" t="e">
        <f>U210*ROUND(Q210,2)</f>
        <v>#DIV/0!</v>
      </c>
    </row>
    <row r="211" spans="1:22" x14ac:dyDescent="0.2">
      <c r="A211" s="103" t="s">
        <v>436</v>
      </c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5" t="e">
        <f>IF(_xlfn.SINGLE(object7_urenjaar1)&gt;0,_xlfn.SINGLE(object7_prijsjaar1)/_xlfn.SINGLE(object7_urenjaar1),0)</f>
        <v>#DIV/0!</v>
      </c>
      <c r="R211" s="74" t="e">
        <f>SUM(R161:R210)</f>
        <v>#DIV/0!</v>
      </c>
      <c r="S211" s="74" t="e">
        <f>SUM(S161:S210)</f>
        <v>#DIV/0!</v>
      </c>
      <c r="T211" s="75" t="e">
        <f>SUM(T161:T210)</f>
        <v>#DIV/0!</v>
      </c>
      <c r="U211" s="74" t="e">
        <f>SUM(U161:U210)</f>
        <v>#DIV/0!</v>
      </c>
      <c r="V211" s="76" t="e">
        <f>SUM(V161:V210)</f>
        <v>#DIV/0!</v>
      </c>
    </row>
    <row r="212" spans="1:22" x14ac:dyDescent="0.2">
      <c r="A212" s="83" t="s">
        <v>501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71"/>
    </row>
    <row r="213" spans="1:22" x14ac:dyDescent="0.2">
      <c r="A213" s="84" t="s">
        <v>502</v>
      </c>
      <c r="B213" s="85" t="s">
        <v>47</v>
      </c>
      <c r="C213" s="85" t="s">
        <v>394</v>
      </c>
      <c r="D213" s="85" t="s">
        <v>395</v>
      </c>
      <c r="E213" s="86" t="s">
        <v>430</v>
      </c>
      <c r="F213" s="85" t="s">
        <v>439</v>
      </c>
      <c r="G213" s="85" t="s">
        <v>280</v>
      </c>
      <c r="H213" s="85" t="s">
        <v>13</v>
      </c>
      <c r="I213" s="85" t="s">
        <v>255</v>
      </c>
      <c r="J213" s="85" t="s">
        <v>47</v>
      </c>
      <c r="K213" s="85"/>
      <c r="L213" s="87">
        <v>1056</v>
      </c>
      <c r="M213" s="87">
        <f>L213*VLOOKUP(H213,dagsoorttabel1,2,FALSE)</f>
        <v>828.23529411764707</v>
      </c>
      <c r="N213" s="88">
        <f>prodnorm52</f>
        <v>0</v>
      </c>
      <c r="O213" s="89">
        <f>dagwerk52</f>
        <v>0</v>
      </c>
      <c r="P213" s="85" t="s">
        <v>105</v>
      </c>
      <c r="Q213" s="90">
        <f>uurtarief52</f>
        <v>0</v>
      </c>
      <c r="R213" s="87" t="e">
        <f>IF(ISBLANK(N213),0,M213/ROUND(N213,4))</f>
        <v>#DIV/0!</v>
      </c>
      <c r="S213" s="87" t="e">
        <f>IF(ISBLANK(N213),0,R213*ROUND(O213,2))</f>
        <v>#DIV/0!</v>
      </c>
      <c r="T213" s="90" t="e">
        <f>ROUND(Q213,2)*R213</f>
        <v>#DIV/0!</v>
      </c>
      <c r="U213" s="87" t="e">
        <f>R213*dagenperjaar1</f>
        <v>#DIV/0!</v>
      </c>
      <c r="V213" s="91" t="e">
        <f>U213*ROUND(Q213,2)</f>
        <v>#DIV/0!</v>
      </c>
    </row>
    <row r="214" spans="1:22" x14ac:dyDescent="0.2">
      <c r="A214" s="92" t="s">
        <v>502</v>
      </c>
      <c r="B214" s="93" t="s">
        <v>47</v>
      </c>
      <c r="C214" s="93" t="s">
        <v>394</v>
      </c>
      <c r="D214" s="93" t="s">
        <v>395</v>
      </c>
      <c r="E214" s="94" t="s">
        <v>430</v>
      </c>
      <c r="F214" s="93" t="s">
        <v>439</v>
      </c>
      <c r="G214" s="93" t="s">
        <v>282</v>
      </c>
      <c r="H214" s="93" t="s">
        <v>13</v>
      </c>
      <c r="I214" s="93" t="s">
        <v>255</v>
      </c>
      <c r="J214" s="93" t="s">
        <v>47</v>
      </c>
      <c r="K214" s="93"/>
      <c r="L214" s="95">
        <v>1056</v>
      </c>
      <c r="M214" s="95">
        <f>L214*VLOOKUP(H214,dagsoorttabel1,2,FALSE)</f>
        <v>828.23529411764707</v>
      </c>
      <c r="N214" s="96">
        <f>prodnorm55</f>
        <v>0</v>
      </c>
      <c r="O214" s="37">
        <f>dagwerk55</f>
        <v>0</v>
      </c>
      <c r="P214" s="93" t="s">
        <v>105</v>
      </c>
      <c r="Q214" s="24">
        <f>uurtarief55</f>
        <v>0</v>
      </c>
      <c r="R214" s="95" t="e">
        <f>IF(ISBLANK(N214),0,M214/ROUND(N214,4))</f>
        <v>#DIV/0!</v>
      </c>
      <c r="S214" s="95" t="e">
        <f>IF(ISBLANK(N214),0,R214*ROUND(O214,2))</f>
        <v>#DIV/0!</v>
      </c>
      <c r="T214" s="24" t="e">
        <f>ROUND(Q214,2)*R214</f>
        <v>#DIV/0!</v>
      </c>
      <c r="U214" s="95" t="e">
        <f>R214*dagenperjaar1</f>
        <v>#DIV/0!</v>
      </c>
      <c r="V214" s="25" t="e">
        <f>U214*ROUND(Q214,2)</f>
        <v>#DIV/0!</v>
      </c>
    </row>
    <row r="215" spans="1:22" x14ac:dyDescent="0.2">
      <c r="A215" s="92" t="s">
        <v>502</v>
      </c>
      <c r="B215" s="93" t="s">
        <v>47</v>
      </c>
      <c r="C215" s="93" t="s">
        <v>394</v>
      </c>
      <c r="D215" s="93" t="s">
        <v>398</v>
      </c>
      <c r="E215" s="94" t="s">
        <v>440</v>
      </c>
      <c r="F215" s="93" t="s">
        <v>441</v>
      </c>
      <c r="G215" s="93" t="s">
        <v>280</v>
      </c>
      <c r="H215" s="93" t="s">
        <v>22</v>
      </c>
      <c r="I215" s="93" t="s">
        <v>255</v>
      </c>
      <c r="J215" s="93" t="s">
        <v>47</v>
      </c>
      <c r="K215" s="93"/>
      <c r="L215" s="95">
        <v>131</v>
      </c>
      <c r="M215" s="95">
        <f>L215*VLOOKUP(H215,dagsoorttabel1,2,FALSE)</f>
        <v>20.549019607843135</v>
      </c>
      <c r="N215" s="96">
        <f>prodnorm54</f>
        <v>0</v>
      </c>
      <c r="O215" s="37">
        <f>dagwerk54</f>
        <v>0</v>
      </c>
      <c r="P215" s="93" t="s">
        <v>105</v>
      </c>
      <c r="Q215" s="24">
        <f>uurtarief54</f>
        <v>0</v>
      </c>
      <c r="R215" s="95" t="e">
        <f>IF(ISBLANK(N215),0,M215/ROUND(N215,4))</f>
        <v>#DIV/0!</v>
      </c>
      <c r="S215" s="95" t="e">
        <f>IF(ISBLANK(N215),0,R215*ROUND(O215,2))</f>
        <v>#DIV/0!</v>
      </c>
      <c r="T215" s="24" t="e">
        <f>ROUND(Q215,2)*R215</f>
        <v>#DIV/0!</v>
      </c>
      <c r="U215" s="95" t="e">
        <f>R215*dagenperjaar1</f>
        <v>#DIV/0!</v>
      </c>
      <c r="V215" s="25" t="e">
        <f>U215*ROUND(Q215,2)</f>
        <v>#DIV/0!</v>
      </c>
    </row>
    <row r="216" spans="1:22" x14ac:dyDescent="0.2">
      <c r="A216" s="92" t="s">
        <v>502</v>
      </c>
      <c r="B216" s="93" t="s">
        <v>47</v>
      </c>
      <c r="C216" s="93" t="s">
        <v>394</v>
      </c>
      <c r="D216" s="93" t="s">
        <v>400</v>
      </c>
      <c r="E216" s="94" t="s">
        <v>443</v>
      </c>
      <c r="F216" s="93" t="s">
        <v>442</v>
      </c>
      <c r="G216" s="93" t="s">
        <v>304</v>
      </c>
      <c r="H216" s="93" t="s">
        <v>13</v>
      </c>
      <c r="I216" s="93" t="s">
        <v>255</v>
      </c>
      <c r="J216" s="93" t="s">
        <v>47</v>
      </c>
      <c r="K216" s="93"/>
      <c r="L216" s="95">
        <v>3.7</v>
      </c>
      <c r="M216" s="95">
        <f>L216*VLOOKUP(H216,dagsoorttabel1,2,FALSE)</f>
        <v>2.9019607843137254</v>
      </c>
      <c r="N216" s="96">
        <f>prodnorm74</f>
        <v>0</v>
      </c>
      <c r="O216" s="37">
        <f>dagwerk74</f>
        <v>0</v>
      </c>
      <c r="P216" s="93" t="s">
        <v>105</v>
      </c>
      <c r="Q216" s="24">
        <f>uurtarief74</f>
        <v>0</v>
      </c>
      <c r="R216" s="95" t="e">
        <f>IF(ISBLANK(N216),0,M216/ROUND(N216,4))</f>
        <v>#DIV/0!</v>
      </c>
      <c r="S216" s="95" t="e">
        <f>IF(ISBLANK(N216),0,R216*ROUND(O216,2))</f>
        <v>#DIV/0!</v>
      </c>
      <c r="T216" s="24" t="e">
        <f>ROUND(Q216,2)*R216</f>
        <v>#DIV/0!</v>
      </c>
      <c r="U216" s="95" t="e">
        <f>R216*dagenperjaar1</f>
        <v>#DIV/0!</v>
      </c>
      <c r="V216" s="25" t="e">
        <f>U216*ROUND(Q216,2)</f>
        <v>#DIV/0!</v>
      </c>
    </row>
    <row r="217" spans="1:22" x14ac:dyDescent="0.2">
      <c r="A217" s="92" t="s">
        <v>502</v>
      </c>
      <c r="B217" s="93" t="s">
        <v>47</v>
      </c>
      <c r="C217" s="93" t="s">
        <v>394</v>
      </c>
      <c r="D217" s="93" t="s">
        <v>400</v>
      </c>
      <c r="E217" s="94" t="s">
        <v>443</v>
      </c>
      <c r="F217" s="93" t="s">
        <v>442</v>
      </c>
      <c r="G217" s="93" t="s">
        <v>306</v>
      </c>
      <c r="H217" s="93" t="s">
        <v>13</v>
      </c>
      <c r="I217" s="93" t="s">
        <v>255</v>
      </c>
      <c r="J217" s="93" t="s">
        <v>47</v>
      </c>
      <c r="K217" s="93"/>
      <c r="L217" s="95">
        <v>3.7</v>
      </c>
      <c r="M217" s="95">
        <f>L217*VLOOKUP(H217,dagsoorttabel1,2,FALSE)</f>
        <v>2.9019607843137254</v>
      </c>
      <c r="N217" s="96">
        <f>prodnorm78</f>
        <v>0</v>
      </c>
      <c r="O217" s="37">
        <f>dagwerk78</f>
        <v>0</v>
      </c>
      <c r="P217" s="93" t="s">
        <v>105</v>
      </c>
      <c r="Q217" s="24">
        <f>uurtarief78</f>
        <v>0</v>
      </c>
      <c r="R217" s="95" t="e">
        <f>IF(ISBLANK(N217),0,M217/ROUND(N217,4))</f>
        <v>#DIV/0!</v>
      </c>
      <c r="S217" s="95" t="e">
        <f>IF(ISBLANK(N217),0,R217*ROUND(O217,2))</f>
        <v>#DIV/0!</v>
      </c>
      <c r="T217" s="24" t="e">
        <f>ROUND(Q217,2)*R217</f>
        <v>#DIV/0!</v>
      </c>
      <c r="U217" s="95" t="e">
        <f>R217*dagenperjaar1</f>
        <v>#DIV/0!</v>
      </c>
      <c r="V217" s="25" t="e">
        <f>U217*ROUND(Q217,2)</f>
        <v>#DIV/0!</v>
      </c>
    </row>
    <row r="218" spans="1:22" x14ac:dyDescent="0.2">
      <c r="A218" s="92" t="s">
        <v>502</v>
      </c>
      <c r="B218" s="93" t="s">
        <v>47</v>
      </c>
      <c r="C218" s="93" t="s">
        <v>394</v>
      </c>
      <c r="D218" s="93" t="s">
        <v>402</v>
      </c>
      <c r="E218" s="94" t="s">
        <v>443</v>
      </c>
      <c r="F218" s="93" t="s">
        <v>442</v>
      </c>
      <c r="G218" s="93" t="s">
        <v>304</v>
      </c>
      <c r="H218" s="93" t="s">
        <v>13</v>
      </c>
      <c r="I218" s="93" t="s">
        <v>255</v>
      </c>
      <c r="J218" s="93" t="s">
        <v>47</v>
      </c>
      <c r="K218" s="93"/>
      <c r="L218" s="95">
        <v>3.7</v>
      </c>
      <c r="M218" s="95">
        <f>L218*VLOOKUP(H218,dagsoorttabel1,2,FALSE)</f>
        <v>2.9019607843137254</v>
      </c>
      <c r="N218" s="96">
        <f>prodnorm74</f>
        <v>0</v>
      </c>
      <c r="O218" s="37">
        <f>dagwerk74</f>
        <v>0</v>
      </c>
      <c r="P218" s="93" t="s">
        <v>105</v>
      </c>
      <c r="Q218" s="24">
        <f>uurtarief74</f>
        <v>0</v>
      </c>
      <c r="R218" s="95" t="e">
        <f>IF(ISBLANK(N218),0,M218/ROUND(N218,4))</f>
        <v>#DIV/0!</v>
      </c>
      <c r="S218" s="95" t="e">
        <f>IF(ISBLANK(N218),0,R218*ROUND(O218,2))</f>
        <v>#DIV/0!</v>
      </c>
      <c r="T218" s="24" t="e">
        <f>ROUND(Q218,2)*R218</f>
        <v>#DIV/0!</v>
      </c>
      <c r="U218" s="95" t="e">
        <f>R218*dagenperjaar1</f>
        <v>#DIV/0!</v>
      </c>
      <c r="V218" s="25" t="e">
        <f>U218*ROUND(Q218,2)</f>
        <v>#DIV/0!</v>
      </c>
    </row>
    <row r="219" spans="1:22" x14ac:dyDescent="0.2">
      <c r="A219" s="92" t="s">
        <v>502</v>
      </c>
      <c r="B219" s="93" t="s">
        <v>47</v>
      </c>
      <c r="C219" s="93" t="s">
        <v>394</v>
      </c>
      <c r="D219" s="93" t="s">
        <v>402</v>
      </c>
      <c r="E219" s="94" t="s">
        <v>443</v>
      </c>
      <c r="F219" s="93" t="s">
        <v>442</v>
      </c>
      <c r="G219" s="93" t="s">
        <v>306</v>
      </c>
      <c r="H219" s="93" t="s">
        <v>13</v>
      </c>
      <c r="I219" s="93" t="s">
        <v>255</v>
      </c>
      <c r="J219" s="93" t="s">
        <v>47</v>
      </c>
      <c r="K219" s="93"/>
      <c r="L219" s="95">
        <v>3.7</v>
      </c>
      <c r="M219" s="95">
        <f>L219*VLOOKUP(H219,dagsoorttabel1,2,FALSE)</f>
        <v>2.9019607843137254</v>
      </c>
      <c r="N219" s="96">
        <f>prodnorm78</f>
        <v>0</v>
      </c>
      <c r="O219" s="37">
        <f>dagwerk78</f>
        <v>0</v>
      </c>
      <c r="P219" s="93" t="s">
        <v>105</v>
      </c>
      <c r="Q219" s="24">
        <f>uurtarief78</f>
        <v>0</v>
      </c>
      <c r="R219" s="95" t="e">
        <f>IF(ISBLANK(N219),0,M219/ROUND(N219,4))</f>
        <v>#DIV/0!</v>
      </c>
      <c r="S219" s="95" t="e">
        <f>IF(ISBLANK(N219),0,R219*ROUND(O219,2))</f>
        <v>#DIV/0!</v>
      </c>
      <c r="T219" s="24" t="e">
        <f>ROUND(Q219,2)*R219</f>
        <v>#DIV/0!</v>
      </c>
      <c r="U219" s="95" t="e">
        <f>R219*dagenperjaar1</f>
        <v>#DIV/0!</v>
      </c>
      <c r="V219" s="25" t="e">
        <f>U219*ROUND(Q219,2)</f>
        <v>#DIV/0!</v>
      </c>
    </row>
    <row r="220" spans="1:22" x14ac:dyDescent="0.2">
      <c r="A220" s="92" t="s">
        <v>502</v>
      </c>
      <c r="B220" s="93" t="s">
        <v>47</v>
      </c>
      <c r="C220" s="93" t="s">
        <v>394</v>
      </c>
      <c r="D220" s="93" t="s">
        <v>404</v>
      </c>
      <c r="E220" s="94" t="s">
        <v>443</v>
      </c>
      <c r="F220" s="93" t="s">
        <v>442</v>
      </c>
      <c r="G220" s="93" t="s">
        <v>304</v>
      </c>
      <c r="H220" s="93" t="s">
        <v>13</v>
      </c>
      <c r="I220" s="93" t="s">
        <v>255</v>
      </c>
      <c r="J220" s="93" t="s">
        <v>47</v>
      </c>
      <c r="K220" s="93"/>
      <c r="L220" s="95">
        <v>2.5</v>
      </c>
      <c r="M220" s="95">
        <f>L220*VLOOKUP(H220,dagsoorttabel1,2,FALSE)</f>
        <v>1.9607843137254901</v>
      </c>
      <c r="N220" s="96">
        <f>prodnorm74</f>
        <v>0</v>
      </c>
      <c r="O220" s="37">
        <f>dagwerk74</f>
        <v>0</v>
      </c>
      <c r="P220" s="93" t="s">
        <v>105</v>
      </c>
      <c r="Q220" s="24">
        <f>uurtarief74</f>
        <v>0</v>
      </c>
      <c r="R220" s="95" t="e">
        <f>IF(ISBLANK(N220),0,M220/ROUND(N220,4))</f>
        <v>#DIV/0!</v>
      </c>
      <c r="S220" s="95" t="e">
        <f>IF(ISBLANK(N220),0,R220*ROUND(O220,2))</f>
        <v>#DIV/0!</v>
      </c>
      <c r="T220" s="24" t="e">
        <f>ROUND(Q220,2)*R220</f>
        <v>#DIV/0!</v>
      </c>
      <c r="U220" s="95" t="e">
        <f>R220*dagenperjaar1</f>
        <v>#DIV/0!</v>
      </c>
      <c r="V220" s="25" t="e">
        <f>U220*ROUND(Q220,2)</f>
        <v>#DIV/0!</v>
      </c>
    </row>
    <row r="221" spans="1:22" x14ac:dyDescent="0.2">
      <c r="A221" s="92" t="s">
        <v>502</v>
      </c>
      <c r="B221" s="93" t="s">
        <v>47</v>
      </c>
      <c r="C221" s="93" t="s">
        <v>394</v>
      </c>
      <c r="D221" s="93" t="s">
        <v>404</v>
      </c>
      <c r="E221" s="94" t="s">
        <v>443</v>
      </c>
      <c r="F221" s="93" t="s">
        <v>442</v>
      </c>
      <c r="G221" s="93" t="s">
        <v>306</v>
      </c>
      <c r="H221" s="93" t="s">
        <v>13</v>
      </c>
      <c r="I221" s="93" t="s">
        <v>255</v>
      </c>
      <c r="J221" s="93" t="s">
        <v>47</v>
      </c>
      <c r="K221" s="93"/>
      <c r="L221" s="95">
        <v>2.5</v>
      </c>
      <c r="M221" s="95">
        <f>L221*VLOOKUP(H221,dagsoorttabel1,2,FALSE)</f>
        <v>1.9607843137254901</v>
      </c>
      <c r="N221" s="96">
        <f>prodnorm78</f>
        <v>0</v>
      </c>
      <c r="O221" s="37">
        <f>dagwerk78</f>
        <v>0</v>
      </c>
      <c r="P221" s="93" t="s">
        <v>105</v>
      </c>
      <c r="Q221" s="24">
        <f>uurtarief78</f>
        <v>0</v>
      </c>
      <c r="R221" s="95" t="e">
        <f>IF(ISBLANK(N221),0,M221/ROUND(N221,4))</f>
        <v>#DIV/0!</v>
      </c>
      <c r="S221" s="95" t="e">
        <f>IF(ISBLANK(N221),0,R221*ROUND(O221,2))</f>
        <v>#DIV/0!</v>
      </c>
      <c r="T221" s="24" t="e">
        <f>ROUND(Q221,2)*R221</f>
        <v>#DIV/0!</v>
      </c>
      <c r="U221" s="95" t="e">
        <f>R221*dagenperjaar1</f>
        <v>#DIV/0!</v>
      </c>
      <c r="V221" s="25" t="e">
        <f>U221*ROUND(Q221,2)</f>
        <v>#DIV/0!</v>
      </c>
    </row>
    <row r="222" spans="1:22" x14ac:dyDescent="0.2">
      <c r="A222" s="92" t="s">
        <v>502</v>
      </c>
      <c r="B222" s="93" t="s">
        <v>47</v>
      </c>
      <c r="C222" s="93" t="s">
        <v>394</v>
      </c>
      <c r="D222" s="93" t="s">
        <v>406</v>
      </c>
      <c r="E222" s="94" t="s">
        <v>443</v>
      </c>
      <c r="F222" s="93" t="s">
        <v>442</v>
      </c>
      <c r="G222" s="93" t="s">
        <v>304</v>
      </c>
      <c r="H222" s="93" t="s">
        <v>13</v>
      </c>
      <c r="I222" s="93" t="s">
        <v>255</v>
      </c>
      <c r="J222" s="93" t="s">
        <v>47</v>
      </c>
      <c r="K222" s="93"/>
      <c r="L222" s="95">
        <v>2.5</v>
      </c>
      <c r="M222" s="95">
        <f>L222*VLOOKUP(H222,dagsoorttabel1,2,FALSE)</f>
        <v>1.9607843137254901</v>
      </c>
      <c r="N222" s="96">
        <f>prodnorm74</f>
        <v>0</v>
      </c>
      <c r="O222" s="37">
        <f>dagwerk74</f>
        <v>0</v>
      </c>
      <c r="P222" s="93" t="s">
        <v>105</v>
      </c>
      <c r="Q222" s="24">
        <f>uurtarief74</f>
        <v>0</v>
      </c>
      <c r="R222" s="95" t="e">
        <f>IF(ISBLANK(N222),0,M222/ROUND(N222,4))</f>
        <v>#DIV/0!</v>
      </c>
      <c r="S222" s="95" t="e">
        <f>IF(ISBLANK(N222),0,R222*ROUND(O222,2))</f>
        <v>#DIV/0!</v>
      </c>
      <c r="T222" s="24" t="e">
        <f>ROUND(Q222,2)*R222</f>
        <v>#DIV/0!</v>
      </c>
      <c r="U222" s="95" t="e">
        <f>R222*dagenperjaar1</f>
        <v>#DIV/0!</v>
      </c>
      <c r="V222" s="25" t="e">
        <f>U222*ROUND(Q222,2)</f>
        <v>#DIV/0!</v>
      </c>
    </row>
    <row r="223" spans="1:22" x14ac:dyDescent="0.2">
      <c r="A223" s="92" t="s">
        <v>502</v>
      </c>
      <c r="B223" s="93" t="s">
        <v>47</v>
      </c>
      <c r="C223" s="93" t="s">
        <v>394</v>
      </c>
      <c r="D223" s="93" t="s">
        <v>406</v>
      </c>
      <c r="E223" s="94" t="s">
        <v>443</v>
      </c>
      <c r="F223" s="93" t="s">
        <v>442</v>
      </c>
      <c r="G223" s="93" t="s">
        <v>306</v>
      </c>
      <c r="H223" s="93" t="s">
        <v>13</v>
      </c>
      <c r="I223" s="93" t="s">
        <v>255</v>
      </c>
      <c r="J223" s="93" t="s">
        <v>47</v>
      </c>
      <c r="K223" s="93"/>
      <c r="L223" s="95">
        <v>2.5</v>
      </c>
      <c r="M223" s="95">
        <f>L223*VLOOKUP(H223,dagsoorttabel1,2,FALSE)</f>
        <v>1.9607843137254901</v>
      </c>
      <c r="N223" s="96">
        <f>prodnorm78</f>
        <v>0</v>
      </c>
      <c r="O223" s="37">
        <f>dagwerk78</f>
        <v>0</v>
      </c>
      <c r="P223" s="93" t="s">
        <v>105</v>
      </c>
      <c r="Q223" s="24">
        <f>uurtarief78</f>
        <v>0</v>
      </c>
      <c r="R223" s="95" t="e">
        <f>IF(ISBLANK(N223),0,M223/ROUND(N223,4))</f>
        <v>#DIV/0!</v>
      </c>
      <c r="S223" s="95" t="e">
        <f>IF(ISBLANK(N223),0,R223*ROUND(O223,2))</f>
        <v>#DIV/0!</v>
      </c>
      <c r="T223" s="24" t="e">
        <f>ROUND(Q223,2)*R223</f>
        <v>#DIV/0!</v>
      </c>
      <c r="U223" s="95" t="e">
        <f>R223*dagenperjaar1</f>
        <v>#DIV/0!</v>
      </c>
      <c r="V223" s="25" t="e">
        <f>U223*ROUND(Q223,2)</f>
        <v>#DIV/0!</v>
      </c>
    </row>
    <row r="224" spans="1:22" x14ac:dyDescent="0.2">
      <c r="A224" s="92" t="s">
        <v>502</v>
      </c>
      <c r="B224" s="93" t="s">
        <v>47</v>
      </c>
      <c r="C224" s="93" t="s">
        <v>394</v>
      </c>
      <c r="D224" s="93" t="s">
        <v>409</v>
      </c>
      <c r="E224" s="94" t="s">
        <v>444</v>
      </c>
      <c r="F224" s="93" t="s">
        <v>442</v>
      </c>
      <c r="G224" s="93" t="s">
        <v>304</v>
      </c>
      <c r="H224" s="93" t="s">
        <v>13</v>
      </c>
      <c r="I224" s="93" t="s">
        <v>255</v>
      </c>
      <c r="J224" s="93" t="s">
        <v>47</v>
      </c>
      <c r="K224" s="93"/>
      <c r="L224" s="95">
        <v>1</v>
      </c>
      <c r="M224" s="95">
        <f>L224*VLOOKUP(H224,dagsoorttabel1,2,FALSE)</f>
        <v>0.78431372549019607</v>
      </c>
      <c r="N224" s="96">
        <f>prodnorm74</f>
        <v>0</v>
      </c>
      <c r="O224" s="37">
        <f>dagwerk74</f>
        <v>0</v>
      </c>
      <c r="P224" s="93" t="s">
        <v>105</v>
      </c>
      <c r="Q224" s="24">
        <f>uurtarief74</f>
        <v>0</v>
      </c>
      <c r="R224" s="95" t="e">
        <f>IF(ISBLANK(N224),0,M224/ROUND(N224,4))</f>
        <v>#DIV/0!</v>
      </c>
      <c r="S224" s="95" t="e">
        <f>IF(ISBLANK(N224),0,R224*ROUND(O224,2))</f>
        <v>#DIV/0!</v>
      </c>
      <c r="T224" s="24" t="e">
        <f>ROUND(Q224,2)*R224</f>
        <v>#DIV/0!</v>
      </c>
      <c r="U224" s="95" t="e">
        <f>R224*dagenperjaar1</f>
        <v>#DIV/0!</v>
      </c>
      <c r="V224" s="25" t="e">
        <f>U224*ROUND(Q224,2)</f>
        <v>#DIV/0!</v>
      </c>
    </row>
    <row r="225" spans="1:22" x14ac:dyDescent="0.2">
      <c r="A225" s="92" t="s">
        <v>502</v>
      </c>
      <c r="B225" s="93" t="s">
        <v>47</v>
      </c>
      <c r="C225" s="93" t="s">
        <v>394</v>
      </c>
      <c r="D225" s="93" t="s">
        <v>409</v>
      </c>
      <c r="E225" s="94" t="s">
        <v>444</v>
      </c>
      <c r="F225" s="93" t="s">
        <v>442</v>
      </c>
      <c r="G225" s="93" t="s">
        <v>306</v>
      </c>
      <c r="H225" s="93" t="s">
        <v>13</v>
      </c>
      <c r="I225" s="93" t="s">
        <v>255</v>
      </c>
      <c r="J225" s="93" t="s">
        <v>47</v>
      </c>
      <c r="K225" s="93"/>
      <c r="L225" s="95">
        <v>1</v>
      </c>
      <c r="M225" s="95">
        <f>L225*VLOOKUP(H225,dagsoorttabel1,2,FALSE)</f>
        <v>0.78431372549019607</v>
      </c>
      <c r="N225" s="96">
        <f>prodnorm78</f>
        <v>0</v>
      </c>
      <c r="O225" s="37">
        <f>dagwerk78</f>
        <v>0</v>
      </c>
      <c r="P225" s="93" t="s">
        <v>105</v>
      </c>
      <c r="Q225" s="24">
        <f>uurtarief78</f>
        <v>0</v>
      </c>
      <c r="R225" s="95" t="e">
        <f>IF(ISBLANK(N225),0,M225/ROUND(N225,4))</f>
        <v>#DIV/0!</v>
      </c>
      <c r="S225" s="95" t="e">
        <f>IF(ISBLANK(N225),0,R225*ROUND(O225,2))</f>
        <v>#DIV/0!</v>
      </c>
      <c r="T225" s="24" t="e">
        <f>ROUND(Q225,2)*R225</f>
        <v>#DIV/0!</v>
      </c>
      <c r="U225" s="95" t="e">
        <f>R225*dagenperjaar1</f>
        <v>#DIV/0!</v>
      </c>
      <c r="V225" s="25" t="e">
        <f>U225*ROUND(Q225,2)</f>
        <v>#DIV/0!</v>
      </c>
    </row>
    <row r="226" spans="1:22" x14ac:dyDescent="0.2">
      <c r="A226" s="92" t="s">
        <v>502</v>
      </c>
      <c r="B226" s="93" t="s">
        <v>47</v>
      </c>
      <c r="C226" s="93" t="s">
        <v>394</v>
      </c>
      <c r="D226" s="93" t="s">
        <v>411</v>
      </c>
      <c r="E226" s="94" t="s">
        <v>444</v>
      </c>
      <c r="F226" s="93" t="s">
        <v>442</v>
      </c>
      <c r="G226" s="93" t="s">
        <v>304</v>
      </c>
      <c r="H226" s="93" t="s">
        <v>13</v>
      </c>
      <c r="I226" s="93" t="s">
        <v>255</v>
      </c>
      <c r="J226" s="93" t="s">
        <v>47</v>
      </c>
      <c r="K226" s="93"/>
      <c r="L226" s="95">
        <v>1</v>
      </c>
      <c r="M226" s="95">
        <f>L226*VLOOKUP(H226,dagsoorttabel1,2,FALSE)</f>
        <v>0.78431372549019607</v>
      </c>
      <c r="N226" s="96">
        <f>prodnorm74</f>
        <v>0</v>
      </c>
      <c r="O226" s="37">
        <f>dagwerk74</f>
        <v>0</v>
      </c>
      <c r="P226" s="93" t="s">
        <v>105</v>
      </c>
      <c r="Q226" s="24">
        <f>uurtarief74</f>
        <v>0</v>
      </c>
      <c r="R226" s="95" t="e">
        <f>IF(ISBLANK(N226),0,M226/ROUND(N226,4))</f>
        <v>#DIV/0!</v>
      </c>
      <c r="S226" s="95" t="e">
        <f>IF(ISBLANK(N226),0,R226*ROUND(O226,2))</f>
        <v>#DIV/0!</v>
      </c>
      <c r="T226" s="24" t="e">
        <f>ROUND(Q226,2)*R226</f>
        <v>#DIV/0!</v>
      </c>
      <c r="U226" s="95" t="e">
        <f>R226*dagenperjaar1</f>
        <v>#DIV/0!</v>
      </c>
      <c r="V226" s="25" t="e">
        <f>U226*ROUND(Q226,2)</f>
        <v>#DIV/0!</v>
      </c>
    </row>
    <row r="227" spans="1:22" x14ac:dyDescent="0.2">
      <c r="A227" s="92" t="s">
        <v>502</v>
      </c>
      <c r="B227" s="93" t="s">
        <v>47</v>
      </c>
      <c r="C227" s="93" t="s">
        <v>394</v>
      </c>
      <c r="D227" s="93" t="s">
        <v>411</v>
      </c>
      <c r="E227" s="94" t="s">
        <v>444</v>
      </c>
      <c r="F227" s="93" t="s">
        <v>442</v>
      </c>
      <c r="G227" s="93" t="s">
        <v>306</v>
      </c>
      <c r="H227" s="93" t="s">
        <v>13</v>
      </c>
      <c r="I227" s="93" t="s">
        <v>255</v>
      </c>
      <c r="J227" s="93" t="s">
        <v>47</v>
      </c>
      <c r="K227" s="93"/>
      <c r="L227" s="95">
        <v>1</v>
      </c>
      <c r="M227" s="95">
        <f>L227*VLOOKUP(H227,dagsoorttabel1,2,FALSE)</f>
        <v>0.78431372549019607</v>
      </c>
      <c r="N227" s="96">
        <f>prodnorm78</f>
        <v>0</v>
      </c>
      <c r="O227" s="37">
        <f>dagwerk78</f>
        <v>0</v>
      </c>
      <c r="P227" s="93" t="s">
        <v>105</v>
      </c>
      <c r="Q227" s="24">
        <f>uurtarief78</f>
        <v>0</v>
      </c>
      <c r="R227" s="95" t="e">
        <f>IF(ISBLANK(N227),0,M227/ROUND(N227,4))</f>
        <v>#DIV/0!</v>
      </c>
      <c r="S227" s="95" t="e">
        <f>IF(ISBLANK(N227),0,R227*ROUND(O227,2))</f>
        <v>#DIV/0!</v>
      </c>
      <c r="T227" s="24" t="e">
        <f>ROUND(Q227,2)*R227</f>
        <v>#DIV/0!</v>
      </c>
      <c r="U227" s="95" t="e">
        <f>R227*dagenperjaar1</f>
        <v>#DIV/0!</v>
      </c>
      <c r="V227" s="25" t="e">
        <f>U227*ROUND(Q227,2)</f>
        <v>#DIV/0!</v>
      </c>
    </row>
    <row r="228" spans="1:22" x14ac:dyDescent="0.2">
      <c r="A228" s="92" t="s">
        <v>502</v>
      </c>
      <c r="B228" s="93" t="s">
        <v>47</v>
      </c>
      <c r="C228" s="93" t="s">
        <v>394</v>
      </c>
      <c r="D228" s="93" t="s">
        <v>413</v>
      </c>
      <c r="E228" s="94" t="s">
        <v>444</v>
      </c>
      <c r="F228" s="93" t="s">
        <v>442</v>
      </c>
      <c r="G228" s="93" t="s">
        <v>304</v>
      </c>
      <c r="H228" s="93" t="s">
        <v>13</v>
      </c>
      <c r="I228" s="93" t="s">
        <v>255</v>
      </c>
      <c r="J228" s="93" t="s">
        <v>47</v>
      </c>
      <c r="K228" s="93"/>
      <c r="L228" s="95">
        <v>1</v>
      </c>
      <c r="M228" s="95">
        <f>L228*VLOOKUP(H228,dagsoorttabel1,2,FALSE)</f>
        <v>0.78431372549019607</v>
      </c>
      <c r="N228" s="96">
        <f>prodnorm74</f>
        <v>0</v>
      </c>
      <c r="O228" s="37">
        <f>dagwerk74</f>
        <v>0</v>
      </c>
      <c r="P228" s="93" t="s">
        <v>105</v>
      </c>
      <c r="Q228" s="24">
        <f>uurtarief74</f>
        <v>0</v>
      </c>
      <c r="R228" s="95" t="e">
        <f>IF(ISBLANK(N228),0,M228/ROUND(N228,4))</f>
        <v>#DIV/0!</v>
      </c>
      <c r="S228" s="95" t="e">
        <f>IF(ISBLANK(N228),0,R228*ROUND(O228,2))</f>
        <v>#DIV/0!</v>
      </c>
      <c r="T228" s="24" t="e">
        <f>ROUND(Q228,2)*R228</f>
        <v>#DIV/0!</v>
      </c>
      <c r="U228" s="95" t="e">
        <f>R228*dagenperjaar1</f>
        <v>#DIV/0!</v>
      </c>
      <c r="V228" s="25" t="e">
        <f>U228*ROUND(Q228,2)</f>
        <v>#DIV/0!</v>
      </c>
    </row>
    <row r="229" spans="1:22" x14ac:dyDescent="0.2">
      <c r="A229" s="92" t="s">
        <v>502</v>
      </c>
      <c r="B229" s="93" t="s">
        <v>47</v>
      </c>
      <c r="C229" s="93" t="s">
        <v>394</v>
      </c>
      <c r="D229" s="93" t="s">
        <v>413</v>
      </c>
      <c r="E229" s="94" t="s">
        <v>444</v>
      </c>
      <c r="F229" s="93" t="s">
        <v>442</v>
      </c>
      <c r="G229" s="93" t="s">
        <v>306</v>
      </c>
      <c r="H229" s="93" t="s">
        <v>13</v>
      </c>
      <c r="I229" s="93" t="s">
        <v>255</v>
      </c>
      <c r="J229" s="93" t="s">
        <v>47</v>
      </c>
      <c r="K229" s="93"/>
      <c r="L229" s="95">
        <v>1</v>
      </c>
      <c r="M229" s="95">
        <f>L229*VLOOKUP(H229,dagsoorttabel1,2,FALSE)</f>
        <v>0.78431372549019607</v>
      </c>
      <c r="N229" s="96">
        <f>prodnorm78</f>
        <v>0</v>
      </c>
      <c r="O229" s="37">
        <f>dagwerk78</f>
        <v>0</v>
      </c>
      <c r="P229" s="93" t="s">
        <v>105</v>
      </c>
      <c r="Q229" s="24">
        <f>uurtarief78</f>
        <v>0</v>
      </c>
      <c r="R229" s="95" t="e">
        <f>IF(ISBLANK(N229),0,M229/ROUND(N229,4))</f>
        <v>#DIV/0!</v>
      </c>
      <c r="S229" s="95" t="e">
        <f>IF(ISBLANK(N229),0,R229*ROUND(O229,2))</f>
        <v>#DIV/0!</v>
      </c>
      <c r="T229" s="24" t="e">
        <f>ROUND(Q229,2)*R229</f>
        <v>#DIV/0!</v>
      </c>
      <c r="U229" s="95" t="e">
        <f>R229*dagenperjaar1</f>
        <v>#DIV/0!</v>
      </c>
      <c r="V229" s="25" t="e">
        <f>U229*ROUND(Q229,2)</f>
        <v>#DIV/0!</v>
      </c>
    </row>
    <row r="230" spans="1:22" x14ac:dyDescent="0.2">
      <c r="A230" s="92" t="s">
        <v>502</v>
      </c>
      <c r="B230" s="93" t="s">
        <v>47</v>
      </c>
      <c r="C230" s="93" t="s">
        <v>394</v>
      </c>
      <c r="D230" s="93" t="s">
        <v>415</v>
      </c>
      <c r="E230" s="94" t="s">
        <v>444</v>
      </c>
      <c r="F230" s="93" t="s">
        <v>442</v>
      </c>
      <c r="G230" s="93" t="s">
        <v>304</v>
      </c>
      <c r="H230" s="93" t="s">
        <v>13</v>
      </c>
      <c r="I230" s="93" t="s">
        <v>255</v>
      </c>
      <c r="J230" s="93" t="s">
        <v>47</v>
      </c>
      <c r="K230" s="93"/>
      <c r="L230" s="95">
        <v>1</v>
      </c>
      <c r="M230" s="95">
        <f>L230*VLOOKUP(H230,dagsoorttabel1,2,FALSE)</f>
        <v>0.78431372549019607</v>
      </c>
      <c r="N230" s="96">
        <f>prodnorm74</f>
        <v>0</v>
      </c>
      <c r="O230" s="37">
        <f>dagwerk74</f>
        <v>0</v>
      </c>
      <c r="P230" s="93" t="s">
        <v>105</v>
      </c>
      <c r="Q230" s="24">
        <f>uurtarief74</f>
        <v>0</v>
      </c>
      <c r="R230" s="95" t="e">
        <f>IF(ISBLANK(N230),0,M230/ROUND(N230,4))</f>
        <v>#DIV/0!</v>
      </c>
      <c r="S230" s="95" t="e">
        <f>IF(ISBLANK(N230),0,R230*ROUND(O230,2))</f>
        <v>#DIV/0!</v>
      </c>
      <c r="T230" s="24" t="e">
        <f>ROUND(Q230,2)*R230</f>
        <v>#DIV/0!</v>
      </c>
      <c r="U230" s="95" t="e">
        <f>R230*dagenperjaar1</f>
        <v>#DIV/0!</v>
      </c>
      <c r="V230" s="25" t="e">
        <f>U230*ROUND(Q230,2)</f>
        <v>#DIV/0!</v>
      </c>
    </row>
    <row r="231" spans="1:22" x14ac:dyDescent="0.2">
      <c r="A231" s="92" t="s">
        <v>502</v>
      </c>
      <c r="B231" s="93" t="s">
        <v>47</v>
      </c>
      <c r="C231" s="93" t="s">
        <v>394</v>
      </c>
      <c r="D231" s="93" t="s">
        <v>415</v>
      </c>
      <c r="E231" s="94" t="s">
        <v>444</v>
      </c>
      <c r="F231" s="93" t="s">
        <v>442</v>
      </c>
      <c r="G231" s="93" t="s">
        <v>306</v>
      </c>
      <c r="H231" s="93" t="s">
        <v>13</v>
      </c>
      <c r="I231" s="93" t="s">
        <v>255</v>
      </c>
      <c r="J231" s="93" t="s">
        <v>47</v>
      </c>
      <c r="K231" s="93"/>
      <c r="L231" s="95">
        <v>1</v>
      </c>
      <c r="M231" s="95">
        <f>L231*VLOOKUP(H231,dagsoorttabel1,2,FALSE)</f>
        <v>0.78431372549019607</v>
      </c>
      <c r="N231" s="96">
        <f>prodnorm78</f>
        <v>0</v>
      </c>
      <c r="O231" s="37">
        <f>dagwerk78</f>
        <v>0</v>
      </c>
      <c r="P231" s="93" t="s">
        <v>105</v>
      </c>
      <c r="Q231" s="24">
        <f>uurtarief78</f>
        <v>0</v>
      </c>
      <c r="R231" s="95" t="e">
        <f>IF(ISBLANK(N231),0,M231/ROUND(N231,4))</f>
        <v>#DIV/0!</v>
      </c>
      <c r="S231" s="95" t="e">
        <f>IF(ISBLANK(N231),0,R231*ROUND(O231,2))</f>
        <v>#DIV/0!</v>
      </c>
      <c r="T231" s="24" t="e">
        <f>ROUND(Q231,2)*R231</f>
        <v>#DIV/0!</v>
      </c>
      <c r="U231" s="95" t="e">
        <f>R231*dagenperjaar1</f>
        <v>#DIV/0!</v>
      </c>
      <c r="V231" s="25" t="e">
        <f>U231*ROUND(Q231,2)</f>
        <v>#DIV/0!</v>
      </c>
    </row>
    <row r="232" spans="1:22" x14ac:dyDescent="0.2">
      <c r="A232" s="92" t="s">
        <v>502</v>
      </c>
      <c r="B232" s="93" t="s">
        <v>47</v>
      </c>
      <c r="C232" s="93" t="s">
        <v>394</v>
      </c>
      <c r="D232" s="93" t="s">
        <v>416</v>
      </c>
      <c r="E232" s="94" t="s">
        <v>407</v>
      </c>
      <c r="F232" s="93" t="s">
        <v>442</v>
      </c>
      <c r="G232" s="93" t="s">
        <v>266</v>
      </c>
      <c r="H232" s="93" t="s">
        <v>13</v>
      </c>
      <c r="I232" s="93" t="s">
        <v>255</v>
      </c>
      <c r="J232" s="93" t="s">
        <v>47</v>
      </c>
      <c r="K232" s="93"/>
      <c r="L232" s="95">
        <v>15</v>
      </c>
      <c r="M232" s="95">
        <f>L232*VLOOKUP(H232,dagsoorttabel1,2,FALSE)</f>
        <v>11.76470588235294</v>
      </c>
      <c r="N232" s="96">
        <f>prodnorm40</f>
        <v>0</v>
      </c>
      <c r="O232" s="37">
        <f>dagwerk40</f>
        <v>0</v>
      </c>
      <c r="P232" s="93" t="s">
        <v>105</v>
      </c>
      <c r="Q232" s="24">
        <f>uurtarief40</f>
        <v>0</v>
      </c>
      <c r="R232" s="95" t="e">
        <f>IF(ISBLANK(N232),0,M232/ROUND(N232,4))</f>
        <v>#DIV/0!</v>
      </c>
      <c r="S232" s="95" t="e">
        <f>IF(ISBLANK(N232),0,R232*ROUND(O232,2))</f>
        <v>#DIV/0!</v>
      </c>
      <c r="T232" s="24" t="e">
        <f>ROUND(Q232,2)*R232</f>
        <v>#DIV/0!</v>
      </c>
      <c r="U232" s="95" t="e">
        <f>R232*dagenperjaar1</f>
        <v>#DIV/0!</v>
      </c>
      <c r="V232" s="25" t="e">
        <f>U232*ROUND(Q232,2)</f>
        <v>#DIV/0!</v>
      </c>
    </row>
    <row r="233" spans="1:22" x14ac:dyDescent="0.2">
      <c r="A233" s="92" t="s">
        <v>502</v>
      </c>
      <c r="B233" s="93" t="s">
        <v>47</v>
      </c>
      <c r="C233" s="93" t="s">
        <v>394</v>
      </c>
      <c r="D233" s="93" t="s">
        <v>416</v>
      </c>
      <c r="E233" s="94" t="s">
        <v>407</v>
      </c>
      <c r="F233" s="93" t="s">
        <v>442</v>
      </c>
      <c r="G233" s="93" t="s">
        <v>268</v>
      </c>
      <c r="H233" s="93" t="s">
        <v>13</v>
      </c>
      <c r="I233" s="93" t="s">
        <v>255</v>
      </c>
      <c r="J233" s="93" t="s">
        <v>47</v>
      </c>
      <c r="K233" s="93"/>
      <c r="L233" s="95">
        <v>15</v>
      </c>
      <c r="M233" s="95">
        <f>L233*VLOOKUP(H233,dagsoorttabel1,2,FALSE)</f>
        <v>11.76470588235294</v>
      </c>
      <c r="N233" s="96">
        <f>prodnorm42</f>
        <v>0</v>
      </c>
      <c r="O233" s="37">
        <f>dagwerk42</f>
        <v>0</v>
      </c>
      <c r="P233" s="93" t="s">
        <v>105</v>
      </c>
      <c r="Q233" s="24">
        <f>uurtarief42</f>
        <v>0</v>
      </c>
      <c r="R233" s="95" t="e">
        <f>IF(ISBLANK(N233),0,M233/ROUND(N233,4))</f>
        <v>#DIV/0!</v>
      </c>
      <c r="S233" s="95" t="e">
        <f>IF(ISBLANK(N233),0,R233*ROUND(O233,2))</f>
        <v>#DIV/0!</v>
      </c>
      <c r="T233" s="24" t="e">
        <f>ROUND(Q233,2)*R233</f>
        <v>#DIV/0!</v>
      </c>
      <c r="U233" s="95" t="e">
        <f>R233*dagenperjaar1</f>
        <v>#DIV/0!</v>
      </c>
      <c r="V233" s="25" t="e">
        <f>U233*ROUND(Q233,2)</f>
        <v>#DIV/0!</v>
      </c>
    </row>
    <row r="234" spans="1:22" x14ac:dyDescent="0.2">
      <c r="A234" s="92" t="s">
        <v>502</v>
      </c>
      <c r="B234" s="93" t="s">
        <v>47</v>
      </c>
      <c r="C234" s="93" t="s">
        <v>394</v>
      </c>
      <c r="D234" s="93" t="s">
        <v>418</v>
      </c>
      <c r="E234" s="94" t="s">
        <v>407</v>
      </c>
      <c r="F234" s="93" t="s">
        <v>442</v>
      </c>
      <c r="G234" s="93" t="s">
        <v>266</v>
      </c>
      <c r="H234" s="93" t="s">
        <v>13</v>
      </c>
      <c r="I234" s="93" t="s">
        <v>255</v>
      </c>
      <c r="J234" s="93" t="s">
        <v>47</v>
      </c>
      <c r="K234" s="93"/>
      <c r="L234" s="95">
        <v>15</v>
      </c>
      <c r="M234" s="95">
        <f>L234*VLOOKUP(H234,dagsoorttabel1,2,FALSE)</f>
        <v>11.76470588235294</v>
      </c>
      <c r="N234" s="96">
        <f>prodnorm40</f>
        <v>0</v>
      </c>
      <c r="O234" s="37">
        <f>dagwerk40</f>
        <v>0</v>
      </c>
      <c r="P234" s="93" t="s">
        <v>105</v>
      </c>
      <c r="Q234" s="24">
        <f>uurtarief40</f>
        <v>0</v>
      </c>
      <c r="R234" s="95" t="e">
        <f>IF(ISBLANK(N234),0,M234/ROUND(N234,4))</f>
        <v>#DIV/0!</v>
      </c>
      <c r="S234" s="95" t="e">
        <f>IF(ISBLANK(N234),0,R234*ROUND(O234,2))</f>
        <v>#DIV/0!</v>
      </c>
      <c r="T234" s="24" t="e">
        <f>ROUND(Q234,2)*R234</f>
        <v>#DIV/0!</v>
      </c>
      <c r="U234" s="95" t="e">
        <f>R234*dagenperjaar1</f>
        <v>#DIV/0!</v>
      </c>
      <c r="V234" s="25" t="e">
        <f>U234*ROUND(Q234,2)</f>
        <v>#DIV/0!</v>
      </c>
    </row>
    <row r="235" spans="1:22" x14ac:dyDescent="0.2">
      <c r="A235" s="92" t="s">
        <v>502</v>
      </c>
      <c r="B235" s="93" t="s">
        <v>47</v>
      </c>
      <c r="C235" s="93" t="s">
        <v>394</v>
      </c>
      <c r="D235" s="93" t="s">
        <v>418</v>
      </c>
      <c r="E235" s="94" t="s">
        <v>407</v>
      </c>
      <c r="F235" s="93" t="s">
        <v>442</v>
      </c>
      <c r="G235" s="93" t="s">
        <v>268</v>
      </c>
      <c r="H235" s="93" t="s">
        <v>13</v>
      </c>
      <c r="I235" s="93" t="s">
        <v>255</v>
      </c>
      <c r="J235" s="93" t="s">
        <v>47</v>
      </c>
      <c r="K235" s="93"/>
      <c r="L235" s="95">
        <v>15</v>
      </c>
      <c r="M235" s="95">
        <f>L235*VLOOKUP(H235,dagsoorttabel1,2,FALSE)</f>
        <v>11.76470588235294</v>
      </c>
      <c r="N235" s="96">
        <f>prodnorm42</f>
        <v>0</v>
      </c>
      <c r="O235" s="37">
        <f>dagwerk42</f>
        <v>0</v>
      </c>
      <c r="P235" s="93" t="s">
        <v>105</v>
      </c>
      <c r="Q235" s="24">
        <f>uurtarief42</f>
        <v>0</v>
      </c>
      <c r="R235" s="95" t="e">
        <f>IF(ISBLANK(N235),0,M235/ROUND(N235,4))</f>
        <v>#DIV/0!</v>
      </c>
      <c r="S235" s="95" t="e">
        <f>IF(ISBLANK(N235),0,R235*ROUND(O235,2))</f>
        <v>#DIV/0!</v>
      </c>
      <c r="T235" s="24" t="e">
        <f>ROUND(Q235,2)*R235</f>
        <v>#DIV/0!</v>
      </c>
      <c r="U235" s="95" t="e">
        <f>R235*dagenperjaar1</f>
        <v>#DIV/0!</v>
      </c>
      <c r="V235" s="25" t="e">
        <f>U235*ROUND(Q235,2)</f>
        <v>#DIV/0!</v>
      </c>
    </row>
    <row r="236" spans="1:22" x14ac:dyDescent="0.2">
      <c r="A236" s="92" t="s">
        <v>502</v>
      </c>
      <c r="B236" s="93" t="s">
        <v>47</v>
      </c>
      <c r="C236" s="93" t="s">
        <v>394</v>
      </c>
      <c r="D236" s="93" t="s">
        <v>419</v>
      </c>
      <c r="E236" s="94" t="s">
        <v>407</v>
      </c>
      <c r="F236" s="93" t="s">
        <v>442</v>
      </c>
      <c r="G236" s="93" t="s">
        <v>266</v>
      </c>
      <c r="H236" s="93" t="s">
        <v>13</v>
      </c>
      <c r="I236" s="93" t="s">
        <v>255</v>
      </c>
      <c r="J236" s="93" t="s">
        <v>47</v>
      </c>
      <c r="K236" s="93"/>
      <c r="L236" s="95">
        <v>15</v>
      </c>
      <c r="M236" s="95">
        <f>L236*VLOOKUP(H236,dagsoorttabel1,2,FALSE)</f>
        <v>11.76470588235294</v>
      </c>
      <c r="N236" s="96">
        <f>prodnorm40</f>
        <v>0</v>
      </c>
      <c r="O236" s="37">
        <f>dagwerk40</f>
        <v>0</v>
      </c>
      <c r="P236" s="93" t="s">
        <v>105</v>
      </c>
      <c r="Q236" s="24">
        <f>uurtarief40</f>
        <v>0</v>
      </c>
      <c r="R236" s="95" t="e">
        <f>IF(ISBLANK(N236),0,M236/ROUND(N236,4))</f>
        <v>#DIV/0!</v>
      </c>
      <c r="S236" s="95" t="e">
        <f>IF(ISBLANK(N236),0,R236*ROUND(O236,2))</f>
        <v>#DIV/0!</v>
      </c>
      <c r="T236" s="24" t="e">
        <f>ROUND(Q236,2)*R236</f>
        <v>#DIV/0!</v>
      </c>
      <c r="U236" s="95" t="e">
        <f>R236*dagenperjaar1</f>
        <v>#DIV/0!</v>
      </c>
      <c r="V236" s="25" t="e">
        <f>U236*ROUND(Q236,2)</f>
        <v>#DIV/0!</v>
      </c>
    </row>
    <row r="237" spans="1:22" x14ac:dyDescent="0.2">
      <c r="A237" s="92" t="s">
        <v>502</v>
      </c>
      <c r="B237" s="93" t="s">
        <v>47</v>
      </c>
      <c r="C237" s="93" t="s">
        <v>394</v>
      </c>
      <c r="D237" s="93" t="s">
        <v>419</v>
      </c>
      <c r="E237" s="94" t="s">
        <v>407</v>
      </c>
      <c r="F237" s="93" t="s">
        <v>442</v>
      </c>
      <c r="G237" s="93" t="s">
        <v>268</v>
      </c>
      <c r="H237" s="93" t="s">
        <v>13</v>
      </c>
      <c r="I237" s="93" t="s">
        <v>255</v>
      </c>
      <c r="J237" s="93" t="s">
        <v>47</v>
      </c>
      <c r="K237" s="93"/>
      <c r="L237" s="95">
        <v>15</v>
      </c>
      <c r="M237" s="95">
        <f>L237*VLOOKUP(H237,dagsoorttabel1,2,FALSE)</f>
        <v>11.76470588235294</v>
      </c>
      <c r="N237" s="96">
        <f>prodnorm42</f>
        <v>0</v>
      </c>
      <c r="O237" s="37">
        <f>dagwerk42</f>
        <v>0</v>
      </c>
      <c r="P237" s="93" t="s">
        <v>105</v>
      </c>
      <c r="Q237" s="24">
        <f>uurtarief42</f>
        <v>0</v>
      </c>
      <c r="R237" s="95" t="e">
        <f>IF(ISBLANK(N237),0,M237/ROUND(N237,4))</f>
        <v>#DIV/0!</v>
      </c>
      <c r="S237" s="95" t="e">
        <f>IF(ISBLANK(N237),0,R237*ROUND(O237,2))</f>
        <v>#DIV/0!</v>
      </c>
      <c r="T237" s="24" t="e">
        <f>ROUND(Q237,2)*R237</f>
        <v>#DIV/0!</v>
      </c>
      <c r="U237" s="95" t="e">
        <f>R237*dagenperjaar1</f>
        <v>#DIV/0!</v>
      </c>
      <c r="V237" s="25" t="e">
        <f>U237*ROUND(Q237,2)</f>
        <v>#DIV/0!</v>
      </c>
    </row>
    <row r="238" spans="1:22" x14ac:dyDescent="0.2">
      <c r="A238" s="92" t="s">
        <v>502</v>
      </c>
      <c r="B238" s="93" t="s">
        <v>47</v>
      </c>
      <c r="C238" s="93" t="s">
        <v>394</v>
      </c>
      <c r="D238" s="93" t="s">
        <v>420</v>
      </c>
      <c r="E238" s="94" t="s">
        <v>407</v>
      </c>
      <c r="F238" s="93" t="s">
        <v>442</v>
      </c>
      <c r="G238" s="93" t="s">
        <v>266</v>
      </c>
      <c r="H238" s="93" t="s">
        <v>13</v>
      </c>
      <c r="I238" s="93" t="s">
        <v>255</v>
      </c>
      <c r="J238" s="93" t="s">
        <v>47</v>
      </c>
      <c r="K238" s="93"/>
      <c r="L238" s="95">
        <v>15</v>
      </c>
      <c r="M238" s="95">
        <f>L238*VLOOKUP(H238,dagsoorttabel1,2,FALSE)</f>
        <v>11.76470588235294</v>
      </c>
      <c r="N238" s="96">
        <f>prodnorm40</f>
        <v>0</v>
      </c>
      <c r="O238" s="37">
        <f>dagwerk40</f>
        <v>0</v>
      </c>
      <c r="P238" s="93" t="s">
        <v>105</v>
      </c>
      <c r="Q238" s="24">
        <f>uurtarief40</f>
        <v>0</v>
      </c>
      <c r="R238" s="95" t="e">
        <f>IF(ISBLANK(N238),0,M238/ROUND(N238,4))</f>
        <v>#DIV/0!</v>
      </c>
      <c r="S238" s="95" t="e">
        <f>IF(ISBLANK(N238),0,R238*ROUND(O238,2))</f>
        <v>#DIV/0!</v>
      </c>
      <c r="T238" s="24" t="e">
        <f>ROUND(Q238,2)*R238</f>
        <v>#DIV/0!</v>
      </c>
      <c r="U238" s="95" t="e">
        <f>R238*dagenperjaar1</f>
        <v>#DIV/0!</v>
      </c>
      <c r="V238" s="25" t="e">
        <f>U238*ROUND(Q238,2)</f>
        <v>#DIV/0!</v>
      </c>
    </row>
    <row r="239" spans="1:22" x14ac:dyDescent="0.2">
      <c r="A239" s="92" t="s">
        <v>502</v>
      </c>
      <c r="B239" s="93" t="s">
        <v>47</v>
      </c>
      <c r="C239" s="93" t="s">
        <v>394</v>
      </c>
      <c r="D239" s="93" t="s">
        <v>420</v>
      </c>
      <c r="E239" s="94" t="s">
        <v>407</v>
      </c>
      <c r="F239" s="93" t="s">
        <v>442</v>
      </c>
      <c r="G239" s="93" t="s">
        <v>268</v>
      </c>
      <c r="H239" s="93" t="s">
        <v>13</v>
      </c>
      <c r="I239" s="93" t="s">
        <v>255</v>
      </c>
      <c r="J239" s="93" t="s">
        <v>47</v>
      </c>
      <c r="K239" s="93"/>
      <c r="L239" s="95">
        <v>15</v>
      </c>
      <c r="M239" s="95">
        <f>L239*VLOOKUP(H239,dagsoorttabel1,2,FALSE)</f>
        <v>11.76470588235294</v>
      </c>
      <c r="N239" s="96">
        <f>prodnorm42</f>
        <v>0</v>
      </c>
      <c r="O239" s="37">
        <f>dagwerk42</f>
        <v>0</v>
      </c>
      <c r="P239" s="93" t="s">
        <v>105</v>
      </c>
      <c r="Q239" s="24">
        <f>uurtarief42</f>
        <v>0</v>
      </c>
      <c r="R239" s="95" t="e">
        <f>IF(ISBLANK(N239),0,M239/ROUND(N239,4))</f>
        <v>#DIV/0!</v>
      </c>
      <c r="S239" s="95" t="e">
        <f>IF(ISBLANK(N239),0,R239*ROUND(O239,2))</f>
        <v>#DIV/0!</v>
      </c>
      <c r="T239" s="24" t="e">
        <f>ROUND(Q239,2)*R239</f>
        <v>#DIV/0!</v>
      </c>
      <c r="U239" s="95" t="e">
        <f>R239*dagenperjaar1</f>
        <v>#DIV/0!</v>
      </c>
      <c r="V239" s="25" t="e">
        <f>U239*ROUND(Q239,2)</f>
        <v>#DIV/0!</v>
      </c>
    </row>
    <row r="240" spans="1:22" x14ac:dyDescent="0.2">
      <c r="A240" s="92" t="s">
        <v>502</v>
      </c>
      <c r="B240" s="93" t="s">
        <v>47</v>
      </c>
      <c r="C240" s="93" t="s">
        <v>394</v>
      </c>
      <c r="D240" s="93" t="s">
        <v>422</v>
      </c>
      <c r="E240" s="94" t="s">
        <v>447</v>
      </c>
      <c r="F240" s="93" t="s">
        <v>442</v>
      </c>
      <c r="G240" s="93" t="s">
        <v>284</v>
      </c>
      <c r="H240" s="93" t="s">
        <v>13</v>
      </c>
      <c r="I240" s="93" t="s">
        <v>255</v>
      </c>
      <c r="J240" s="93" t="s">
        <v>47</v>
      </c>
      <c r="K240" s="93"/>
      <c r="L240" s="95">
        <v>30.5</v>
      </c>
      <c r="M240" s="95">
        <f>L240*VLOOKUP(H240,dagsoorttabel1,2,FALSE)</f>
        <v>23.921568627450981</v>
      </c>
      <c r="N240" s="96">
        <f>prodnorm58</f>
        <v>0</v>
      </c>
      <c r="O240" s="37">
        <f>dagwerk58</f>
        <v>0</v>
      </c>
      <c r="P240" s="93" t="s">
        <v>105</v>
      </c>
      <c r="Q240" s="24">
        <f>uurtarief58</f>
        <v>0</v>
      </c>
      <c r="R240" s="95" t="e">
        <f>IF(ISBLANK(N240),0,M240/ROUND(N240,4))</f>
        <v>#DIV/0!</v>
      </c>
      <c r="S240" s="95" t="e">
        <f>IF(ISBLANK(N240),0,R240*ROUND(O240,2))</f>
        <v>#DIV/0!</v>
      </c>
      <c r="T240" s="24" t="e">
        <f>ROUND(Q240,2)*R240</f>
        <v>#DIV/0!</v>
      </c>
      <c r="U240" s="95" t="e">
        <f>R240*dagenperjaar1</f>
        <v>#DIV/0!</v>
      </c>
      <c r="V240" s="25" t="e">
        <f>U240*ROUND(Q240,2)</f>
        <v>#DIV/0!</v>
      </c>
    </row>
    <row r="241" spans="1:22" x14ac:dyDescent="0.2">
      <c r="A241" s="92" t="s">
        <v>502</v>
      </c>
      <c r="B241" s="93" t="s">
        <v>47</v>
      </c>
      <c r="C241" s="93" t="s">
        <v>394</v>
      </c>
      <c r="D241" s="93" t="s">
        <v>422</v>
      </c>
      <c r="E241" s="94" t="s">
        <v>447</v>
      </c>
      <c r="F241" s="93" t="s">
        <v>442</v>
      </c>
      <c r="G241" s="93" t="s">
        <v>286</v>
      </c>
      <c r="H241" s="93" t="s">
        <v>13</v>
      </c>
      <c r="I241" s="93" t="s">
        <v>255</v>
      </c>
      <c r="J241" s="93" t="s">
        <v>47</v>
      </c>
      <c r="K241" s="93"/>
      <c r="L241" s="95">
        <v>30.5</v>
      </c>
      <c r="M241" s="95">
        <f>L241*VLOOKUP(H241,dagsoorttabel1,2,FALSE)</f>
        <v>23.921568627450981</v>
      </c>
      <c r="N241" s="96">
        <f>prodnorm61</f>
        <v>0</v>
      </c>
      <c r="O241" s="37">
        <f>dagwerk61</f>
        <v>0</v>
      </c>
      <c r="P241" s="93" t="s">
        <v>105</v>
      </c>
      <c r="Q241" s="24">
        <f>uurtarief61</f>
        <v>0</v>
      </c>
      <c r="R241" s="95" t="e">
        <f>IF(ISBLANK(N241),0,M241/ROUND(N241,4))</f>
        <v>#DIV/0!</v>
      </c>
      <c r="S241" s="95" t="e">
        <f>IF(ISBLANK(N241),0,R241*ROUND(O241,2))</f>
        <v>#DIV/0!</v>
      </c>
      <c r="T241" s="24" t="e">
        <f>ROUND(Q241,2)*R241</f>
        <v>#DIV/0!</v>
      </c>
      <c r="U241" s="95" t="e">
        <f>R241*dagenperjaar1</f>
        <v>#DIV/0!</v>
      </c>
      <c r="V241" s="25" t="e">
        <f>U241*ROUND(Q241,2)</f>
        <v>#DIV/0!</v>
      </c>
    </row>
    <row r="242" spans="1:22" x14ac:dyDescent="0.2">
      <c r="A242" s="92" t="s">
        <v>502</v>
      </c>
      <c r="B242" s="93" t="s">
        <v>47</v>
      </c>
      <c r="C242" s="93" t="s">
        <v>394</v>
      </c>
      <c r="D242" s="93" t="s">
        <v>424</v>
      </c>
      <c r="E242" s="94" t="s">
        <v>447</v>
      </c>
      <c r="F242" s="93" t="s">
        <v>442</v>
      </c>
      <c r="G242" s="93" t="s">
        <v>284</v>
      </c>
      <c r="H242" s="93" t="s">
        <v>13</v>
      </c>
      <c r="I242" s="93" t="s">
        <v>255</v>
      </c>
      <c r="J242" s="93" t="s">
        <v>47</v>
      </c>
      <c r="K242" s="93"/>
      <c r="L242" s="95">
        <v>29.5</v>
      </c>
      <c r="M242" s="95">
        <f>L242*VLOOKUP(H242,dagsoorttabel1,2,FALSE)</f>
        <v>23.137254901960784</v>
      </c>
      <c r="N242" s="96">
        <f>prodnorm58</f>
        <v>0</v>
      </c>
      <c r="O242" s="37">
        <f>dagwerk58</f>
        <v>0</v>
      </c>
      <c r="P242" s="93" t="s">
        <v>105</v>
      </c>
      <c r="Q242" s="24">
        <f>uurtarief58</f>
        <v>0</v>
      </c>
      <c r="R242" s="95" t="e">
        <f>IF(ISBLANK(N242),0,M242/ROUND(N242,4))</f>
        <v>#DIV/0!</v>
      </c>
      <c r="S242" s="95" t="e">
        <f>IF(ISBLANK(N242),0,R242*ROUND(O242,2))</f>
        <v>#DIV/0!</v>
      </c>
      <c r="T242" s="24" t="e">
        <f>ROUND(Q242,2)*R242</f>
        <v>#DIV/0!</v>
      </c>
      <c r="U242" s="95" t="e">
        <f>R242*dagenperjaar1</f>
        <v>#DIV/0!</v>
      </c>
      <c r="V242" s="25" t="e">
        <f>U242*ROUND(Q242,2)</f>
        <v>#DIV/0!</v>
      </c>
    </row>
    <row r="243" spans="1:22" x14ac:dyDescent="0.2">
      <c r="A243" s="92" t="s">
        <v>502</v>
      </c>
      <c r="B243" s="93" t="s">
        <v>47</v>
      </c>
      <c r="C243" s="93" t="s">
        <v>394</v>
      </c>
      <c r="D243" s="93" t="s">
        <v>424</v>
      </c>
      <c r="E243" s="94" t="s">
        <v>447</v>
      </c>
      <c r="F243" s="93" t="s">
        <v>442</v>
      </c>
      <c r="G243" s="93" t="s">
        <v>286</v>
      </c>
      <c r="H243" s="93" t="s">
        <v>13</v>
      </c>
      <c r="I243" s="93" t="s">
        <v>255</v>
      </c>
      <c r="J243" s="93" t="s">
        <v>47</v>
      </c>
      <c r="K243" s="93"/>
      <c r="L243" s="95">
        <v>29.5</v>
      </c>
      <c r="M243" s="95">
        <f>L243*VLOOKUP(H243,dagsoorttabel1,2,FALSE)</f>
        <v>23.137254901960784</v>
      </c>
      <c r="N243" s="96">
        <f>prodnorm61</f>
        <v>0</v>
      </c>
      <c r="O243" s="37">
        <f>dagwerk61</f>
        <v>0</v>
      </c>
      <c r="P243" s="93" t="s">
        <v>105</v>
      </c>
      <c r="Q243" s="24">
        <f>uurtarief61</f>
        <v>0</v>
      </c>
      <c r="R243" s="95" t="e">
        <f>IF(ISBLANK(N243),0,M243/ROUND(N243,4))</f>
        <v>#DIV/0!</v>
      </c>
      <c r="S243" s="95" t="e">
        <f>IF(ISBLANK(N243),0,R243*ROUND(O243,2))</f>
        <v>#DIV/0!</v>
      </c>
      <c r="T243" s="24" t="e">
        <f>ROUND(Q243,2)*R243</f>
        <v>#DIV/0!</v>
      </c>
      <c r="U243" s="95" t="e">
        <f>R243*dagenperjaar1</f>
        <v>#DIV/0!</v>
      </c>
      <c r="V243" s="25" t="e">
        <f>U243*ROUND(Q243,2)</f>
        <v>#DIV/0!</v>
      </c>
    </row>
    <row r="244" spans="1:22" x14ac:dyDescent="0.2">
      <c r="A244" s="92" t="s">
        <v>502</v>
      </c>
      <c r="B244" s="93" t="s">
        <v>47</v>
      </c>
      <c r="C244" s="93" t="s">
        <v>394</v>
      </c>
      <c r="D244" s="93" t="s">
        <v>446</v>
      </c>
      <c r="E244" s="94" t="s">
        <v>447</v>
      </c>
      <c r="F244" s="93" t="s">
        <v>442</v>
      </c>
      <c r="G244" s="93" t="s">
        <v>284</v>
      </c>
      <c r="H244" s="93" t="s">
        <v>13</v>
      </c>
      <c r="I244" s="93" t="s">
        <v>255</v>
      </c>
      <c r="J244" s="93" t="s">
        <v>47</v>
      </c>
      <c r="K244" s="93"/>
      <c r="L244" s="95">
        <v>29.5</v>
      </c>
      <c r="M244" s="95">
        <f>L244*VLOOKUP(H244,dagsoorttabel1,2,FALSE)</f>
        <v>23.137254901960784</v>
      </c>
      <c r="N244" s="96">
        <f>prodnorm58</f>
        <v>0</v>
      </c>
      <c r="O244" s="37">
        <f>dagwerk58</f>
        <v>0</v>
      </c>
      <c r="P244" s="93" t="s">
        <v>105</v>
      </c>
      <c r="Q244" s="24">
        <f>uurtarief58</f>
        <v>0</v>
      </c>
      <c r="R244" s="95" t="e">
        <f>IF(ISBLANK(N244),0,M244/ROUND(N244,4))</f>
        <v>#DIV/0!</v>
      </c>
      <c r="S244" s="95" t="e">
        <f>IF(ISBLANK(N244),0,R244*ROUND(O244,2))</f>
        <v>#DIV/0!</v>
      </c>
      <c r="T244" s="24" t="e">
        <f>ROUND(Q244,2)*R244</f>
        <v>#DIV/0!</v>
      </c>
      <c r="U244" s="95" t="e">
        <f>R244*dagenperjaar1</f>
        <v>#DIV/0!</v>
      </c>
      <c r="V244" s="25" t="e">
        <f>U244*ROUND(Q244,2)</f>
        <v>#DIV/0!</v>
      </c>
    </row>
    <row r="245" spans="1:22" x14ac:dyDescent="0.2">
      <c r="A245" s="92" t="s">
        <v>502</v>
      </c>
      <c r="B245" s="93" t="s">
        <v>47</v>
      </c>
      <c r="C245" s="93" t="s">
        <v>394</v>
      </c>
      <c r="D245" s="93" t="s">
        <v>446</v>
      </c>
      <c r="E245" s="94" t="s">
        <v>447</v>
      </c>
      <c r="F245" s="93" t="s">
        <v>442</v>
      </c>
      <c r="G245" s="93" t="s">
        <v>286</v>
      </c>
      <c r="H245" s="93" t="s">
        <v>13</v>
      </c>
      <c r="I245" s="93" t="s">
        <v>255</v>
      </c>
      <c r="J245" s="93" t="s">
        <v>47</v>
      </c>
      <c r="K245" s="93"/>
      <c r="L245" s="95">
        <v>29.5</v>
      </c>
      <c r="M245" s="95">
        <f>L245*VLOOKUP(H245,dagsoorttabel1,2,FALSE)</f>
        <v>23.137254901960784</v>
      </c>
      <c r="N245" s="96">
        <f>prodnorm61</f>
        <v>0</v>
      </c>
      <c r="O245" s="37">
        <f>dagwerk61</f>
        <v>0</v>
      </c>
      <c r="P245" s="93" t="s">
        <v>105</v>
      </c>
      <c r="Q245" s="24">
        <f>uurtarief61</f>
        <v>0</v>
      </c>
      <c r="R245" s="95" t="e">
        <f>IF(ISBLANK(N245),0,M245/ROUND(N245,4))</f>
        <v>#DIV/0!</v>
      </c>
      <c r="S245" s="95" t="e">
        <f>IF(ISBLANK(N245),0,R245*ROUND(O245,2))</f>
        <v>#DIV/0!</v>
      </c>
      <c r="T245" s="24" t="e">
        <f>ROUND(Q245,2)*R245</f>
        <v>#DIV/0!</v>
      </c>
      <c r="U245" s="95" t="e">
        <f>R245*dagenperjaar1</f>
        <v>#DIV/0!</v>
      </c>
      <c r="V245" s="25" t="e">
        <f>U245*ROUND(Q245,2)</f>
        <v>#DIV/0!</v>
      </c>
    </row>
    <row r="246" spans="1:22" x14ac:dyDescent="0.2">
      <c r="A246" s="92" t="s">
        <v>502</v>
      </c>
      <c r="B246" s="93" t="s">
        <v>47</v>
      </c>
      <c r="C246" s="93" t="s">
        <v>394</v>
      </c>
      <c r="D246" s="93" t="s">
        <v>425</v>
      </c>
      <c r="E246" s="94" t="s">
        <v>447</v>
      </c>
      <c r="F246" s="93" t="s">
        <v>442</v>
      </c>
      <c r="G246" s="93" t="s">
        <v>284</v>
      </c>
      <c r="H246" s="93" t="s">
        <v>13</v>
      </c>
      <c r="I246" s="93" t="s">
        <v>255</v>
      </c>
      <c r="J246" s="93" t="s">
        <v>47</v>
      </c>
      <c r="K246" s="93"/>
      <c r="L246" s="95">
        <v>29</v>
      </c>
      <c r="M246" s="95">
        <f>L246*VLOOKUP(H246,dagsoorttabel1,2,FALSE)</f>
        <v>22.745098039215687</v>
      </c>
      <c r="N246" s="96">
        <f>prodnorm58</f>
        <v>0</v>
      </c>
      <c r="O246" s="37">
        <f>dagwerk58</f>
        <v>0</v>
      </c>
      <c r="P246" s="93" t="s">
        <v>105</v>
      </c>
      <c r="Q246" s="24">
        <f>uurtarief58</f>
        <v>0</v>
      </c>
      <c r="R246" s="95" t="e">
        <f>IF(ISBLANK(N246),0,M246/ROUND(N246,4))</f>
        <v>#DIV/0!</v>
      </c>
      <c r="S246" s="95" t="e">
        <f>IF(ISBLANK(N246),0,R246*ROUND(O246,2))</f>
        <v>#DIV/0!</v>
      </c>
      <c r="T246" s="24" t="e">
        <f>ROUND(Q246,2)*R246</f>
        <v>#DIV/0!</v>
      </c>
      <c r="U246" s="95" t="e">
        <f>R246*dagenperjaar1</f>
        <v>#DIV/0!</v>
      </c>
      <c r="V246" s="25" t="e">
        <f>U246*ROUND(Q246,2)</f>
        <v>#DIV/0!</v>
      </c>
    </row>
    <row r="247" spans="1:22" x14ac:dyDescent="0.2">
      <c r="A247" s="92" t="s">
        <v>502</v>
      </c>
      <c r="B247" s="93" t="s">
        <v>47</v>
      </c>
      <c r="C247" s="93" t="s">
        <v>394</v>
      </c>
      <c r="D247" s="93" t="s">
        <v>425</v>
      </c>
      <c r="E247" s="94" t="s">
        <v>447</v>
      </c>
      <c r="F247" s="93" t="s">
        <v>442</v>
      </c>
      <c r="G247" s="93" t="s">
        <v>286</v>
      </c>
      <c r="H247" s="93" t="s">
        <v>13</v>
      </c>
      <c r="I247" s="93" t="s">
        <v>255</v>
      </c>
      <c r="J247" s="93" t="s">
        <v>47</v>
      </c>
      <c r="K247" s="93"/>
      <c r="L247" s="95">
        <v>29</v>
      </c>
      <c r="M247" s="95">
        <f>L247*VLOOKUP(H247,dagsoorttabel1,2,FALSE)</f>
        <v>22.745098039215687</v>
      </c>
      <c r="N247" s="96">
        <f>prodnorm61</f>
        <v>0</v>
      </c>
      <c r="O247" s="37">
        <f>dagwerk61</f>
        <v>0</v>
      </c>
      <c r="P247" s="93" t="s">
        <v>105</v>
      </c>
      <c r="Q247" s="24">
        <f>uurtarief61</f>
        <v>0</v>
      </c>
      <c r="R247" s="95" t="e">
        <f>IF(ISBLANK(N247),0,M247/ROUND(N247,4))</f>
        <v>#DIV/0!</v>
      </c>
      <c r="S247" s="95" t="e">
        <f>IF(ISBLANK(N247),0,R247*ROUND(O247,2))</f>
        <v>#DIV/0!</v>
      </c>
      <c r="T247" s="24" t="e">
        <f>ROUND(Q247,2)*R247</f>
        <v>#DIV/0!</v>
      </c>
      <c r="U247" s="95" t="e">
        <f>R247*dagenperjaar1</f>
        <v>#DIV/0!</v>
      </c>
      <c r="V247" s="25" t="e">
        <f>U247*ROUND(Q247,2)</f>
        <v>#DIV/0!</v>
      </c>
    </row>
    <row r="248" spans="1:22" x14ac:dyDescent="0.2">
      <c r="A248" s="92" t="s">
        <v>502</v>
      </c>
      <c r="B248" s="93" t="s">
        <v>47</v>
      </c>
      <c r="C248" s="93" t="s">
        <v>394</v>
      </c>
      <c r="D248" s="93" t="s">
        <v>503</v>
      </c>
      <c r="E248" s="94" t="s">
        <v>504</v>
      </c>
      <c r="F248" s="93" t="s">
        <v>441</v>
      </c>
      <c r="G248" s="93" t="s">
        <v>304</v>
      </c>
      <c r="H248" s="93" t="s">
        <v>13</v>
      </c>
      <c r="I248" s="93" t="s">
        <v>255</v>
      </c>
      <c r="J248" s="93" t="s">
        <v>47</v>
      </c>
      <c r="K248" s="93"/>
      <c r="L248" s="95">
        <v>2.6</v>
      </c>
      <c r="M248" s="95">
        <f>L248*VLOOKUP(H248,dagsoorttabel1,2,FALSE)</f>
        <v>2.0392156862745097</v>
      </c>
      <c r="N248" s="96">
        <f>prodnorm74</f>
        <v>0</v>
      </c>
      <c r="O248" s="37">
        <f>dagwerk74</f>
        <v>0</v>
      </c>
      <c r="P248" s="93" t="s">
        <v>105</v>
      </c>
      <c r="Q248" s="24">
        <f>uurtarief74</f>
        <v>0</v>
      </c>
      <c r="R248" s="95" t="e">
        <f>IF(ISBLANK(N248),0,M248/ROUND(N248,4))</f>
        <v>#DIV/0!</v>
      </c>
      <c r="S248" s="95" t="e">
        <f>IF(ISBLANK(N248),0,R248*ROUND(O248,2))</f>
        <v>#DIV/0!</v>
      </c>
      <c r="T248" s="24" t="e">
        <f>ROUND(Q248,2)*R248</f>
        <v>#DIV/0!</v>
      </c>
      <c r="U248" s="95" t="e">
        <f>R248*dagenperjaar1</f>
        <v>#DIV/0!</v>
      </c>
      <c r="V248" s="25" t="e">
        <f>U248*ROUND(Q248,2)</f>
        <v>#DIV/0!</v>
      </c>
    </row>
    <row r="249" spans="1:22" x14ac:dyDescent="0.2">
      <c r="A249" s="92" t="s">
        <v>502</v>
      </c>
      <c r="B249" s="93" t="s">
        <v>47</v>
      </c>
      <c r="C249" s="93" t="s">
        <v>394</v>
      </c>
      <c r="D249" s="93" t="s">
        <v>503</v>
      </c>
      <c r="E249" s="94" t="s">
        <v>504</v>
      </c>
      <c r="F249" s="93" t="s">
        <v>441</v>
      </c>
      <c r="G249" s="93" t="s">
        <v>306</v>
      </c>
      <c r="H249" s="93" t="s">
        <v>13</v>
      </c>
      <c r="I249" s="93" t="s">
        <v>255</v>
      </c>
      <c r="J249" s="93" t="s">
        <v>47</v>
      </c>
      <c r="K249" s="93"/>
      <c r="L249" s="95">
        <v>2.6</v>
      </c>
      <c r="M249" s="95">
        <f>L249*VLOOKUP(H249,dagsoorttabel1,2,FALSE)</f>
        <v>2.0392156862745097</v>
      </c>
      <c r="N249" s="96">
        <f>prodnorm78</f>
        <v>0</v>
      </c>
      <c r="O249" s="37">
        <f>dagwerk78</f>
        <v>0</v>
      </c>
      <c r="P249" s="93" t="s">
        <v>105</v>
      </c>
      <c r="Q249" s="24">
        <f>uurtarief78</f>
        <v>0</v>
      </c>
      <c r="R249" s="95" t="e">
        <f>IF(ISBLANK(N249),0,M249/ROUND(N249,4))</f>
        <v>#DIV/0!</v>
      </c>
      <c r="S249" s="95" t="e">
        <f>IF(ISBLANK(N249),0,R249*ROUND(O249,2))</f>
        <v>#DIV/0!</v>
      </c>
      <c r="T249" s="24" t="e">
        <f>ROUND(Q249,2)*R249</f>
        <v>#DIV/0!</v>
      </c>
      <c r="U249" s="95" t="e">
        <f>R249*dagenperjaar1</f>
        <v>#DIV/0!</v>
      </c>
      <c r="V249" s="25" t="e">
        <f>U249*ROUND(Q249,2)</f>
        <v>#DIV/0!</v>
      </c>
    </row>
    <row r="250" spans="1:22" x14ac:dyDescent="0.2">
      <c r="A250" s="92" t="s">
        <v>502</v>
      </c>
      <c r="B250" s="93" t="s">
        <v>47</v>
      </c>
      <c r="C250" s="93" t="s">
        <v>394</v>
      </c>
      <c r="D250" s="93" t="s">
        <v>505</v>
      </c>
      <c r="E250" s="94" t="s">
        <v>504</v>
      </c>
      <c r="F250" s="93" t="s">
        <v>442</v>
      </c>
      <c r="G250" s="93" t="s">
        <v>304</v>
      </c>
      <c r="H250" s="93" t="s">
        <v>13</v>
      </c>
      <c r="I250" s="93" t="s">
        <v>255</v>
      </c>
      <c r="J250" s="93" t="s">
        <v>47</v>
      </c>
      <c r="K250" s="93"/>
      <c r="L250" s="95">
        <v>2.6</v>
      </c>
      <c r="M250" s="95">
        <f>L250*VLOOKUP(H250,dagsoorttabel1,2,FALSE)</f>
        <v>2.0392156862745097</v>
      </c>
      <c r="N250" s="96">
        <f>prodnorm74</f>
        <v>0</v>
      </c>
      <c r="O250" s="37">
        <f>dagwerk74</f>
        <v>0</v>
      </c>
      <c r="P250" s="93" t="s">
        <v>105</v>
      </c>
      <c r="Q250" s="24">
        <f>uurtarief74</f>
        <v>0</v>
      </c>
      <c r="R250" s="95" t="e">
        <f>IF(ISBLANK(N250),0,M250/ROUND(N250,4))</f>
        <v>#DIV/0!</v>
      </c>
      <c r="S250" s="95" t="e">
        <f>IF(ISBLANK(N250),0,R250*ROUND(O250,2))</f>
        <v>#DIV/0!</v>
      </c>
      <c r="T250" s="24" t="e">
        <f>ROUND(Q250,2)*R250</f>
        <v>#DIV/0!</v>
      </c>
      <c r="U250" s="95" t="e">
        <f>R250*dagenperjaar1</f>
        <v>#DIV/0!</v>
      </c>
      <c r="V250" s="25" t="e">
        <f>U250*ROUND(Q250,2)</f>
        <v>#DIV/0!</v>
      </c>
    </row>
    <row r="251" spans="1:22" x14ac:dyDescent="0.2">
      <c r="A251" s="92" t="s">
        <v>502</v>
      </c>
      <c r="B251" s="93" t="s">
        <v>47</v>
      </c>
      <c r="C251" s="93" t="s">
        <v>394</v>
      </c>
      <c r="D251" s="93" t="s">
        <v>505</v>
      </c>
      <c r="E251" s="94" t="s">
        <v>504</v>
      </c>
      <c r="F251" s="93" t="s">
        <v>442</v>
      </c>
      <c r="G251" s="93" t="s">
        <v>306</v>
      </c>
      <c r="H251" s="93" t="s">
        <v>13</v>
      </c>
      <c r="I251" s="93" t="s">
        <v>255</v>
      </c>
      <c r="J251" s="93" t="s">
        <v>47</v>
      </c>
      <c r="K251" s="93"/>
      <c r="L251" s="95">
        <v>2.6</v>
      </c>
      <c r="M251" s="95">
        <f>L251*VLOOKUP(H251,dagsoorttabel1,2,FALSE)</f>
        <v>2.0392156862745097</v>
      </c>
      <c r="N251" s="96">
        <f>prodnorm78</f>
        <v>0</v>
      </c>
      <c r="O251" s="37">
        <f>dagwerk78</f>
        <v>0</v>
      </c>
      <c r="P251" s="93" t="s">
        <v>105</v>
      </c>
      <c r="Q251" s="24">
        <f>uurtarief78</f>
        <v>0</v>
      </c>
      <c r="R251" s="95" t="e">
        <f>IF(ISBLANK(N251),0,M251/ROUND(N251,4))</f>
        <v>#DIV/0!</v>
      </c>
      <c r="S251" s="95" t="e">
        <f>IF(ISBLANK(N251),0,R251*ROUND(O251,2))</f>
        <v>#DIV/0!</v>
      </c>
      <c r="T251" s="24" t="e">
        <f>ROUND(Q251,2)*R251</f>
        <v>#DIV/0!</v>
      </c>
      <c r="U251" s="95" t="e">
        <f>R251*dagenperjaar1</f>
        <v>#DIV/0!</v>
      </c>
      <c r="V251" s="25" t="e">
        <f>U251*ROUND(Q251,2)</f>
        <v>#DIV/0!</v>
      </c>
    </row>
    <row r="252" spans="1:22" x14ac:dyDescent="0.2">
      <c r="A252" s="92" t="s">
        <v>502</v>
      </c>
      <c r="B252" s="93" t="s">
        <v>47</v>
      </c>
      <c r="C252" s="93" t="s">
        <v>394</v>
      </c>
      <c r="D252" s="93" t="s">
        <v>506</v>
      </c>
      <c r="E252" s="94" t="s">
        <v>504</v>
      </c>
      <c r="F252" s="93" t="s">
        <v>441</v>
      </c>
      <c r="G252" s="93" t="s">
        <v>304</v>
      </c>
      <c r="H252" s="93" t="s">
        <v>13</v>
      </c>
      <c r="I252" s="93" t="s">
        <v>255</v>
      </c>
      <c r="J252" s="93" t="s">
        <v>47</v>
      </c>
      <c r="K252" s="93"/>
      <c r="L252" s="95">
        <v>2.6</v>
      </c>
      <c r="M252" s="95">
        <f>L252*VLOOKUP(H252,dagsoorttabel1,2,FALSE)</f>
        <v>2.0392156862745097</v>
      </c>
      <c r="N252" s="96">
        <f>prodnorm74</f>
        <v>0</v>
      </c>
      <c r="O252" s="37">
        <f>dagwerk74</f>
        <v>0</v>
      </c>
      <c r="P252" s="93" t="s">
        <v>105</v>
      </c>
      <c r="Q252" s="24">
        <f>uurtarief74</f>
        <v>0</v>
      </c>
      <c r="R252" s="95" t="e">
        <f>IF(ISBLANK(N252),0,M252/ROUND(N252,4))</f>
        <v>#DIV/0!</v>
      </c>
      <c r="S252" s="95" t="e">
        <f>IF(ISBLANK(N252),0,R252*ROUND(O252,2))</f>
        <v>#DIV/0!</v>
      </c>
      <c r="T252" s="24" t="e">
        <f>ROUND(Q252,2)*R252</f>
        <v>#DIV/0!</v>
      </c>
      <c r="U252" s="95" t="e">
        <f>R252*dagenperjaar1</f>
        <v>#DIV/0!</v>
      </c>
      <c r="V252" s="25" t="e">
        <f>U252*ROUND(Q252,2)</f>
        <v>#DIV/0!</v>
      </c>
    </row>
    <row r="253" spans="1:22" x14ac:dyDescent="0.2">
      <c r="A253" s="92" t="s">
        <v>502</v>
      </c>
      <c r="B253" s="93" t="s">
        <v>47</v>
      </c>
      <c r="C253" s="93" t="s">
        <v>394</v>
      </c>
      <c r="D253" s="93" t="s">
        <v>506</v>
      </c>
      <c r="E253" s="94" t="s">
        <v>504</v>
      </c>
      <c r="F253" s="93" t="s">
        <v>441</v>
      </c>
      <c r="G253" s="93" t="s">
        <v>306</v>
      </c>
      <c r="H253" s="93" t="s">
        <v>13</v>
      </c>
      <c r="I253" s="93" t="s">
        <v>255</v>
      </c>
      <c r="J253" s="93" t="s">
        <v>47</v>
      </c>
      <c r="K253" s="93"/>
      <c r="L253" s="95">
        <v>2.6</v>
      </c>
      <c r="M253" s="95">
        <f>L253*VLOOKUP(H253,dagsoorttabel1,2,FALSE)</f>
        <v>2.0392156862745097</v>
      </c>
      <c r="N253" s="96">
        <f>prodnorm78</f>
        <v>0</v>
      </c>
      <c r="O253" s="37">
        <f>dagwerk78</f>
        <v>0</v>
      </c>
      <c r="P253" s="93" t="s">
        <v>105</v>
      </c>
      <c r="Q253" s="24">
        <f>uurtarief78</f>
        <v>0</v>
      </c>
      <c r="R253" s="95" t="e">
        <f>IF(ISBLANK(N253),0,M253/ROUND(N253,4))</f>
        <v>#DIV/0!</v>
      </c>
      <c r="S253" s="95" t="e">
        <f>IF(ISBLANK(N253),0,R253*ROUND(O253,2))</f>
        <v>#DIV/0!</v>
      </c>
      <c r="T253" s="24" t="e">
        <f>ROUND(Q253,2)*R253</f>
        <v>#DIV/0!</v>
      </c>
      <c r="U253" s="95" t="e">
        <f>R253*dagenperjaar1</f>
        <v>#DIV/0!</v>
      </c>
      <c r="V253" s="25" t="e">
        <f>U253*ROUND(Q253,2)</f>
        <v>#DIV/0!</v>
      </c>
    </row>
    <row r="254" spans="1:22" x14ac:dyDescent="0.2">
      <c r="A254" s="92" t="s">
        <v>502</v>
      </c>
      <c r="B254" s="93" t="s">
        <v>47</v>
      </c>
      <c r="C254" s="93" t="s">
        <v>394</v>
      </c>
      <c r="D254" s="93" t="s">
        <v>507</v>
      </c>
      <c r="E254" s="94" t="s">
        <v>504</v>
      </c>
      <c r="F254" s="93" t="s">
        <v>442</v>
      </c>
      <c r="G254" s="93" t="s">
        <v>304</v>
      </c>
      <c r="H254" s="93" t="s">
        <v>13</v>
      </c>
      <c r="I254" s="93" t="s">
        <v>255</v>
      </c>
      <c r="J254" s="93" t="s">
        <v>47</v>
      </c>
      <c r="K254" s="93"/>
      <c r="L254" s="95">
        <v>2.6</v>
      </c>
      <c r="M254" s="95">
        <f>L254*VLOOKUP(H254,dagsoorttabel1,2,FALSE)</f>
        <v>2.0392156862745097</v>
      </c>
      <c r="N254" s="96">
        <f>prodnorm74</f>
        <v>0</v>
      </c>
      <c r="O254" s="37">
        <f>dagwerk74</f>
        <v>0</v>
      </c>
      <c r="P254" s="93" t="s">
        <v>105</v>
      </c>
      <c r="Q254" s="24">
        <f>uurtarief74</f>
        <v>0</v>
      </c>
      <c r="R254" s="95" t="e">
        <f>IF(ISBLANK(N254),0,M254/ROUND(N254,4))</f>
        <v>#DIV/0!</v>
      </c>
      <c r="S254" s="95" t="e">
        <f>IF(ISBLANK(N254),0,R254*ROUND(O254,2))</f>
        <v>#DIV/0!</v>
      </c>
      <c r="T254" s="24" t="e">
        <f>ROUND(Q254,2)*R254</f>
        <v>#DIV/0!</v>
      </c>
      <c r="U254" s="95" t="e">
        <f>R254*dagenperjaar1</f>
        <v>#DIV/0!</v>
      </c>
      <c r="V254" s="25" t="e">
        <f>U254*ROUND(Q254,2)</f>
        <v>#DIV/0!</v>
      </c>
    </row>
    <row r="255" spans="1:22" x14ac:dyDescent="0.2">
      <c r="A255" s="92" t="s">
        <v>502</v>
      </c>
      <c r="B255" s="93" t="s">
        <v>47</v>
      </c>
      <c r="C255" s="93" t="s">
        <v>394</v>
      </c>
      <c r="D255" s="93" t="s">
        <v>507</v>
      </c>
      <c r="E255" s="94" t="s">
        <v>504</v>
      </c>
      <c r="F255" s="93" t="s">
        <v>442</v>
      </c>
      <c r="G255" s="93" t="s">
        <v>306</v>
      </c>
      <c r="H255" s="93" t="s">
        <v>13</v>
      </c>
      <c r="I255" s="93" t="s">
        <v>255</v>
      </c>
      <c r="J255" s="93" t="s">
        <v>47</v>
      </c>
      <c r="K255" s="93"/>
      <c r="L255" s="95">
        <v>2.6</v>
      </c>
      <c r="M255" s="95">
        <f>L255*VLOOKUP(H255,dagsoorttabel1,2,FALSE)</f>
        <v>2.0392156862745097</v>
      </c>
      <c r="N255" s="96">
        <f>prodnorm78</f>
        <v>0</v>
      </c>
      <c r="O255" s="37">
        <f>dagwerk78</f>
        <v>0</v>
      </c>
      <c r="P255" s="93" t="s">
        <v>105</v>
      </c>
      <c r="Q255" s="24">
        <f>uurtarief78</f>
        <v>0</v>
      </c>
      <c r="R255" s="95" t="e">
        <f>IF(ISBLANK(N255),0,M255/ROUND(N255,4))</f>
        <v>#DIV/0!</v>
      </c>
      <c r="S255" s="95" t="e">
        <f>IF(ISBLANK(N255),0,R255*ROUND(O255,2))</f>
        <v>#DIV/0!</v>
      </c>
      <c r="T255" s="24" t="e">
        <f>ROUND(Q255,2)*R255</f>
        <v>#DIV/0!</v>
      </c>
      <c r="U255" s="95" t="e">
        <f>R255*dagenperjaar1</f>
        <v>#DIV/0!</v>
      </c>
      <c r="V255" s="25" t="e">
        <f>U255*ROUND(Q255,2)</f>
        <v>#DIV/0!</v>
      </c>
    </row>
    <row r="256" spans="1:22" x14ac:dyDescent="0.2">
      <c r="A256" s="92" t="s">
        <v>502</v>
      </c>
      <c r="B256" s="93" t="s">
        <v>47</v>
      </c>
      <c r="C256" s="93" t="s">
        <v>394</v>
      </c>
      <c r="D256" s="93" t="s">
        <v>429</v>
      </c>
      <c r="E256" s="94" t="s">
        <v>455</v>
      </c>
      <c r="F256" s="93" t="s">
        <v>441</v>
      </c>
      <c r="G256" s="93" t="s">
        <v>314</v>
      </c>
      <c r="H256" s="93" t="s">
        <v>13</v>
      </c>
      <c r="I256" s="93" t="s">
        <v>255</v>
      </c>
      <c r="J256" s="93" t="s">
        <v>47</v>
      </c>
      <c r="K256" s="93"/>
      <c r="L256" s="95">
        <v>100</v>
      </c>
      <c r="M256" s="95">
        <f>L256*VLOOKUP(H256,dagsoorttabel1,2,FALSE)</f>
        <v>78.431372549019613</v>
      </c>
      <c r="N256" s="96">
        <f>prodnorm88</f>
        <v>0</v>
      </c>
      <c r="O256" s="37">
        <f>dagwerk88</f>
        <v>0</v>
      </c>
      <c r="P256" s="93" t="s">
        <v>105</v>
      </c>
      <c r="Q256" s="24">
        <f>uurtarief88</f>
        <v>0</v>
      </c>
      <c r="R256" s="95" t="e">
        <f>IF(ISBLANK(N256),0,M256/ROUND(N256,4))</f>
        <v>#DIV/0!</v>
      </c>
      <c r="S256" s="95" t="e">
        <f>IF(ISBLANK(N256),0,R256*ROUND(O256,2))</f>
        <v>#DIV/0!</v>
      </c>
      <c r="T256" s="24" t="e">
        <f>ROUND(Q256,2)*R256</f>
        <v>#DIV/0!</v>
      </c>
      <c r="U256" s="95" t="e">
        <f>R256*dagenperjaar1</f>
        <v>#DIV/0!</v>
      </c>
      <c r="V256" s="25" t="e">
        <f>U256*ROUND(Q256,2)</f>
        <v>#DIV/0!</v>
      </c>
    </row>
    <row r="257" spans="1:22" x14ac:dyDescent="0.2">
      <c r="A257" s="92" t="s">
        <v>502</v>
      </c>
      <c r="B257" s="93" t="s">
        <v>47</v>
      </c>
      <c r="C257" s="93" t="s">
        <v>394</v>
      </c>
      <c r="D257" s="93" t="s">
        <v>429</v>
      </c>
      <c r="E257" s="94" t="s">
        <v>455</v>
      </c>
      <c r="F257" s="93" t="s">
        <v>441</v>
      </c>
      <c r="G257" s="93" t="s">
        <v>316</v>
      </c>
      <c r="H257" s="93" t="s">
        <v>13</v>
      </c>
      <c r="I257" s="93" t="s">
        <v>255</v>
      </c>
      <c r="J257" s="93" t="s">
        <v>47</v>
      </c>
      <c r="K257" s="93"/>
      <c r="L257" s="95">
        <v>100</v>
      </c>
      <c r="M257" s="95">
        <f>L257*VLOOKUP(H257,dagsoorttabel1,2,FALSE)</f>
        <v>78.431372549019613</v>
      </c>
      <c r="N257" s="96">
        <f>prodnorm93</f>
        <v>0</v>
      </c>
      <c r="O257" s="37">
        <f>dagwerk93</f>
        <v>0</v>
      </c>
      <c r="P257" s="93" t="s">
        <v>105</v>
      </c>
      <c r="Q257" s="24">
        <f>uurtarief93</f>
        <v>0</v>
      </c>
      <c r="R257" s="95" t="e">
        <f>IF(ISBLANK(N257),0,M257/ROUND(N257,4))</f>
        <v>#DIV/0!</v>
      </c>
      <c r="S257" s="95" t="e">
        <f>IF(ISBLANK(N257),0,R257*ROUND(O257,2))</f>
        <v>#DIV/0!</v>
      </c>
      <c r="T257" s="24" t="e">
        <f>ROUND(Q257,2)*R257</f>
        <v>#DIV/0!</v>
      </c>
      <c r="U257" s="95" t="e">
        <f>R257*dagenperjaar1</f>
        <v>#DIV/0!</v>
      </c>
      <c r="V257" s="25" t="e">
        <f>U257*ROUND(Q257,2)</f>
        <v>#DIV/0!</v>
      </c>
    </row>
    <row r="258" spans="1:22" x14ac:dyDescent="0.2">
      <c r="A258" s="92" t="s">
        <v>502</v>
      </c>
      <c r="B258" s="93" t="s">
        <v>47</v>
      </c>
      <c r="C258" s="93" t="s">
        <v>394</v>
      </c>
      <c r="D258" s="93" t="s">
        <v>432</v>
      </c>
      <c r="E258" s="94" t="s">
        <v>396</v>
      </c>
      <c r="F258" s="93" t="s">
        <v>472</v>
      </c>
      <c r="G258" s="93" t="s">
        <v>270</v>
      </c>
      <c r="H258" s="93" t="s">
        <v>13</v>
      </c>
      <c r="I258" s="93" t="s">
        <v>255</v>
      </c>
      <c r="J258" s="93" t="s">
        <v>47</v>
      </c>
      <c r="K258" s="93"/>
      <c r="L258" s="95">
        <v>9.5</v>
      </c>
      <c r="M258" s="95">
        <f>L258*VLOOKUP(H258,dagsoorttabel1,2,FALSE)</f>
        <v>7.4509803921568629</v>
      </c>
      <c r="N258" s="96">
        <f>prodnorm43</f>
        <v>0</v>
      </c>
      <c r="O258" s="37">
        <f>dagwerk43</f>
        <v>0</v>
      </c>
      <c r="P258" s="93" t="s">
        <v>105</v>
      </c>
      <c r="Q258" s="24">
        <f>uurtarief43</f>
        <v>0</v>
      </c>
      <c r="R258" s="95" t="e">
        <f>IF(ISBLANK(N258),0,M258/ROUND(N258,4))</f>
        <v>#DIV/0!</v>
      </c>
      <c r="S258" s="95" t="e">
        <f>IF(ISBLANK(N258),0,R258*ROUND(O258,2))</f>
        <v>#DIV/0!</v>
      </c>
      <c r="T258" s="24" t="e">
        <f>ROUND(Q258,2)*R258</f>
        <v>#DIV/0!</v>
      </c>
      <c r="U258" s="95" t="e">
        <f>R258*dagenperjaar1</f>
        <v>#DIV/0!</v>
      </c>
      <c r="V258" s="25" t="e">
        <f>U258*ROUND(Q258,2)</f>
        <v>#DIV/0!</v>
      </c>
    </row>
    <row r="259" spans="1:22" x14ac:dyDescent="0.2">
      <c r="A259" s="92" t="s">
        <v>502</v>
      </c>
      <c r="B259" s="93" t="s">
        <v>47</v>
      </c>
      <c r="C259" s="93" t="s">
        <v>394</v>
      </c>
      <c r="D259" s="93" t="s">
        <v>432</v>
      </c>
      <c r="E259" s="94" t="s">
        <v>396</v>
      </c>
      <c r="F259" s="93" t="s">
        <v>472</v>
      </c>
      <c r="G259" s="93" t="s">
        <v>272</v>
      </c>
      <c r="H259" s="93" t="s">
        <v>13</v>
      </c>
      <c r="I259" s="93" t="s">
        <v>255</v>
      </c>
      <c r="J259" s="93" t="s">
        <v>47</v>
      </c>
      <c r="K259" s="93"/>
      <c r="L259" s="95">
        <v>9.5</v>
      </c>
      <c r="M259" s="95">
        <f>L259*VLOOKUP(H259,dagsoorttabel1,2,FALSE)</f>
        <v>7.4509803921568629</v>
      </c>
      <c r="N259" s="96">
        <f>prodnorm45</f>
        <v>0</v>
      </c>
      <c r="O259" s="37">
        <f>dagwerk45</f>
        <v>0</v>
      </c>
      <c r="P259" s="93" t="s">
        <v>105</v>
      </c>
      <c r="Q259" s="24">
        <f>uurtarief45</f>
        <v>0</v>
      </c>
      <c r="R259" s="95" t="e">
        <f>IF(ISBLANK(N259),0,M259/ROUND(N259,4))</f>
        <v>#DIV/0!</v>
      </c>
      <c r="S259" s="95" t="e">
        <f>IF(ISBLANK(N259),0,R259*ROUND(O259,2))</f>
        <v>#DIV/0!</v>
      </c>
      <c r="T259" s="24" t="e">
        <f>ROUND(Q259,2)*R259</f>
        <v>#DIV/0!</v>
      </c>
      <c r="U259" s="95" t="e">
        <f>R259*dagenperjaar1</f>
        <v>#DIV/0!</v>
      </c>
      <c r="V259" s="25" t="e">
        <f>U259*ROUND(Q259,2)</f>
        <v>#DIV/0!</v>
      </c>
    </row>
    <row r="260" spans="1:22" x14ac:dyDescent="0.2">
      <c r="A260" s="92" t="s">
        <v>502</v>
      </c>
      <c r="B260" s="93" t="s">
        <v>47</v>
      </c>
      <c r="C260" s="93" t="s">
        <v>394</v>
      </c>
      <c r="D260" s="93" t="s">
        <v>434</v>
      </c>
      <c r="E260" s="94" t="s">
        <v>508</v>
      </c>
      <c r="F260" s="93" t="s">
        <v>442</v>
      </c>
      <c r="G260" s="93" t="s">
        <v>304</v>
      </c>
      <c r="H260" s="93" t="s">
        <v>13</v>
      </c>
      <c r="I260" s="93" t="s">
        <v>255</v>
      </c>
      <c r="J260" s="93" t="s">
        <v>47</v>
      </c>
      <c r="K260" s="93"/>
      <c r="L260" s="95">
        <v>6.25</v>
      </c>
      <c r="M260" s="95">
        <f>L260*VLOOKUP(H260,dagsoorttabel1,2,FALSE)</f>
        <v>4.9019607843137258</v>
      </c>
      <c r="N260" s="96">
        <f>prodnorm74</f>
        <v>0</v>
      </c>
      <c r="O260" s="37">
        <f>dagwerk74</f>
        <v>0</v>
      </c>
      <c r="P260" s="93" t="s">
        <v>105</v>
      </c>
      <c r="Q260" s="24">
        <f>uurtarief74</f>
        <v>0</v>
      </c>
      <c r="R260" s="95" t="e">
        <f>IF(ISBLANK(N260),0,M260/ROUND(N260,4))</f>
        <v>#DIV/0!</v>
      </c>
      <c r="S260" s="95" t="e">
        <f>IF(ISBLANK(N260),0,R260*ROUND(O260,2))</f>
        <v>#DIV/0!</v>
      </c>
      <c r="T260" s="24" t="e">
        <f>ROUND(Q260,2)*R260</f>
        <v>#DIV/0!</v>
      </c>
      <c r="U260" s="95" t="e">
        <f>R260*dagenperjaar1</f>
        <v>#DIV/0!</v>
      </c>
      <c r="V260" s="25" t="e">
        <f>U260*ROUND(Q260,2)</f>
        <v>#DIV/0!</v>
      </c>
    </row>
    <row r="261" spans="1:22" x14ac:dyDescent="0.2">
      <c r="A261" s="92" t="s">
        <v>502</v>
      </c>
      <c r="B261" s="93" t="s">
        <v>47</v>
      </c>
      <c r="C261" s="93" t="s">
        <v>394</v>
      </c>
      <c r="D261" s="93" t="s">
        <v>434</v>
      </c>
      <c r="E261" s="94" t="s">
        <v>508</v>
      </c>
      <c r="F261" s="93" t="s">
        <v>442</v>
      </c>
      <c r="G261" s="93" t="s">
        <v>306</v>
      </c>
      <c r="H261" s="93" t="s">
        <v>13</v>
      </c>
      <c r="I261" s="93" t="s">
        <v>255</v>
      </c>
      <c r="J261" s="93" t="s">
        <v>47</v>
      </c>
      <c r="K261" s="93"/>
      <c r="L261" s="95">
        <v>6.25</v>
      </c>
      <c r="M261" s="95">
        <f>L261*VLOOKUP(H261,dagsoorttabel1,2,FALSE)</f>
        <v>4.9019607843137258</v>
      </c>
      <c r="N261" s="96">
        <f>prodnorm78</f>
        <v>0</v>
      </c>
      <c r="O261" s="37">
        <f>dagwerk78</f>
        <v>0</v>
      </c>
      <c r="P261" s="93" t="s">
        <v>105</v>
      </c>
      <c r="Q261" s="24">
        <f>uurtarief78</f>
        <v>0</v>
      </c>
      <c r="R261" s="95" t="e">
        <f>IF(ISBLANK(N261),0,M261/ROUND(N261,4))</f>
        <v>#DIV/0!</v>
      </c>
      <c r="S261" s="95" t="e">
        <f>IF(ISBLANK(N261),0,R261*ROUND(O261,2))</f>
        <v>#DIV/0!</v>
      </c>
      <c r="T261" s="24" t="e">
        <f>ROUND(Q261,2)*R261</f>
        <v>#DIV/0!</v>
      </c>
      <c r="U261" s="95" t="e">
        <f>R261*dagenperjaar1</f>
        <v>#DIV/0!</v>
      </c>
      <c r="V261" s="25" t="e">
        <f>U261*ROUND(Q261,2)</f>
        <v>#DIV/0!</v>
      </c>
    </row>
    <row r="262" spans="1:22" x14ac:dyDescent="0.2">
      <c r="A262" s="92" t="s">
        <v>502</v>
      </c>
      <c r="B262" s="93" t="s">
        <v>47</v>
      </c>
      <c r="C262" s="93" t="s">
        <v>394</v>
      </c>
      <c r="D262" s="93" t="s">
        <v>448</v>
      </c>
      <c r="E262" s="94" t="s">
        <v>459</v>
      </c>
      <c r="F262" s="93" t="s">
        <v>441</v>
      </c>
      <c r="G262" s="93" t="s">
        <v>314</v>
      </c>
      <c r="H262" s="93" t="s">
        <v>13</v>
      </c>
      <c r="I262" s="93" t="s">
        <v>255</v>
      </c>
      <c r="J262" s="93" t="s">
        <v>47</v>
      </c>
      <c r="K262" s="93"/>
      <c r="L262" s="95">
        <v>40</v>
      </c>
      <c r="M262" s="95">
        <f>L262*VLOOKUP(H262,dagsoorttabel1,2,FALSE)</f>
        <v>31.372549019607842</v>
      </c>
      <c r="N262" s="96">
        <f>prodnorm88</f>
        <v>0</v>
      </c>
      <c r="O262" s="37">
        <f>dagwerk88</f>
        <v>0</v>
      </c>
      <c r="P262" s="93" t="s">
        <v>105</v>
      </c>
      <c r="Q262" s="24">
        <f>uurtarief88</f>
        <v>0</v>
      </c>
      <c r="R262" s="95" t="e">
        <f>IF(ISBLANK(N262),0,M262/ROUND(N262,4))</f>
        <v>#DIV/0!</v>
      </c>
      <c r="S262" s="95" t="e">
        <f>IF(ISBLANK(N262),0,R262*ROUND(O262,2))</f>
        <v>#DIV/0!</v>
      </c>
      <c r="T262" s="24" t="e">
        <f>ROUND(Q262,2)*R262</f>
        <v>#DIV/0!</v>
      </c>
      <c r="U262" s="95" t="e">
        <f>R262*dagenperjaar1</f>
        <v>#DIV/0!</v>
      </c>
      <c r="V262" s="25" t="e">
        <f>U262*ROUND(Q262,2)</f>
        <v>#DIV/0!</v>
      </c>
    </row>
    <row r="263" spans="1:22" x14ac:dyDescent="0.2">
      <c r="A263" s="92" t="s">
        <v>502</v>
      </c>
      <c r="B263" s="93" t="s">
        <v>47</v>
      </c>
      <c r="C263" s="93" t="s">
        <v>394</v>
      </c>
      <c r="D263" s="93" t="s">
        <v>448</v>
      </c>
      <c r="E263" s="94" t="s">
        <v>459</v>
      </c>
      <c r="F263" s="93" t="s">
        <v>441</v>
      </c>
      <c r="G263" s="93" t="s">
        <v>316</v>
      </c>
      <c r="H263" s="93" t="s">
        <v>13</v>
      </c>
      <c r="I263" s="93" t="s">
        <v>255</v>
      </c>
      <c r="J263" s="93" t="s">
        <v>47</v>
      </c>
      <c r="K263" s="93"/>
      <c r="L263" s="95">
        <v>40</v>
      </c>
      <c r="M263" s="95">
        <f>L263*VLOOKUP(H263,dagsoorttabel1,2,FALSE)</f>
        <v>31.372549019607842</v>
      </c>
      <c r="N263" s="96">
        <f>prodnorm93</f>
        <v>0</v>
      </c>
      <c r="O263" s="37">
        <f>dagwerk93</f>
        <v>0</v>
      </c>
      <c r="P263" s="93" t="s">
        <v>105</v>
      </c>
      <c r="Q263" s="24">
        <f>uurtarief93</f>
        <v>0</v>
      </c>
      <c r="R263" s="95" t="e">
        <f>IF(ISBLANK(N263),0,M263/ROUND(N263,4))</f>
        <v>#DIV/0!</v>
      </c>
      <c r="S263" s="95" t="e">
        <f>IF(ISBLANK(N263),0,R263*ROUND(O263,2))</f>
        <v>#DIV/0!</v>
      </c>
      <c r="T263" s="24" t="e">
        <f>ROUND(Q263,2)*R263</f>
        <v>#DIV/0!</v>
      </c>
      <c r="U263" s="95" t="e">
        <f>R263*dagenperjaar1</f>
        <v>#DIV/0!</v>
      </c>
      <c r="V263" s="25" t="e">
        <f>U263*ROUND(Q263,2)</f>
        <v>#DIV/0!</v>
      </c>
    </row>
    <row r="264" spans="1:22" x14ac:dyDescent="0.2">
      <c r="A264" s="92" t="s">
        <v>502</v>
      </c>
      <c r="B264" s="93" t="s">
        <v>47</v>
      </c>
      <c r="C264" s="93" t="s">
        <v>394</v>
      </c>
      <c r="D264" s="93" t="s">
        <v>449</v>
      </c>
      <c r="E264" s="94" t="s">
        <v>459</v>
      </c>
      <c r="F264" s="93" t="s">
        <v>441</v>
      </c>
      <c r="G264" s="93" t="s">
        <v>314</v>
      </c>
      <c r="H264" s="93" t="s">
        <v>13</v>
      </c>
      <c r="I264" s="93" t="s">
        <v>255</v>
      </c>
      <c r="J264" s="93" t="s">
        <v>47</v>
      </c>
      <c r="K264" s="93"/>
      <c r="L264" s="95">
        <v>25</v>
      </c>
      <c r="M264" s="95">
        <f>L264*VLOOKUP(H264,dagsoorttabel1,2,FALSE)</f>
        <v>19.607843137254903</v>
      </c>
      <c r="N264" s="96">
        <f>prodnorm88</f>
        <v>0</v>
      </c>
      <c r="O264" s="37">
        <f>dagwerk88</f>
        <v>0</v>
      </c>
      <c r="P264" s="93" t="s">
        <v>105</v>
      </c>
      <c r="Q264" s="24">
        <f>uurtarief88</f>
        <v>0</v>
      </c>
      <c r="R264" s="95" t="e">
        <f>IF(ISBLANK(N264),0,M264/ROUND(N264,4))</f>
        <v>#DIV/0!</v>
      </c>
      <c r="S264" s="95" t="e">
        <f>IF(ISBLANK(N264),0,R264*ROUND(O264,2))</f>
        <v>#DIV/0!</v>
      </c>
      <c r="T264" s="24" t="e">
        <f>ROUND(Q264,2)*R264</f>
        <v>#DIV/0!</v>
      </c>
      <c r="U264" s="95" t="e">
        <f>R264*dagenperjaar1</f>
        <v>#DIV/0!</v>
      </c>
      <c r="V264" s="25" t="e">
        <f>U264*ROUND(Q264,2)</f>
        <v>#DIV/0!</v>
      </c>
    </row>
    <row r="265" spans="1:22" x14ac:dyDescent="0.2">
      <c r="A265" s="92" t="s">
        <v>502</v>
      </c>
      <c r="B265" s="93" t="s">
        <v>47</v>
      </c>
      <c r="C265" s="93" t="s">
        <v>394</v>
      </c>
      <c r="D265" s="93" t="s">
        <v>449</v>
      </c>
      <c r="E265" s="94" t="s">
        <v>459</v>
      </c>
      <c r="F265" s="93" t="s">
        <v>441</v>
      </c>
      <c r="G265" s="93" t="s">
        <v>316</v>
      </c>
      <c r="H265" s="93" t="s">
        <v>13</v>
      </c>
      <c r="I265" s="93" t="s">
        <v>255</v>
      </c>
      <c r="J265" s="93" t="s">
        <v>47</v>
      </c>
      <c r="K265" s="93"/>
      <c r="L265" s="95">
        <v>25</v>
      </c>
      <c r="M265" s="95">
        <f>L265*VLOOKUP(H265,dagsoorttabel1,2,FALSE)</f>
        <v>19.607843137254903</v>
      </c>
      <c r="N265" s="96">
        <f>prodnorm93</f>
        <v>0</v>
      </c>
      <c r="O265" s="37">
        <f>dagwerk93</f>
        <v>0</v>
      </c>
      <c r="P265" s="93" t="s">
        <v>105</v>
      </c>
      <c r="Q265" s="24">
        <f>uurtarief93</f>
        <v>0</v>
      </c>
      <c r="R265" s="95" t="e">
        <f>IF(ISBLANK(N265),0,M265/ROUND(N265,4))</f>
        <v>#DIV/0!</v>
      </c>
      <c r="S265" s="95" t="e">
        <f>IF(ISBLANK(N265),0,R265*ROUND(O265,2))</f>
        <v>#DIV/0!</v>
      </c>
      <c r="T265" s="24" t="e">
        <f>ROUND(Q265,2)*R265</f>
        <v>#DIV/0!</v>
      </c>
      <c r="U265" s="95" t="e">
        <f>R265*dagenperjaar1</f>
        <v>#DIV/0!</v>
      </c>
      <c r="V265" s="25" t="e">
        <f>U265*ROUND(Q265,2)</f>
        <v>#DIV/0!</v>
      </c>
    </row>
    <row r="266" spans="1:22" x14ac:dyDescent="0.2">
      <c r="A266" s="92" t="s">
        <v>502</v>
      </c>
      <c r="B266" s="93" t="s">
        <v>47</v>
      </c>
      <c r="C266" s="93" t="s">
        <v>394</v>
      </c>
      <c r="D266" s="93" t="s">
        <v>450</v>
      </c>
      <c r="E266" s="94" t="s">
        <v>463</v>
      </c>
      <c r="F266" s="93" t="s">
        <v>439</v>
      </c>
      <c r="G266" s="93" t="s">
        <v>314</v>
      </c>
      <c r="H266" s="93" t="s">
        <v>22</v>
      </c>
      <c r="I266" s="93" t="s">
        <v>255</v>
      </c>
      <c r="J266" s="93" t="s">
        <v>47</v>
      </c>
      <c r="K266" s="93"/>
      <c r="L266" s="95">
        <v>13</v>
      </c>
      <c r="M266" s="95">
        <f>L266*VLOOKUP(H266,dagsoorttabel1,2,FALSE)</f>
        <v>2.0392156862745097</v>
      </c>
      <c r="N266" s="96">
        <f>prodnorm90</f>
        <v>0</v>
      </c>
      <c r="O266" s="37">
        <f>dagwerk90</f>
        <v>0</v>
      </c>
      <c r="P266" s="93" t="s">
        <v>105</v>
      </c>
      <c r="Q266" s="24">
        <f>uurtarief90</f>
        <v>0</v>
      </c>
      <c r="R266" s="95" t="e">
        <f>IF(ISBLANK(N266),0,M266/ROUND(N266,4))</f>
        <v>#DIV/0!</v>
      </c>
      <c r="S266" s="95" t="e">
        <f>IF(ISBLANK(N266),0,R266*ROUND(O266,2))</f>
        <v>#DIV/0!</v>
      </c>
      <c r="T266" s="24" t="e">
        <f>ROUND(Q266,2)*R266</f>
        <v>#DIV/0!</v>
      </c>
      <c r="U266" s="95" t="e">
        <f>R266*dagenperjaar1</f>
        <v>#DIV/0!</v>
      </c>
      <c r="V266" s="25" t="e">
        <f>U266*ROUND(Q266,2)</f>
        <v>#DIV/0!</v>
      </c>
    </row>
    <row r="267" spans="1:22" x14ac:dyDescent="0.2">
      <c r="A267" s="97" t="s">
        <v>502</v>
      </c>
      <c r="B267" s="98" t="s">
        <v>47</v>
      </c>
      <c r="C267" s="98" t="s">
        <v>394</v>
      </c>
      <c r="D267" s="98" t="s">
        <v>451</v>
      </c>
      <c r="E267" s="99" t="s">
        <v>469</v>
      </c>
      <c r="F267" s="98" t="s">
        <v>496</v>
      </c>
      <c r="G267" s="98" t="s">
        <v>263</v>
      </c>
      <c r="H267" s="98" t="s">
        <v>13</v>
      </c>
      <c r="I267" s="98" t="s">
        <v>255</v>
      </c>
      <c r="J267" s="98" t="s">
        <v>47</v>
      </c>
      <c r="K267" s="98"/>
      <c r="L267" s="100">
        <v>10</v>
      </c>
      <c r="M267" s="100">
        <f>L267*VLOOKUP(H267,dagsoorttabel1,2,FALSE)</f>
        <v>7.8431372549019605</v>
      </c>
      <c r="N267" s="101">
        <f>prodnorm36</f>
        <v>0</v>
      </c>
      <c r="O267" s="102">
        <f>dagwerk36</f>
        <v>0</v>
      </c>
      <c r="P267" s="98" t="s">
        <v>105</v>
      </c>
      <c r="Q267" s="34">
        <f>uurtarief36</f>
        <v>0</v>
      </c>
      <c r="R267" s="100" t="e">
        <f>IF(ISBLANK(N267),0,M267/ROUND(N267,4))</f>
        <v>#DIV/0!</v>
      </c>
      <c r="S267" s="100" t="e">
        <f>IF(ISBLANK(N267),0,R267*ROUND(O267,2))</f>
        <v>#DIV/0!</v>
      </c>
      <c r="T267" s="34" t="e">
        <f>ROUND(Q267,2)*R267</f>
        <v>#DIV/0!</v>
      </c>
      <c r="U267" s="100" t="e">
        <f>R267*dagenperjaar1</f>
        <v>#DIV/0!</v>
      </c>
      <c r="V267" s="35" t="e">
        <f>U267*ROUND(Q267,2)</f>
        <v>#DIV/0!</v>
      </c>
    </row>
    <row r="268" spans="1:22" x14ac:dyDescent="0.2">
      <c r="A268" s="103" t="s">
        <v>436</v>
      </c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5" t="e">
        <f>IF(_xlfn.SINGLE(object8_urenjaar1)&gt;0,_xlfn.SINGLE(object8_prijsjaar1)/_xlfn.SINGLE(object8_urenjaar1),0)</f>
        <v>#DIV/0!</v>
      </c>
      <c r="R268" s="74" t="e">
        <f>SUM(R213:R267)</f>
        <v>#DIV/0!</v>
      </c>
      <c r="S268" s="74" t="e">
        <f>SUM(S213:S267)</f>
        <v>#DIV/0!</v>
      </c>
      <c r="T268" s="75" t="e">
        <f>SUM(T213:T267)</f>
        <v>#DIV/0!</v>
      </c>
      <c r="U268" s="74" t="e">
        <f>SUM(U213:U267)</f>
        <v>#DIV/0!</v>
      </c>
      <c r="V268" s="76" t="e">
        <f>SUM(V213:V267)</f>
        <v>#DIV/0!</v>
      </c>
    </row>
    <row r="269" spans="1:22" x14ac:dyDescent="0.2">
      <c r="A269" s="83" t="s">
        <v>509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71"/>
    </row>
    <row r="270" spans="1:22" x14ac:dyDescent="0.2">
      <c r="A270" s="84" t="s">
        <v>510</v>
      </c>
      <c r="B270" s="85" t="s">
        <v>47</v>
      </c>
      <c r="C270" s="85" t="s">
        <v>394</v>
      </c>
      <c r="D270" s="85" t="s">
        <v>395</v>
      </c>
      <c r="E270" s="86" t="s">
        <v>430</v>
      </c>
      <c r="F270" s="85" t="s">
        <v>439</v>
      </c>
      <c r="G270" s="85" t="s">
        <v>280</v>
      </c>
      <c r="H270" s="85" t="s">
        <v>13</v>
      </c>
      <c r="I270" s="85" t="s">
        <v>255</v>
      </c>
      <c r="J270" s="85" t="s">
        <v>47</v>
      </c>
      <c r="K270" s="85"/>
      <c r="L270" s="87">
        <v>252</v>
      </c>
      <c r="M270" s="87">
        <f>L270*VLOOKUP(H270,dagsoorttabel1,2,FALSE)</f>
        <v>197.64705882352942</v>
      </c>
      <c r="N270" s="88">
        <f>prodnorm52</f>
        <v>0</v>
      </c>
      <c r="O270" s="89">
        <f>dagwerk52</f>
        <v>0</v>
      </c>
      <c r="P270" s="85" t="s">
        <v>105</v>
      </c>
      <c r="Q270" s="90">
        <f>uurtarief52</f>
        <v>0</v>
      </c>
      <c r="R270" s="87" t="e">
        <f>IF(ISBLANK(N270),0,M270/ROUND(N270,4))</f>
        <v>#DIV/0!</v>
      </c>
      <c r="S270" s="87" t="e">
        <f>IF(ISBLANK(N270),0,R270*ROUND(O270,2))</f>
        <v>#DIV/0!</v>
      </c>
      <c r="T270" s="90" t="e">
        <f>ROUND(Q270,2)*R270</f>
        <v>#DIV/0!</v>
      </c>
      <c r="U270" s="87" t="e">
        <f>R270*dagenperjaar1</f>
        <v>#DIV/0!</v>
      </c>
      <c r="V270" s="91" t="e">
        <f>U270*ROUND(Q270,2)</f>
        <v>#DIV/0!</v>
      </c>
    </row>
    <row r="271" spans="1:22" x14ac:dyDescent="0.2">
      <c r="A271" s="92" t="s">
        <v>510</v>
      </c>
      <c r="B271" s="93" t="s">
        <v>47</v>
      </c>
      <c r="C271" s="93" t="s">
        <v>394</v>
      </c>
      <c r="D271" s="93" t="s">
        <v>398</v>
      </c>
      <c r="E271" s="94" t="s">
        <v>440</v>
      </c>
      <c r="F271" s="93" t="s">
        <v>439</v>
      </c>
      <c r="G271" s="93" t="s">
        <v>280</v>
      </c>
      <c r="H271" s="93" t="s">
        <v>13</v>
      </c>
      <c r="I271" s="93" t="s">
        <v>255</v>
      </c>
      <c r="J271" s="93" t="s">
        <v>47</v>
      </c>
      <c r="K271" s="93"/>
      <c r="L271" s="95">
        <v>41</v>
      </c>
      <c r="M271" s="95">
        <f>L271*VLOOKUP(H271,dagsoorttabel1,2,FALSE)</f>
        <v>32.156862745098039</v>
      </c>
      <c r="N271" s="96">
        <f>prodnorm52</f>
        <v>0</v>
      </c>
      <c r="O271" s="37">
        <f>dagwerk52</f>
        <v>0</v>
      </c>
      <c r="P271" s="93" t="s">
        <v>105</v>
      </c>
      <c r="Q271" s="24">
        <f>uurtarief52</f>
        <v>0</v>
      </c>
      <c r="R271" s="95" t="e">
        <f>IF(ISBLANK(N271),0,M271/ROUND(N271,4))</f>
        <v>#DIV/0!</v>
      </c>
      <c r="S271" s="95" t="e">
        <f>IF(ISBLANK(N271),0,R271*ROUND(O271,2))</f>
        <v>#DIV/0!</v>
      </c>
      <c r="T271" s="24" t="e">
        <f>ROUND(Q271,2)*R271</f>
        <v>#DIV/0!</v>
      </c>
      <c r="U271" s="95" t="e">
        <f>R271*dagenperjaar1</f>
        <v>#DIV/0!</v>
      </c>
      <c r="V271" s="25" t="e">
        <f>U271*ROUND(Q271,2)</f>
        <v>#DIV/0!</v>
      </c>
    </row>
    <row r="272" spans="1:22" x14ac:dyDescent="0.2">
      <c r="A272" s="92" t="s">
        <v>510</v>
      </c>
      <c r="B272" s="93" t="s">
        <v>47</v>
      </c>
      <c r="C272" s="93" t="s">
        <v>394</v>
      </c>
      <c r="D272" s="93" t="s">
        <v>400</v>
      </c>
      <c r="E272" s="94" t="s">
        <v>443</v>
      </c>
      <c r="F272" s="93" t="s">
        <v>442</v>
      </c>
      <c r="G272" s="93" t="s">
        <v>304</v>
      </c>
      <c r="H272" s="93" t="s">
        <v>13</v>
      </c>
      <c r="I272" s="93" t="s">
        <v>255</v>
      </c>
      <c r="J272" s="93" t="s">
        <v>47</v>
      </c>
      <c r="K272" s="93"/>
      <c r="L272" s="95">
        <v>3</v>
      </c>
      <c r="M272" s="95">
        <f>L272*VLOOKUP(H272,dagsoorttabel1,2,FALSE)</f>
        <v>2.3529411764705883</v>
      </c>
      <c r="N272" s="96">
        <f>prodnorm74</f>
        <v>0</v>
      </c>
      <c r="O272" s="37">
        <f>dagwerk74</f>
        <v>0</v>
      </c>
      <c r="P272" s="93" t="s">
        <v>105</v>
      </c>
      <c r="Q272" s="24">
        <f>uurtarief74</f>
        <v>0</v>
      </c>
      <c r="R272" s="95" t="e">
        <f>IF(ISBLANK(N272),0,M272/ROUND(N272,4))</f>
        <v>#DIV/0!</v>
      </c>
      <c r="S272" s="95" t="e">
        <f>IF(ISBLANK(N272),0,R272*ROUND(O272,2))</f>
        <v>#DIV/0!</v>
      </c>
      <c r="T272" s="24" t="e">
        <f>ROUND(Q272,2)*R272</f>
        <v>#DIV/0!</v>
      </c>
      <c r="U272" s="95" t="e">
        <f>R272*dagenperjaar1</f>
        <v>#DIV/0!</v>
      </c>
      <c r="V272" s="25" t="e">
        <f>U272*ROUND(Q272,2)</f>
        <v>#DIV/0!</v>
      </c>
    </row>
    <row r="273" spans="1:22" x14ac:dyDescent="0.2">
      <c r="A273" s="92" t="s">
        <v>510</v>
      </c>
      <c r="B273" s="93" t="s">
        <v>47</v>
      </c>
      <c r="C273" s="93" t="s">
        <v>394</v>
      </c>
      <c r="D273" s="93" t="s">
        <v>402</v>
      </c>
      <c r="E273" s="94" t="s">
        <v>443</v>
      </c>
      <c r="F273" s="93" t="s">
        <v>442</v>
      </c>
      <c r="G273" s="93" t="s">
        <v>304</v>
      </c>
      <c r="H273" s="93" t="s">
        <v>13</v>
      </c>
      <c r="I273" s="93" t="s">
        <v>255</v>
      </c>
      <c r="J273" s="93" t="s">
        <v>47</v>
      </c>
      <c r="K273" s="93"/>
      <c r="L273" s="95">
        <v>3</v>
      </c>
      <c r="M273" s="95">
        <f>L273*VLOOKUP(H273,dagsoorttabel1,2,FALSE)</f>
        <v>2.3529411764705883</v>
      </c>
      <c r="N273" s="96">
        <f>prodnorm74</f>
        <v>0</v>
      </c>
      <c r="O273" s="37">
        <f>dagwerk74</f>
        <v>0</v>
      </c>
      <c r="P273" s="93" t="s">
        <v>105</v>
      </c>
      <c r="Q273" s="24">
        <f>uurtarief74</f>
        <v>0</v>
      </c>
      <c r="R273" s="95" t="e">
        <f>IF(ISBLANK(N273),0,M273/ROUND(N273,4))</f>
        <v>#DIV/0!</v>
      </c>
      <c r="S273" s="95" t="e">
        <f>IF(ISBLANK(N273),0,R273*ROUND(O273,2))</f>
        <v>#DIV/0!</v>
      </c>
      <c r="T273" s="24" t="e">
        <f>ROUND(Q273,2)*R273</f>
        <v>#DIV/0!</v>
      </c>
      <c r="U273" s="95" t="e">
        <f>R273*dagenperjaar1</f>
        <v>#DIV/0!</v>
      </c>
      <c r="V273" s="25" t="e">
        <f>U273*ROUND(Q273,2)</f>
        <v>#DIV/0!</v>
      </c>
    </row>
    <row r="274" spans="1:22" x14ac:dyDescent="0.2">
      <c r="A274" s="92" t="s">
        <v>510</v>
      </c>
      <c r="B274" s="93" t="s">
        <v>47</v>
      </c>
      <c r="C274" s="93" t="s">
        <v>394</v>
      </c>
      <c r="D274" s="93" t="s">
        <v>411</v>
      </c>
      <c r="E274" s="94" t="s">
        <v>447</v>
      </c>
      <c r="F274" s="93" t="s">
        <v>472</v>
      </c>
      <c r="G274" s="93" t="s">
        <v>284</v>
      </c>
      <c r="H274" s="93" t="s">
        <v>13</v>
      </c>
      <c r="I274" s="93" t="s">
        <v>255</v>
      </c>
      <c r="J274" s="93" t="s">
        <v>47</v>
      </c>
      <c r="K274" s="93"/>
      <c r="L274" s="95">
        <v>33.5</v>
      </c>
      <c r="M274" s="95">
        <f>L274*VLOOKUP(H274,dagsoorttabel1,2,FALSE)</f>
        <v>26.274509803921568</v>
      </c>
      <c r="N274" s="96">
        <f>prodnorm58</f>
        <v>0</v>
      </c>
      <c r="O274" s="37">
        <f>dagwerk58</f>
        <v>0</v>
      </c>
      <c r="P274" s="93" t="s">
        <v>105</v>
      </c>
      <c r="Q274" s="24">
        <f>uurtarief58</f>
        <v>0</v>
      </c>
      <c r="R274" s="95" t="e">
        <f>IF(ISBLANK(N274),0,M274/ROUND(N274,4))</f>
        <v>#DIV/0!</v>
      </c>
      <c r="S274" s="95" t="e">
        <f>IF(ISBLANK(N274),0,R274*ROUND(O274,2))</f>
        <v>#DIV/0!</v>
      </c>
      <c r="T274" s="24" t="e">
        <f>ROUND(Q274,2)*R274</f>
        <v>#DIV/0!</v>
      </c>
      <c r="U274" s="95" t="e">
        <f>R274*dagenperjaar1</f>
        <v>#DIV/0!</v>
      </c>
      <c r="V274" s="25" t="e">
        <f>U274*ROUND(Q274,2)</f>
        <v>#DIV/0!</v>
      </c>
    </row>
    <row r="275" spans="1:22" x14ac:dyDescent="0.2">
      <c r="A275" s="92" t="s">
        <v>510</v>
      </c>
      <c r="B275" s="93" t="s">
        <v>47</v>
      </c>
      <c r="C275" s="93" t="s">
        <v>394</v>
      </c>
      <c r="D275" s="93" t="s">
        <v>413</v>
      </c>
      <c r="E275" s="94" t="s">
        <v>447</v>
      </c>
      <c r="F275" s="93" t="s">
        <v>472</v>
      </c>
      <c r="G275" s="93" t="s">
        <v>284</v>
      </c>
      <c r="H275" s="93" t="s">
        <v>13</v>
      </c>
      <c r="I275" s="93" t="s">
        <v>255</v>
      </c>
      <c r="J275" s="93" t="s">
        <v>47</v>
      </c>
      <c r="K275" s="93"/>
      <c r="L275" s="95">
        <v>32.5</v>
      </c>
      <c r="M275" s="95">
        <f>L275*VLOOKUP(H275,dagsoorttabel1,2,FALSE)</f>
        <v>25.490196078431371</v>
      </c>
      <c r="N275" s="96">
        <f>prodnorm58</f>
        <v>0</v>
      </c>
      <c r="O275" s="37">
        <f>dagwerk58</f>
        <v>0</v>
      </c>
      <c r="P275" s="93" t="s">
        <v>105</v>
      </c>
      <c r="Q275" s="24">
        <f>uurtarief58</f>
        <v>0</v>
      </c>
      <c r="R275" s="95" t="e">
        <f>IF(ISBLANK(N275),0,M275/ROUND(N275,4))</f>
        <v>#DIV/0!</v>
      </c>
      <c r="S275" s="95" t="e">
        <f>IF(ISBLANK(N275),0,R275*ROUND(O275,2))</f>
        <v>#DIV/0!</v>
      </c>
      <c r="T275" s="24" t="e">
        <f>ROUND(Q275,2)*R275</f>
        <v>#DIV/0!</v>
      </c>
      <c r="U275" s="95" t="e">
        <f>R275*dagenperjaar1</f>
        <v>#DIV/0!</v>
      </c>
      <c r="V275" s="25" t="e">
        <f>U275*ROUND(Q275,2)</f>
        <v>#DIV/0!</v>
      </c>
    </row>
    <row r="276" spans="1:22" x14ac:dyDescent="0.2">
      <c r="A276" s="92" t="s">
        <v>510</v>
      </c>
      <c r="B276" s="93" t="s">
        <v>47</v>
      </c>
      <c r="C276" s="93" t="s">
        <v>394</v>
      </c>
      <c r="D276" s="93" t="s">
        <v>416</v>
      </c>
      <c r="E276" s="94" t="s">
        <v>473</v>
      </c>
      <c r="F276" s="93" t="s">
        <v>472</v>
      </c>
      <c r="G276" s="93" t="s">
        <v>284</v>
      </c>
      <c r="H276" s="93" t="s">
        <v>13</v>
      </c>
      <c r="I276" s="93" t="s">
        <v>255</v>
      </c>
      <c r="J276" s="93" t="s">
        <v>47</v>
      </c>
      <c r="K276" s="93"/>
      <c r="L276" s="95">
        <v>3.3</v>
      </c>
      <c r="M276" s="95">
        <f>L276*VLOOKUP(H276,dagsoorttabel1,2,FALSE)</f>
        <v>2.5882352941176467</v>
      </c>
      <c r="N276" s="96">
        <f>prodnorm58</f>
        <v>0</v>
      </c>
      <c r="O276" s="37">
        <f>dagwerk58</f>
        <v>0</v>
      </c>
      <c r="P276" s="93" t="s">
        <v>105</v>
      </c>
      <c r="Q276" s="24">
        <f>uurtarief58</f>
        <v>0</v>
      </c>
      <c r="R276" s="95" t="e">
        <f>IF(ISBLANK(N276),0,M276/ROUND(N276,4))</f>
        <v>#DIV/0!</v>
      </c>
      <c r="S276" s="95" t="e">
        <f>IF(ISBLANK(N276),0,R276*ROUND(O276,2))</f>
        <v>#DIV/0!</v>
      </c>
      <c r="T276" s="24" t="e">
        <f>ROUND(Q276,2)*R276</f>
        <v>#DIV/0!</v>
      </c>
      <c r="U276" s="95" t="e">
        <f>R276*dagenperjaar1</f>
        <v>#DIV/0!</v>
      </c>
      <c r="V276" s="25" t="e">
        <f>U276*ROUND(Q276,2)</f>
        <v>#DIV/0!</v>
      </c>
    </row>
    <row r="277" spans="1:22" x14ac:dyDescent="0.2">
      <c r="A277" s="92" t="s">
        <v>510</v>
      </c>
      <c r="B277" s="93" t="s">
        <v>47</v>
      </c>
      <c r="C277" s="93" t="s">
        <v>394</v>
      </c>
      <c r="D277" s="93" t="s">
        <v>474</v>
      </c>
      <c r="E277" s="94" t="s">
        <v>396</v>
      </c>
      <c r="F277" s="93" t="s">
        <v>472</v>
      </c>
      <c r="G277" s="93" t="s">
        <v>270</v>
      </c>
      <c r="H277" s="93" t="s">
        <v>13</v>
      </c>
      <c r="I277" s="93" t="s">
        <v>255</v>
      </c>
      <c r="J277" s="93" t="s">
        <v>47</v>
      </c>
      <c r="K277" s="93"/>
      <c r="L277" s="95">
        <v>9</v>
      </c>
      <c r="M277" s="95">
        <f>L277*VLOOKUP(H277,dagsoorttabel1,2,FALSE)</f>
        <v>7.0588235294117645</v>
      </c>
      <c r="N277" s="96">
        <f>prodnorm43</f>
        <v>0</v>
      </c>
      <c r="O277" s="37">
        <f>dagwerk43</f>
        <v>0</v>
      </c>
      <c r="P277" s="93" t="s">
        <v>105</v>
      </c>
      <c r="Q277" s="24">
        <f>uurtarief43</f>
        <v>0</v>
      </c>
      <c r="R277" s="95" t="e">
        <f>IF(ISBLANK(N277),0,M277/ROUND(N277,4))</f>
        <v>#DIV/0!</v>
      </c>
      <c r="S277" s="95" t="e">
        <f>IF(ISBLANK(N277),0,R277*ROUND(O277,2))</f>
        <v>#DIV/0!</v>
      </c>
      <c r="T277" s="24" t="e">
        <f>ROUND(Q277,2)*R277</f>
        <v>#DIV/0!</v>
      </c>
      <c r="U277" s="95" t="e">
        <f>R277*dagenperjaar1</f>
        <v>#DIV/0!</v>
      </c>
      <c r="V277" s="25" t="e">
        <f>U277*ROUND(Q277,2)</f>
        <v>#DIV/0!</v>
      </c>
    </row>
    <row r="278" spans="1:22" x14ac:dyDescent="0.2">
      <c r="A278" s="97" t="s">
        <v>510</v>
      </c>
      <c r="B278" s="98" t="s">
        <v>47</v>
      </c>
      <c r="C278" s="98" t="s">
        <v>394</v>
      </c>
      <c r="D278" s="98" t="s">
        <v>475</v>
      </c>
      <c r="E278" s="99" t="s">
        <v>396</v>
      </c>
      <c r="F278" s="98" t="s">
        <v>476</v>
      </c>
      <c r="G278" s="98" t="s">
        <v>274</v>
      </c>
      <c r="H278" s="98" t="s">
        <v>13</v>
      </c>
      <c r="I278" s="98" t="s">
        <v>255</v>
      </c>
      <c r="J278" s="98" t="s">
        <v>47</v>
      </c>
      <c r="K278" s="98"/>
      <c r="L278" s="100">
        <v>9</v>
      </c>
      <c r="M278" s="100">
        <f>L278*VLOOKUP(H278,dagsoorttabel1,2,FALSE)</f>
        <v>7.0588235294117645</v>
      </c>
      <c r="N278" s="101">
        <f>prodnorm47</f>
        <v>0</v>
      </c>
      <c r="O278" s="102">
        <f>dagwerk47</f>
        <v>0</v>
      </c>
      <c r="P278" s="98" t="s">
        <v>105</v>
      </c>
      <c r="Q278" s="34">
        <f>uurtarief47</f>
        <v>0</v>
      </c>
      <c r="R278" s="100" t="e">
        <f>IF(ISBLANK(N278),0,M278/ROUND(N278,4))</f>
        <v>#DIV/0!</v>
      </c>
      <c r="S278" s="100" t="e">
        <f>IF(ISBLANK(N278),0,R278*ROUND(O278,2))</f>
        <v>#DIV/0!</v>
      </c>
      <c r="T278" s="34" t="e">
        <f>ROUND(Q278,2)*R278</f>
        <v>#DIV/0!</v>
      </c>
      <c r="U278" s="100" t="e">
        <f>R278*dagenperjaar1</f>
        <v>#DIV/0!</v>
      </c>
      <c r="V278" s="35" t="e">
        <f>U278*ROUND(Q278,2)</f>
        <v>#DIV/0!</v>
      </c>
    </row>
    <row r="279" spans="1:22" x14ac:dyDescent="0.2">
      <c r="A279" s="103" t="s">
        <v>436</v>
      </c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5" t="e">
        <f>IF(_xlfn.SINGLE(object9_urenjaar1)&gt;0,_xlfn.SINGLE(object9_prijsjaar1)/_xlfn.SINGLE(object9_urenjaar1),0)</f>
        <v>#DIV/0!</v>
      </c>
      <c r="R279" s="74" t="e">
        <f>SUM(R270:R278)</f>
        <v>#DIV/0!</v>
      </c>
      <c r="S279" s="74" t="e">
        <f>SUM(S270:S278)</f>
        <v>#DIV/0!</v>
      </c>
      <c r="T279" s="75" t="e">
        <f>SUM(T270:T278)</f>
        <v>#DIV/0!</v>
      </c>
      <c r="U279" s="74" t="e">
        <f>SUM(U270:U278)</f>
        <v>#DIV/0!</v>
      </c>
      <c r="V279" s="76" t="e">
        <f>SUM(V270:V278)</f>
        <v>#DIV/0!</v>
      </c>
    </row>
    <row r="280" spans="1:22" x14ac:dyDescent="0.2">
      <c r="A280" s="83" t="s">
        <v>511</v>
      </c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71"/>
    </row>
    <row r="281" spans="1:22" x14ac:dyDescent="0.2">
      <c r="A281" s="84" t="s">
        <v>512</v>
      </c>
      <c r="B281" s="85" t="s">
        <v>47</v>
      </c>
      <c r="C281" s="85" t="s">
        <v>394</v>
      </c>
      <c r="D281" s="85" t="s">
        <v>395</v>
      </c>
      <c r="E281" s="86" t="s">
        <v>396</v>
      </c>
      <c r="F281" s="85" t="s">
        <v>476</v>
      </c>
      <c r="G281" s="85" t="s">
        <v>274</v>
      </c>
      <c r="H281" s="85" t="s">
        <v>13</v>
      </c>
      <c r="I281" s="85" t="s">
        <v>255</v>
      </c>
      <c r="J281" s="85" t="s">
        <v>47</v>
      </c>
      <c r="K281" s="85"/>
      <c r="L281" s="87">
        <v>9</v>
      </c>
      <c r="M281" s="87">
        <f>L281*VLOOKUP(H281,dagsoorttabel1,2,FALSE)</f>
        <v>7.0588235294117645</v>
      </c>
      <c r="N281" s="88">
        <f>prodnorm47</f>
        <v>0</v>
      </c>
      <c r="O281" s="89">
        <f>dagwerk47</f>
        <v>0</v>
      </c>
      <c r="P281" s="85" t="s">
        <v>105</v>
      </c>
      <c r="Q281" s="90">
        <f>uurtarief47</f>
        <v>0</v>
      </c>
      <c r="R281" s="87" t="e">
        <f>IF(ISBLANK(N281),0,M281/ROUND(N281,4))</f>
        <v>#DIV/0!</v>
      </c>
      <c r="S281" s="87" t="e">
        <f>IF(ISBLANK(N281),0,R281*ROUND(O281,2))</f>
        <v>#DIV/0!</v>
      </c>
      <c r="T281" s="90" t="e">
        <f>ROUND(Q281,2)*R281</f>
        <v>#DIV/0!</v>
      </c>
      <c r="U281" s="87" t="e">
        <f>R281*dagenperjaar1</f>
        <v>#DIV/0!</v>
      </c>
      <c r="V281" s="91" t="e">
        <f>U281*ROUND(Q281,2)</f>
        <v>#DIV/0!</v>
      </c>
    </row>
    <row r="282" spans="1:22" x14ac:dyDescent="0.2">
      <c r="A282" s="92" t="s">
        <v>512</v>
      </c>
      <c r="B282" s="93" t="s">
        <v>47</v>
      </c>
      <c r="C282" s="93" t="s">
        <v>394</v>
      </c>
      <c r="D282" s="93" t="s">
        <v>395</v>
      </c>
      <c r="E282" s="94" t="s">
        <v>396</v>
      </c>
      <c r="F282" s="93" t="s">
        <v>476</v>
      </c>
      <c r="G282" s="93" t="s">
        <v>276</v>
      </c>
      <c r="H282" s="93" t="s">
        <v>13</v>
      </c>
      <c r="I282" s="93" t="s">
        <v>255</v>
      </c>
      <c r="J282" s="93" t="s">
        <v>47</v>
      </c>
      <c r="K282" s="93"/>
      <c r="L282" s="95">
        <v>9</v>
      </c>
      <c r="M282" s="95">
        <f>L282*VLOOKUP(H282,dagsoorttabel1,2,FALSE)</f>
        <v>7.0588235294117645</v>
      </c>
      <c r="N282" s="96">
        <f>prodnorm50</f>
        <v>0</v>
      </c>
      <c r="O282" s="37">
        <f>dagwerk50</f>
        <v>0</v>
      </c>
      <c r="P282" s="93" t="s">
        <v>105</v>
      </c>
      <c r="Q282" s="24">
        <f>uurtarief50</f>
        <v>0</v>
      </c>
      <c r="R282" s="95" t="e">
        <f>IF(ISBLANK(N282),0,M282/ROUND(N282,4))</f>
        <v>#DIV/0!</v>
      </c>
      <c r="S282" s="95" t="e">
        <f>IF(ISBLANK(N282),0,R282*ROUND(O282,2))</f>
        <v>#DIV/0!</v>
      </c>
      <c r="T282" s="24" t="e">
        <f>ROUND(Q282,2)*R282</f>
        <v>#DIV/0!</v>
      </c>
      <c r="U282" s="95" t="e">
        <f>R282*dagenperjaar1</f>
        <v>#DIV/0!</v>
      </c>
      <c r="V282" s="25" t="e">
        <f>U282*ROUND(Q282,2)</f>
        <v>#DIV/0!</v>
      </c>
    </row>
    <row r="283" spans="1:22" x14ac:dyDescent="0.2">
      <c r="A283" s="92" t="s">
        <v>512</v>
      </c>
      <c r="B283" s="93" t="s">
        <v>47</v>
      </c>
      <c r="C283" s="93" t="s">
        <v>394</v>
      </c>
      <c r="D283" s="93" t="s">
        <v>398</v>
      </c>
      <c r="E283" s="94" t="s">
        <v>459</v>
      </c>
      <c r="F283" s="93" t="s">
        <v>442</v>
      </c>
      <c r="G283" s="93" t="s">
        <v>314</v>
      </c>
      <c r="H283" s="93" t="s">
        <v>13</v>
      </c>
      <c r="I283" s="93" t="s">
        <v>255</v>
      </c>
      <c r="J283" s="93" t="s">
        <v>47</v>
      </c>
      <c r="K283" s="93"/>
      <c r="L283" s="95">
        <v>32</v>
      </c>
      <c r="M283" s="95">
        <f>L283*VLOOKUP(H283,dagsoorttabel1,2,FALSE)</f>
        <v>25.098039215686274</v>
      </c>
      <c r="N283" s="96">
        <f>prodnorm88</f>
        <v>0</v>
      </c>
      <c r="O283" s="37">
        <f>dagwerk88</f>
        <v>0</v>
      </c>
      <c r="P283" s="93" t="s">
        <v>105</v>
      </c>
      <c r="Q283" s="24">
        <f>uurtarief88</f>
        <v>0</v>
      </c>
      <c r="R283" s="95" t="e">
        <f>IF(ISBLANK(N283),0,M283/ROUND(N283,4))</f>
        <v>#DIV/0!</v>
      </c>
      <c r="S283" s="95" t="e">
        <f>IF(ISBLANK(N283),0,R283*ROUND(O283,2))</f>
        <v>#DIV/0!</v>
      </c>
      <c r="T283" s="24" t="e">
        <f>ROUND(Q283,2)*R283</f>
        <v>#DIV/0!</v>
      </c>
      <c r="U283" s="95" t="e">
        <f>R283*dagenperjaar1</f>
        <v>#DIV/0!</v>
      </c>
      <c r="V283" s="25" t="e">
        <f>U283*ROUND(Q283,2)</f>
        <v>#DIV/0!</v>
      </c>
    </row>
    <row r="284" spans="1:22" x14ac:dyDescent="0.2">
      <c r="A284" s="92" t="s">
        <v>512</v>
      </c>
      <c r="B284" s="93" t="s">
        <v>47</v>
      </c>
      <c r="C284" s="93" t="s">
        <v>394</v>
      </c>
      <c r="D284" s="93" t="s">
        <v>398</v>
      </c>
      <c r="E284" s="94" t="s">
        <v>459</v>
      </c>
      <c r="F284" s="93" t="s">
        <v>442</v>
      </c>
      <c r="G284" s="93" t="s">
        <v>316</v>
      </c>
      <c r="H284" s="93" t="s">
        <v>13</v>
      </c>
      <c r="I284" s="93" t="s">
        <v>255</v>
      </c>
      <c r="J284" s="93" t="s">
        <v>47</v>
      </c>
      <c r="K284" s="93"/>
      <c r="L284" s="95">
        <v>32</v>
      </c>
      <c r="M284" s="95">
        <f>L284*VLOOKUP(H284,dagsoorttabel1,2,FALSE)</f>
        <v>25.098039215686274</v>
      </c>
      <c r="N284" s="96">
        <f>prodnorm93</f>
        <v>0</v>
      </c>
      <c r="O284" s="37">
        <f>dagwerk93</f>
        <v>0</v>
      </c>
      <c r="P284" s="93" t="s">
        <v>105</v>
      </c>
      <c r="Q284" s="24">
        <f>uurtarief93</f>
        <v>0</v>
      </c>
      <c r="R284" s="95" t="e">
        <f>IF(ISBLANK(N284),0,M284/ROUND(N284,4))</f>
        <v>#DIV/0!</v>
      </c>
      <c r="S284" s="95" t="e">
        <f>IF(ISBLANK(N284),0,R284*ROUND(O284,2))</f>
        <v>#DIV/0!</v>
      </c>
      <c r="T284" s="24" t="e">
        <f>ROUND(Q284,2)*R284</f>
        <v>#DIV/0!</v>
      </c>
      <c r="U284" s="95" t="e">
        <f>R284*dagenperjaar1</f>
        <v>#DIV/0!</v>
      </c>
      <c r="V284" s="25" t="e">
        <f>U284*ROUND(Q284,2)</f>
        <v>#DIV/0!</v>
      </c>
    </row>
    <row r="285" spans="1:22" x14ac:dyDescent="0.2">
      <c r="A285" s="92" t="s">
        <v>512</v>
      </c>
      <c r="B285" s="93" t="s">
        <v>47</v>
      </c>
      <c r="C285" s="93" t="s">
        <v>394</v>
      </c>
      <c r="D285" s="93" t="s">
        <v>400</v>
      </c>
      <c r="E285" s="94" t="s">
        <v>513</v>
      </c>
      <c r="F285" s="93" t="s">
        <v>442</v>
      </c>
      <c r="G285" s="93" t="s">
        <v>284</v>
      </c>
      <c r="H285" s="93" t="s">
        <v>13</v>
      </c>
      <c r="I285" s="93" t="s">
        <v>255</v>
      </c>
      <c r="J285" s="93" t="s">
        <v>47</v>
      </c>
      <c r="K285" s="93"/>
      <c r="L285" s="95">
        <v>19</v>
      </c>
      <c r="M285" s="95">
        <f>L285*VLOOKUP(H285,dagsoorttabel1,2,FALSE)</f>
        <v>14.901960784313726</v>
      </c>
      <c r="N285" s="96">
        <f>prodnorm58</f>
        <v>0</v>
      </c>
      <c r="O285" s="37">
        <f>dagwerk58</f>
        <v>0</v>
      </c>
      <c r="P285" s="93" t="s">
        <v>105</v>
      </c>
      <c r="Q285" s="24">
        <f>uurtarief58</f>
        <v>0</v>
      </c>
      <c r="R285" s="95" t="e">
        <f>IF(ISBLANK(N285),0,M285/ROUND(N285,4))</f>
        <v>#DIV/0!</v>
      </c>
      <c r="S285" s="95" t="e">
        <f>IF(ISBLANK(N285),0,R285*ROUND(O285,2))</f>
        <v>#DIV/0!</v>
      </c>
      <c r="T285" s="24" t="e">
        <f>ROUND(Q285,2)*R285</f>
        <v>#DIV/0!</v>
      </c>
      <c r="U285" s="95" t="e">
        <f>R285*dagenperjaar1</f>
        <v>#DIV/0!</v>
      </c>
      <c r="V285" s="25" t="e">
        <f>U285*ROUND(Q285,2)</f>
        <v>#DIV/0!</v>
      </c>
    </row>
    <row r="286" spans="1:22" x14ac:dyDescent="0.2">
      <c r="A286" s="92" t="s">
        <v>512</v>
      </c>
      <c r="B286" s="93" t="s">
        <v>47</v>
      </c>
      <c r="C286" s="93" t="s">
        <v>394</v>
      </c>
      <c r="D286" s="93" t="s">
        <v>400</v>
      </c>
      <c r="E286" s="94" t="s">
        <v>513</v>
      </c>
      <c r="F286" s="93" t="s">
        <v>442</v>
      </c>
      <c r="G286" s="93" t="s">
        <v>286</v>
      </c>
      <c r="H286" s="93" t="s">
        <v>13</v>
      </c>
      <c r="I286" s="93" t="s">
        <v>255</v>
      </c>
      <c r="J286" s="93" t="s">
        <v>47</v>
      </c>
      <c r="K286" s="93"/>
      <c r="L286" s="95">
        <v>19</v>
      </c>
      <c r="M286" s="95">
        <f>L286*VLOOKUP(H286,dagsoorttabel1,2,FALSE)</f>
        <v>14.901960784313726</v>
      </c>
      <c r="N286" s="96">
        <f>prodnorm61</f>
        <v>0</v>
      </c>
      <c r="O286" s="37">
        <f>dagwerk61</f>
        <v>0</v>
      </c>
      <c r="P286" s="93" t="s">
        <v>105</v>
      </c>
      <c r="Q286" s="24">
        <f>uurtarief61</f>
        <v>0</v>
      </c>
      <c r="R286" s="95" t="e">
        <f>IF(ISBLANK(N286),0,M286/ROUND(N286,4))</f>
        <v>#DIV/0!</v>
      </c>
      <c r="S286" s="95" t="e">
        <f>IF(ISBLANK(N286),0,R286*ROUND(O286,2))</f>
        <v>#DIV/0!</v>
      </c>
      <c r="T286" s="24" t="e">
        <f>ROUND(Q286,2)*R286</f>
        <v>#DIV/0!</v>
      </c>
      <c r="U286" s="95" t="e">
        <f>R286*dagenperjaar1</f>
        <v>#DIV/0!</v>
      </c>
      <c r="V286" s="25" t="e">
        <f>U286*ROUND(Q286,2)</f>
        <v>#DIV/0!</v>
      </c>
    </row>
    <row r="287" spans="1:22" x14ac:dyDescent="0.2">
      <c r="A287" s="92" t="s">
        <v>512</v>
      </c>
      <c r="B287" s="93" t="s">
        <v>47</v>
      </c>
      <c r="C287" s="93" t="s">
        <v>394</v>
      </c>
      <c r="D287" s="93" t="s">
        <v>402</v>
      </c>
      <c r="E287" s="94" t="s">
        <v>410</v>
      </c>
      <c r="F287" s="93" t="s">
        <v>442</v>
      </c>
      <c r="G287" s="93" t="s">
        <v>304</v>
      </c>
      <c r="H287" s="93" t="s">
        <v>13</v>
      </c>
      <c r="I287" s="93" t="s">
        <v>255</v>
      </c>
      <c r="J287" s="93" t="s">
        <v>47</v>
      </c>
      <c r="K287" s="93"/>
      <c r="L287" s="95">
        <v>2</v>
      </c>
      <c r="M287" s="95">
        <f>L287*VLOOKUP(H287,dagsoorttabel1,2,FALSE)</f>
        <v>1.5686274509803921</v>
      </c>
      <c r="N287" s="96">
        <f>prodnorm74</f>
        <v>0</v>
      </c>
      <c r="O287" s="37">
        <f>dagwerk74</f>
        <v>0</v>
      </c>
      <c r="P287" s="93" t="s">
        <v>105</v>
      </c>
      <c r="Q287" s="24">
        <f>uurtarief74</f>
        <v>0</v>
      </c>
      <c r="R287" s="95" t="e">
        <f>IF(ISBLANK(N287),0,M287/ROUND(N287,4))</f>
        <v>#DIV/0!</v>
      </c>
      <c r="S287" s="95" t="e">
        <f>IF(ISBLANK(N287),0,R287*ROUND(O287,2))</f>
        <v>#DIV/0!</v>
      </c>
      <c r="T287" s="24" t="e">
        <f>ROUND(Q287,2)*R287</f>
        <v>#DIV/0!</v>
      </c>
      <c r="U287" s="95" t="e">
        <f>R287*dagenperjaar1</f>
        <v>#DIV/0!</v>
      </c>
      <c r="V287" s="25" t="e">
        <f>U287*ROUND(Q287,2)</f>
        <v>#DIV/0!</v>
      </c>
    </row>
    <row r="288" spans="1:22" x14ac:dyDescent="0.2">
      <c r="A288" s="92" t="s">
        <v>512</v>
      </c>
      <c r="B288" s="93" t="s">
        <v>47</v>
      </c>
      <c r="C288" s="93" t="s">
        <v>394</v>
      </c>
      <c r="D288" s="93" t="s">
        <v>402</v>
      </c>
      <c r="E288" s="94" t="s">
        <v>410</v>
      </c>
      <c r="F288" s="93" t="s">
        <v>442</v>
      </c>
      <c r="G288" s="93" t="s">
        <v>306</v>
      </c>
      <c r="H288" s="93" t="s">
        <v>13</v>
      </c>
      <c r="I288" s="93" t="s">
        <v>255</v>
      </c>
      <c r="J288" s="93" t="s">
        <v>47</v>
      </c>
      <c r="K288" s="93"/>
      <c r="L288" s="95">
        <v>2</v>
      </c>
      <c r="M288" s="95">
        <f>L288*VLOOKUP(H288,dagsoorttabel1,2,FALSE)</f>
        <v>1.5686274509803921</v>
      </c>
      <c r="N288" s="96">
        <f>prodnorm78</f>
        <v>0</v>
      </c>
      <c r="O288" s="37">
        <f>dagwerk78</f>
        <v>0</v>
      </c>
      <c r="P288" s="93" t="s">
        <v>105</v>
      </c>
      <c r="Q288" s="24">
        <f>uurtarief78</f>
        <v>0</v>
      </c>
      <c r="R288" s="95" t="e">
        <f>IF(ISBLANK(N288),0,M288/ROUND(N288,4))</f>
        <v>#DIV/0!</v>
      </c>
      <c r="S288" s="95" t="e">
        <f>IF(ISBLANK(N288),0,R288*ROUND(O288,2))</f>
        <v>#DIV/0!</v>
      </c>
      <c r="T288" s="24" t="e">
        <f>ROUND(Q288,2)*R288</f>
        <v>#DIV/0!</v>
      </c>
      <c r="U288" s="95" t="e">
        <f>R288*dagenperjaar1</f>
        <v>#DIV/0!</v>
      </c>
      <c r="V288" s="25" t="e">
        <f>U288*ROUND(Q288,2)</f>
        <v>#DIV/0!</v>
      </c>
    </row>
    <row r="289" spans="1:22" x14ac:dyDescent="0.2">
      <c r="A289" s="92" t="s">
        <v>512</v>
      </c>
      <c r="B289" s="93" t="s">
        <v>47</v>
      </c>
      <c r="C289" s="93" t="s">
        <v>394</v>
      </c>
      <c r="D289" s="93" t="s">
        <v>404</v>
      </c>
      <c r="E289" s="94" t="s">
        <v>407</v>
      </c>
      <c r="F289" s="93" t="s">
        <v>442</v>
      </c>
      <c r="G289" s="93" t="s">
        <v>266</v>
      </c>
      <c r="H289" s="93" t="s">
        <v>13</v>
      </c>
      <c r="I289" s="93" t="s">
        <v>255</v>
      </c>
      <c r="J289" s="93" t="s">
        <v>47</v>
      </c>
      <c r="K289" s="93"/>
      <c r="L289" s="95">
        <v>4</v>
      </c>
      <c r="M289" s="95">
        <f>L289*VLOOKUP(H289,dagsoorttabel1,2,FALSE)</f>
        <v>3.1372549019607843</v>
      </c>
      <c r="N289" s="96">
        <f>prodnorm40</f>
        <v>0</v>
      </c>
      <c r="O289" s="37">
        <f>dagwerk40</f>
        <v>0</v>
      </c>
      <c r="P289" s="93" t="s">
        <v>105</v>
      </c>
      <c r="Q289" s="24">
        <f>uurtarief40</f>
        <v>0</v>
      </c>
      <c r="R289" s="95" t="e">
        <f>IF(ISBLANK(N289),0,M289/ROUND(N289,4))</f>
        <v>#DIV/0!</v>
      </c>
      <c r="S289" s="95" t="e">
        <f>IF(ISBLANK(N289),0,R289*ROUND(O289,2))</f>
        <v>#DIV/0!</v>
      </c>
      <c r="T289" s="24" t="e">
        <f>ROUND(Q289,2)*R289</f>
        <v>#DIV/0!</v>
      </c>
      <c r="U289" s="95" t="e">
        <f>R289*dagenperjaar1</f>
        <v>#DIV/0!</v>
      </c>
      <c r="V289" s="25" t="e">
        <f>U289*ROUND(Q289,2)</f>
        <v>#DIV/0!</v>
      </c>
    </row>
    <row r="290" spans="1:22" x14ac:dyDescent="0.2">
      <c r="A290" s="92" t="s">
        <v>512</v>
      </c>
      <c r="B290" s="93" t="s">
        <v>47</v>
      </c>
      <c r="C290" s="93" t="s">
        <v>394</v>
      </c>
      <c r="D290" s="93" t="s">
        <v>404</v>
      </c>
      <c r="E290" s="94" t="s">
        <v>407</v>
      </c>
      <c r="F290" s="93" t="s">
        <v>442</v>
      </c>
      <c r="G290" s="93" t="s">
        <v>268</v>
      </c>
      <c r="H290" s="93" t="s">
        <v>13</v>
      </c>
      <c r="I290" s="93" t="s">
        <v>255</v>
      </c>
      <c r="J290" s="93" t="s">
        <v>47</v>
      </c>
      <c r="K290" s="93"/>
      <c r="L290" s="95">
        <v>4</v>
      </c>
      <c r="M290" s="95">
        <f>L290*VLOOKUP(H290,dagsoorttabel1,2,FALSE)</f>
        <v>3.1372549019607843</v>
      </c>
      <c r="N290" s="96">
        <f>prodnorm42</f>
        <v>0</v>
      </c>
      <c r="O290" s="37">
        <f>dagwerk42</f>
        <v>0</v>
      </c>
      <c r="P290" s="93" t="s">
        <v>105</v>
      </c>
      <c r="Q290" s="24">
        <f>uurtarief42</f>
        <v>0</v>
      </c>
      <c r="R290" s="95" t="e">
        <f>IF(ISBLANK(N290),0,M290/ROUND(N290,4))</f>
        <v>#DIV/0!</v>
      </c>
      <c r="S290" s="95" t="e">
        <f>IF(ISBLANK(N290),0,R290*ROUND(O290,2))</f>
        <v>#DIV/0!</v>
      </c>
      <c r="T290" s="24" t="e">
        <f>ROUND(Q290,2)*R290</f>
        <v>#DIV/0!</v>
      </c>
      <c r="U290" s="95" t="e">
        <f>R290*dagenperjaar1</f>
        <v>#DIV/0!</v>
      </c>
      <c r="V290" s="25" t="e">
        <f>U290*ROUND(Q290,2)</f>
        <v>#DIV/0!</v>
      </c>
    </row>
    <row r="291" spans="1:22" x14ac:dyDescent="0.2">
      <c r="A291" s="92" t="s">
        <v>512</v>
      </c>
      <c r="B291" s="93" t="s">
        <v>47</v>
      </c>
      <c r="C291" s="93" t="s">
        <v>394</v>
      </c>
      <c r="D291" s="93" t="s">
        <v>406</v>
      </c>
      <c r="E291" s="94" t="s">
        <v>514</v>
      </c>
      <c r="F291" s="93" t="s">
        <v>442</v>
      </c>
      <c r="G291" s="93" t="s">
        <v>284</v>
      </c>
      <c r="H291" s="93" t="s">
        <v>13</v>
      </c>
      <c r="I291" s="93" t="s">
        <v>255</v>
      </c>
      <c r="J291" s="93" t="s">
        <v>47</v>
      </c>
      <c r="K291" s="93"/>
      <c r="L291" s="95">
        <v>19</v>
      </c>
      <c r="M291" s="95">
        <f>L291*VLOOKUP(H291,dagsoorttabel1,2,FALSE)</f>
        <v>14.901960784313726</v>
      </c>
      <c r="N291" s="96">
        <f>prodnorm58</f>
        <v>0</v>
      </c>
      <c r="O291" s="37">
        <f>dagwerk58</f>
        <v>0</v>
      </c>
      <c r="P291" s="93" t="s">
        <v>105</v>
      </c>
      <c r="Q291" s="24">
        <f>uurtarief58</f>
        <v>0</v>
      </c>
      <c r="R291" s="95" t="e">
        <f>IF(ISBLANK(N291),0,M291/ROUND(N291,4))</f>
        <v>#DIV/0!</v>
      </c>
      <c r="S291" s="95" t="e">
        <f>IF(ISBLANK(N291),0,R291*ROUND(O291,2))</f>
        <v>#DIV/0!</v>
      </c>
      <c r="T291" s="24" t="e">
        <f>ROUND(Q291,2)*R291</f>
        <v>#DIV/0!</v>
      </c>
      <c r="U291" s="95" t="e">
        <f>R291*dagenperjaar1</f>
        <v>#DIV/0!</v>
      </c>
      <c r="V291" s="25" t="e">
        <f>U291*ROUND(Q291,2)</f>
        <v>#DIV/0!</v>
      </c>
    </row>
    <row r="292" spans="1:22" x14ac:dyDescent="0.2">
      <c r="A292" s="92" t="s">
        <v>512</v>
      </c>
      <c r="B292" s="93" t="s">
        <v>47</v>
      </c>
      <c r="C292" s="93" t="s">
        <v>394</v>
      </c>
      <c r="D292" s="93" t="s">
        <v>406</v>
      </c>
      <c r="E292" s="94" t="s">
        <v>514</v>
      </c>
      <c r="F292" s="93" t="s">
        <v>442</v>
      </c>
      <c r="G292" s="93" t="s">
        <v>286</v>
      </c>
      <c r="H292" s="93" t="s">
        <v>13</v>
      </c>
      <c r="I292" s="93" t="s">
        <v>255</v>
      </c>
      <c r="J292" s="93" t="s">
        <v>47</v>
      </c>
      <c r="K292" s="93"/>
      <c r="L292" s="95">
        <v>19</v>
      </c>
      <c r="M292" s="95">
        <f>L292*VLOOKUP(H292,dagsoorttabel1,2,FALSE)</f>
        <v>14.901960784313726</v>
      </c>
      <c r="N292" s="96">
        <f>prodnorm61</f>
        <v>0</v>
      </c>
      <c r="O292" s="37">
        <f>dagwerk61</f>
        <v>0</v>
      </c>
      <c r="P292" s="93" t="s">
        <v>105</v>
      </c>
      <c r="Q292" s="24">
        <f>uurtarief61</f>
        <v>0</v>
      </c>
      <c r="R292" s="95" t="e">
        <f>IF(ISBLANK(N292),0,M292/ROUND(N292,4))</f>
        <v>#DIV/0!</v>
      </c>
      <c r="S292" s="95" t="e">
        <f>IF(ISBLANK(N292),0,R292*ROUND(O292,2))</f>
        <v>#DIV/0!</v>
      </c>
      <c r="T292" s="24" t="e">
        <f>ROUND(Q292,2)*R292</f>
        <v>#DIV/0!</v>
      </c>
      <c r="U292" s="95" t="e">
        <f>R292*dagenperjaar1</f>
        <v>#DIV/0!</v>
      </c>
      <c r="V292" s="25" t="e">
        <f>U292*ROUND(Q292,2)</f>
        <v>#DIV/0!</v>
      </c>
    </row>
    <row r="293" spans="1:22" x14ac:dyDescent="0.2">
      <c r="A293" s="92" t="s">
        <v>512</v>
      </c>
      <c r="B293" s="93" t="s">
        <v>47</v>
      </c>
      <c r="C293" s="93" t="s">
        <v>394</v>
      </c>
      <c r="D293" s="93" t="s">
        <v>409</v>
      </c>
      <c r="E293" s="94" t="s">
        <v>414</v>
      </c>
      <c r="F293" s="93" t="s">
        <v>442</v>
      </c>
      <c r="G293" s="93" t="s">
        <v>304</v>
      </c>
      <c r="H293" s="93" t="s">
        <v>13</v>
      </c>
      <c r="I293" s="93" t="s">
        <v>255</v>
      </c>
      <c r="J293" s="93" t="s">
        <v>47</v>
      </c>
      <c r="K293" s="93"/>
      <c r="L293" s="95">
        <v>2</v>
      </c>
      <c r="M293" s="95">
        <f>L293*VLOOKUP(H293,dagsoorttabel1,2,FALSE)</f>
        <v>1.5686274509803921</v>
      </c>
      <c r="N293" s="96">
        <f>prodnorm74</f>
        <v>0</v>
      </c>
      <c r="O293" s="37">
        <f>dagwerk74</f>
        <v>0</v>
      </c>
      <c r="P293" s="93" t="s">
        <v>105</v>
      </c>
      <c r="Q293" s="24">
        <f>uurtarief74</f>
        <v>0</v>
      </c>
      <c r="R293" s="95" t="e">
        <f>IF(ISBLANK(N293),0,M293/ROUND(N293,4))</f>
        <v>#DIV/0!</v>
      </c>
      <c r="S293" s="95" t="e">
        <f>IF(ISBLANK(N293),0,R293*ROUND(O293,2))</f>
        <v>#DIV/0!</v>
      </c>
      <c r="T293" s="24" t="e">
        <f>ROUND(Q293,2)*R293</f>
        <v>#DIV/0!</v>
      </c>
      <c r="U293" s="95" t="e">
        <f>R293*dagenperjaar1</f>
        <v>#DIV/0!</v>
      </c>
      <c r="V293" s="25" t="e">
        <f>U293*ROUND(Q293,2)</f>
        <v>#DIV/0!</v>
      </c>
    </row>
    <row r="294" spans="1:22" x14ac:dyDescent="0.2">
      <c r="A294" s="92" t="s">
        <v>512</v>
      </c>
      <c r="B294" s="93" t="s">
        <v>47</v>
      </c>
      <c r="C294" s="93" t="s">
        <v>394</v>
      </c>
      <c r="D294" s="93" t="s">
        <v>409</v>
      </c>
      <c r="E294" s="94" t="s">
        <v>414</v>
      </c>
      <c r="F294" s="93" t="s">
        <v>442</v>
      </c>
      <c r="G294" s="93" t="s">
        <v>306</v>
      </c>
      <c r="H294" s="93" t="s">
        <v>13</v>
      </c>
      <c r="I294" s="93" t="s">
        <v>255</v>
      </c>
      <c r="J294" s="93" t="s">
        <v>47</v>
      </c>
      <c r="K294" s="93"/>
      <c r="L294" s="95">
        <v>2</v>
      </c>
      <c r="M294" s="95">
        <f>L294*VLOOKUP(H294,dagsoorttabel1,2,FALSE)</f>
        <v>1.5686274509803921</v>
      </c>
      <c r="N294" s="96">
        <f>prodnorm78</f>
        <v>0</v>
      </c>
      <c r="O294" s="37">
        <f>dagwerk78</f>
        <v>0</v>
      </c>
      <c r="P294" s="93" t="s">
        <v>105</v>
      </c>
      <c r="Q294" s="24">
        <f>uurtarief78</f>
        <v>0</v>
      </c>
      <c r="R294" s="95" t="e">
        <f>IF(ISBLANK(N294),0,M294/ROUND(N294,4))</f>
        <v>#DIV/0!</v>
      </c>
      <c r="S294" s="95" t="e">
        <f>IF(ISBLANK(N294),0,R294*ROUND(O294,2))</f>
        <v>#DIV/0!</v>
      </c>
      <c r="T294" s="24" t="e">
        <f>ROUND(Q294,2)*R294</f>
        <v>#DIV/0!</v>
      </c>
      <c r="U294" s="95" t="e">
        <f>R294*dagenperjaar1</f>
        <v>#DIV/0!</v>
      </c>
      <c r="V294" s="25" t="e">
        <f>U294*ROUND(Q294,2)</f>
        <v>#DIV/0!</v>
      </c>
    </row>
    <row r="295" spans="1:22" x14ac:dyDescent="0.2">
      <c r="A295" s="92" t="s">
        <v>512</v>
      </c>
      <c r="B295" s="93" t="s">
        <v>47</v>
      </c>
      <c r="C295" s="93" t="s">
        <v>394</v>
      </c>
      <c r="D295" s="93" t="s">
        <v>411</v>
      </c>
      <c r="E295" s="94" t="s">
        <v>407</v>
      </c>
      <c r="F295" s="93" t="s">
        <v>442</v>
      </c>
      <c r="G295" s="93" t="s">
        <v>266</v>
      </c>
      <c r="H295" s="93" t="s">
        <v>13</v>
      </c>
      <c r="I295" s="93" t="s">
        <v>255</v>
      </c>
      <c r="J295" s="93" t="s">
        <v>47</v>
      </c>
      <c r="K295" s="93"/>
      <c r="L295" s="95">
        <v>4</v>
      </c>
      <c r="M295" s="95">
        <f>L295*VLOOKUP(H295,dagsoorttabel1,2,FALSE)</f>
        <v>3.1372549019607843</v>
      </c>
      <c r="N295" s="96">
        <f>prodnorm40</f>
        <v>0</v>
      </c>
      <c r="O295" s="37">
        <f>dagwerk40</f>
        <v>0</v>
      </c>
      <c r="P295" s="93" t="s">
        <v>105</v>
      </c>
      <c r="Q295" s="24">
        <f>uurtarief40</f>
        <v>0</v>
      </c>
      <c r="R295" s="95" t="e">
        <f>IF(ISBLANK(N295),0,M295/ROUND(N295,4))</f>
        <v>#DIV/0!</v>
      </c>
      <c r="S295" s="95" t="e">
        <f>IF(ISBLANK(N295),0,R295*ROUND(O295,2))</f>
        <v>#DIV/0!</v>
      </c>
      <c r="T295" s="24" t="e">
        <f>ROUND(Q295,2)*R295</f>
        <v>#DIV/0!</v>
      </c>
      <c r="U295" s="95" t="e">
        <f>R295*dagenperjaar1</f>
        <v>#DIV/0!</v>
      </c>
      <c r="V295" s="25" t="e">
        <f>U295*ROUND(Q295,2)</f>
        <v>#DIV/0!</v>
      </c>
    </row>
    <row r="296" spans="1:22" x14ac:dyDescent="0.2">
      <c r="A296" s="92" t="s">
        <v>512</v>
      </c>
      <c r="B296" s="93" t="s">
        <v>47</v>
      </c>
      <c r="C296" s="93" t="s">
        <v>394</v>
      </c>
      <c r="D296" s="93" t="s">
        <v>411</v>
      </c>
      <c r="E296" s="94" t="s">
        <v>407</v>
      </c>
      <c r="F296" s="93" t="s">
        <v>442</v>
      </c>
      <c r="G296" s="93" t="s">
        <v>268</v>
      </c>
      <c r="H296" s="93" t="s">
        <v>13</v>
      </c>
      <c r="I296" s="93" t="s">
        <v>255</v>
      </c>
      <c r="J296" s="93" t="s">
        <v>47</v>
      </c>
      <c r="K296" s="93"/>
      <c r="L296" s="95">
        <v>4</v>
      </c>
      <c r="M296" s="95">
        <f>L296*VLOOKUP(H296,dagsoorttabel1,2,FALSE)</f>
        <v>3.1372549019607843</v>
      </c>
      <c r="N296" s="96">
        <f>prodnorm42</f>
        <v>0</v>
      </c>
      <c r="O296" s="37">
        <f>dagwerk42</f>
        <v>0</v>
      </c>
      <c r="P296" s="93" t="s">
        <v>105</v>
      </c>
      <c r="Q296" s="24">
        <f>uurtarief42</f>
        <v>0</v>
      </c>
      <c r="R296" s="95" t="e">
        <f>IF(ISBLANK(N296),0,M296/ROUND(N296,4))</f>
        <v>#DIV/0!</v>
      </c>
      <c r="S296" s="95" t="e">
        <f>IF(ISBLANK(N296),0,R296*ROUND(O296,2))</f>
        <v>#DIV/0!</v>
      </c>
      <c r="T296" s="24" t="e">
        <f>ROUND(Q296,2)*R296</f>
        <v>#DIV/0!</v>
      </c>
      <c r="U296" s="95" t="e">
        <f>R296*dagenperjaar1</f>
        <v>#DIV/0!</v>
      </c>
      <c r="V296" s="25" t="e">
        <f>U296*ROUND(Q296,2)</f>
        <v>#DIV/0!</v>
      </c>
    </row>
    <row r="297" spans="1:22" x14ac:dyDescent="0.2">
      <c r="A297" s="92" t="s">
        <v>512</v>
      </c>
      <c r="B297" s="93" t="s">
        <v>47</v>
      </c>
      <c r="C297" s="93" t="s">
        <v>394</v>
      </c>
      <c r="D297" s="93" t="s">
        <v>413</v>
      </c>
      <c r="E297" s="94" t="s">
        <v>513</v>
      </c>
      <c r="F297" s="93" t="s">
        <v>442</v>
      </c>
      <c r="G297" s="93" t="s">
        <v>284</v>
      </c>
      <c r="H297" s="93" t="s">
        <v>13</v>
      </c>
      <c r="I297" s="93" t="s">
        <v>255</v>
      </c>
      <c r="J297" s="93" t="s">
        <v>47</v>
      </c>
      <c r="K297" s="93"/>
      <c r="L297" s="95">
        <v>19</v>
      </c>
      <c r="M297" s="95">
        <f>L297*VLOOKUP(H297,dagsoorttabel1,2,FALSE)</f>
        <v>14.901960784313726</v>
      </c>
      <c r="N297" s="96">
        <f>prodnorm58</f>
        <v>0</v>
      </c>
      <c r="O297" s="37">
        <f>dagwerk58</f>
        <v>0</v>
      </c>
      <c r="P297" s="93" t="s">
        <v>105</v>
      </c>
      <c r="Q297" s="24">
        <f>uurtarief58</f>
        <v>0</v>
      </c>
      <c r="R297" s="95" t="e">
        <f>IF(ISBLANK(N297),0,M297/ROUND(N297,4))</f>
        <v>#DIV/0!</v>
      </c>
      <c r="S297" s="95" t="e">
        <f>IF(ISBLANK(N297),0,R297*ROUND(O297,2))</f>
        <v>#DIV/0!</v>
      </c>
      <c r="T297" s="24" t="e">
        <f>ROUND(Q297,2)*R297</f>
        <v>#DIV/0!</v>
      </c>
      <c r="U297" s="95" t="e">
        <f>R297*dagenperjaar1</f>
        <v>#DIV/0!</v>
      </c>
      <c r="V297" s="25" t="e">
        <f>U297*ROUND(Q297,2)</f>
        <v>#DIV/0!</v>
      </c>
    </row>
    <row r="298" spans="1:22" x14ac:dyDescent="0.2">
      <c r="A298" s="92" t="s">
        <v>512</v>
      </c>
      <c r="B298" s="93" t="s">
        <v>47</v>
      </c>
      <c r="C298" s="93" t="s">
        <v>394</v>
      </c>
      <c r="D298" s="93" t="s">
        <v>413</v>
      </c>
      <c r="E298" s="94" t="s">
        <v>513</v>
      </c>
      <c r="F298" s="93" t="s">
        <v>442</v>
      </c>
      <c r="G298" s="93" t="s">
        <v>286</v>
      </c>
      <c r="H298" s="93" t="s">
        <v>13</v>
      </c>
      <c r="I298" s="93" t="s">
        <v>255</v>
      </c>
      <c r="J298" s="93" t="s">
        <v>47</v>
      </c>
      <c r="K298" s="93"/>
      <c r="L298" s="95">
        <v>19</v>
      </c>
      <c r="M298" s="95">
        <f>L298*VLOOKUP(H298,dagsoorttabel1,2,FALSE)</f>
        <v>14.901960784313726</v>
      </c>
      <c r="N298" s="96">
        <f>prodnorm61</f>
        <v>0</v>
      </c>
      <c r="O298" s="37">
        <f>dagwerk61</f>
        <v>0</v>
      </c>
      <c r="P298" s="93" t="s">
        <v>105</v>
      </c>
      <c r="Q298" s="24">
        <f>uurtarief61</f>
        <v>0</v>
      </c>
      <c r="R298" s="95" t="e">
        <f>IF(ISBLANK(N298),0,M298/ROUND(N298,4))</f>
        <v>#DIV/0!</v>
      </c>
      <c r="S298" s="95" t="e">
        <f>IF(ISBLANK(N298),0,R298*ROUND(O298,2))</f>
        <v>#DIV/0!</v>
      </c>
      <c r="T298" s="24" t="e">
        <f>ROUND(Q298,2)*R298</f>
        <v>#DIV/0!</v>
      </c>
      <c r="U298" s="95" t="e">
        <f>R298*dagenperjaar1</f>
        <v>#DIV/0!</v>
      </c>
      <c r="V298" s="25" t="e">
        <f>U298*ROUND(Q298,2)</f>
        <v>#DIV/0!</v>
      </c>
    </row>
    <row r="299" spans="1:22" x14ac:dyDescent="0.2">
      <c r="A299" s="92" t="s">
        <v>512</v>
      </c>
      <c r="B299" s="93" t="s">
        <v>47</v>
      </c>
      <c r="C299" s="93" t="s">
        <v>394</v>
      </c>
      <c r="D299" s="93" t="s">
        <v>415</v>
      </c>
      <c r="E299" s="94" t="s">
        <v>410</v>
      </c>
      <c r="F299" s="93" t="s">
        <v>442</v>
      </c>
      <c r="G299" s="93" t="s">
        <v>304</v>
      </c>
      <c r="H299" s="93" t="s">
        <v>13</v>
      </c>
      <c r="I299" s="93" t="s">
        <v>255</v>
      </c>
      <c r="J299" s="93" t="s">
        <v>47</v>
      </c>
      <c r="K299" s="93"/>
      <c r="L299" s="95">
        <v>2</v>
      </c>
      <c r="M299" s="95">
        <f>L299*VLOOKUP(H299,dagsoorttabel1,2,FALSE)</f>
        <v>1.5686274509803921</v>
      </c>
      <c r="N299" s="96">
        <f>prodnorm74</f>
        <v>0</v>
      </c>
      <c r="O299" s="37">
        <f>dagwerk74</f>
        <v>0</v>
      </c>
      <c r="P299" s="93" t="s">
        <v>105</v>
      </c>
      <c r="Q299" s="24">
        <f>uurtarief74</f>
        <v>0</v>
      </c>
      <c r="R299" s="95" t="e">
        <f>IF(ISBLANK(N299),0,M299/ROUND(N299,4))</f>
        <v>#DIV/0!</v>
      </c>
      <c r="S299" s="95" t="e">
        <f>IF(ISBLANK(N299),0,R299*ROUND(O299,2))</f>
        <v>#DIV/0!</v>
      </c>
      <c r="T299" s="24" t="e">
        <f>ROUND(Q299,2)*R299</f>
        <v>#DIV/0!</v>
      </c>
      <c r="U299" s="95" t="e">
        <f>R299*dagenperjaar1</f>
        <v>#DIV/0!</v>
      </c>
      <c r="V299" s="25" t="e">
        <f>U299*ROUND(Q299,2)</f>
        <v>#DIV/0!</v>
      </c>
    </row>
    <row r="300" spans="1:22" x14ac:dyDescent="0.2">
      <c r="A300" s="92" t="s">
        <v>512</v>
      </c>
      <c r="B300" s="93" t="s">
        <v>47</v>
      </c>
      <c r="C300" s="93" t="s">
        <v>394</v>
      </c>
      <c r="D300" s="93" t="s">
        <v>415</v>
      </c>
      <c r="E300" s="94" t="s">
        <v>410</v>
      </c>
      <c r="F300" s="93" t="s">
        <v>442</v>
      </c>
      <c r="G300" s="93" t="s">
        <v>306</v>
      </c>
      <c r="H300" s="93" t="s">
        <v>13</v>
      </c>
      <c r="I300" s="93" t="s">
        <v>255</v>
      </c>
      <c r="J300" s="93" t="s">
        <v>47</v>
      </c>
      <c r="K300" s="93"/>
      <c r="L300" s="95">
        <v>2</v>
      </c>
      <c r="M300" s="95">
        <f>L300*VLOOKUP(H300,dagsoorttabel1,2,FALSE)</f>
        <v>1.5686274509803921</v>
      </c>
      <c r="N300" s="96">
        <f>prodnorm78</f>
        <v>0</v>
      </c>
      <c r="O300" s="37">
        <f>dagwerk78</f>
        <v>0</v>
      </c>
      <c r="P300" s="93" t="s">
        <v>105</v>
      </c>
      <c r="Q300" s="24">
        <f>uurtarief78</f>
        <v>0</v>
      </c>
      <c r="R300" s="95" t="e">
        <f>IF(ISBLANK(N300),0,M300/ROUND(N300,4))</f>
        <v>#DIV/0!</v>
      </c>
      <c r="S300" s="95" t="e">
        <f>IF(ISBLANK(N300),0,R300*ROUND(O300,2))</f>
        <v>#DIV/0!</v>
      </c>
      <c r="T300" s="24" t="e">
        <f>ROUND(Q300,2)*R300</f>
        <v>#DIV/0!</v>
      </c>
      <c r="U300" s="95" t="e">
        <f>R300*dagenperjaar1</f>
        <v>#DIV/0!</v>
      </c>
      <c r="V300" s="25" t="e">
        <f>U300*ROUND(Q300,2)</f>
        <v>#DIV/0!</v>
      </c>
    </row>
    <row r="301" spans="1:22" x14ac:dyDescent="0.2">
      <c r="A301" s="92" t="s">
        <v>512</v>
      </c>
      <c r="B301" s="93" t="s">
        <v>47</v>
      </c>
      <c r="C301" s="93" t="s">
        <v>394</v>
      </c>
      <c r="D301" s="93" t="s">
        <v>416</v>
      </c>
      <c r="E301" s="94" t="s">
        <v>407</v>
      </c>
      <c r="F301" s="93" t="s">
        <v>442</v>
      </c>
      <c r="G301" s="93" t="s">
        <v>266</v>
      </c>
      <c r="H301" s="93" t="s">
        <v>13</v>
      </c>
      <c r="I301" s="93" t="s">
        <v>255</v>
      </c>
      <c r="J301" s="93" t="s">
        <v>47</v>
      </c>
      <c r="K301" s="93"/>
      <c r="L301" s="95">
        <v>4</v>
      </c>
      <c r="M301" s="95">
        <f>L301*VLOOKUP(H301,dagsoorttabel1,2,FALSE)</f>
        <v>3.1372549019607843</v>
      </c>
      <c r="N301" s="96">
        <f>prodnorm40</f>
        <v>0</v>
      </c>
      <c r="O301" s="37">
        <f>dagwerk40</f>
        <v>0</v>
      </c>
      <c r="P301" s="93" t="s">
        <v>105</v>
      </c>
      <c r="Q301" s="24">
        <f>uurtarief40</f>
        <v>0</v>
      </c>
      <c r="R301" s="95" t="e">
        <f>IF(ISBLANK(N301),0,M301/ROUND(N301,4))</f>
        <v>#DIV/0!</v>
      </c>
      <c r="S301" s="95" t="e">
        <f>IF(ISBLANK(N301),0,R301*ROUND(O301,2))</f>
        <v>#DIV/0!</v>
      </c>
      <c r="T301" s="24" t="e">
        <f>ROUND(Q301,2)*R301</f>
        <v>#DIV/0!</v>
      </c>
      <c r="U301" s="95" t="e">
        <f>R301*dagenperjaar1</f>
        <v>#DIV/0!</v>
      </c>
      <c r="V301" s="25" t="e">
        <f>U301*ROUND(Q301,2)</f>
        <v>#DIV/0!</v>
      </c>
    </row>
    <row r="302" spans="1:22" x14ac:dyDescent="0.2">
      <c r="A302" s="92" t="s">
        <v>512</v>
      </c>
      <c r="B302" s="93" t="s">
        <v>47</v>
      </c>
      <c r="C302" s="93" t="s">
        <v>394</v>
      </c>
      <c r="D302" s="93" t="s">
        <v>416</v>
      </c>
      <c r="E302" s="94" t="s">
        <v>407</v>
      </c>
      <c r="F302" s="93" t="s">
        <v>442</v>
      </c>
      <c r="G302" s="93" t="s">
        <v>268</v>
      </c>
      <c r="H302" s="93" t="s">
        <v>13</v>
      </c>
      <c r="I302" s="93" t="s">
        <v>255</v>
      </c>
      <c r="J302" s="93" t="s">
        <v>47</v>
      </c>
      <c r="K302" s="93"/>
      <c r="L302" s="95">
        <v>4</v>
      </c>
      <c r="M302" s="95">
        <f>L302*VLOOKUP(H302,dagsoorttabel1,2,FALSE)</f>
        <v>3.1372549019607843</v>
      </c>
      <c r="N302" s="96">
        <f>prodnorm42</f>
        <v>0</v>
      </c>
      <c r="O302" s="37">
        <f>dagwerk42</f>
        <v>0</v>
      </c>
      <c r="P302" s="93" t="s">
        <v>105</v>
      </c>
      <c r="Q302" s="24">
        <f>uurtarief42</f>
        <v>0</v>
      </c>
      <c r="R302" s="95" t="e">
        <f>IF(ISBLANK(N302),0,M302/ROUND(N302,4))</f>
        <v>#DIV/0!</v>
      </c>
      <c r="S302" s="95" t="e">
        <f>IF(ISBLANK(N302),0,R302*ROUND(O302,2))</f>
        <v>#DIV/0!</v>
      </c>
      <c r="T302" s="24" t="e">
        <f>ROUND(Q302,2)*R302</f>
        <v>#DIV/0!</v>
      </c>
      <c r="U302" s="95" t="e">
        <f>R302*dagenperjaar1</f>
        <v>#DIV/0!</v>
      </c>
      <c r="V302" s="25" t="e">
        <f>U302*ROUND(Q302,2)</f>
        <v>#DIV/0!</v>
      </c>
    </row>
    <row r="303" spans="1:22" x14ac:dyDescent="0.2">
      <c r="A303" s="92" t="s">
        <v>512</v>
      </c>
      <c r="B303" s="93" t="s">
        <v>47</v>
      </c>
      <c r="C303" s="93" t="s">
        <v>394</v>
      </c>
      <c r="D303" s="93" t="s">
        <v>418</v>
      </c>
      <c r="E303" s="94" t="s">
        <v>514</v>
      </c>
      <c r="F303" s="93" t="s">
        <v>442</v>
      </c>
      <c r="G303" s="93" t="s">
        <v>284</v>
      </c>
      <c r="H303" s="93" t="s">
        <v>13</v>
      </c>
      <c r="I303" s="93" t="s">
        <v>255</v>
      </c>
      <c r="J303" s="93" t="s">
        <v>47</v>
      </c>
      <c r="K303" s="93"/>
      <c r="L303" s="95">
        <v>19</v>
      </c>
      <c r="M303" s="95">
        <f>L303*VLOOKUP(H303,dagsoorttabel1,2,FALSE)</f>
        <v>14.901960784313726</v>
      </c>
      <c r="N303" s="96">
        <f>prodnorm58</f>
        <v>0</v>
      </c>
      <c r="O303" s="37">
        <f>dagwerk58</f>
        <v>0</v>
      </c>
      <c r="P303" s="93" t="s">
        <v>105</v>
      </c>
      <c r="Q303" s="24">
        <f>uurtarief58</f>
        <v>0</v>
      </c>
      <c r="R303" s="95" t="e">
        <f>IF(ISBLANK(N303),0,M303/ROUND(N303,4))</f>
        <v>#DIV/0!</v>
      </c>
      <c r="S303" s="95" t="e">
        <f>IF(ISBLANK(N303),0,R303*ROUND(O303,2))</f>
        <v>#DIV/0!</v>
      </c>
      <c r="T303" s="24" t="e">
        <f>ROUND(Q303,2)*R303</f>
        <v>#DIV/0!</v>
      </c>
      <c r="U303" s="95" t="e">
        <f>R303*dagenperjaar1</f>
        <v>#DIV/0!</v>
      </c>
      <c r="V303" s="25" t="e">
        <f>U303*ROUND(Q303,2)</f>
        <v>#DIV/0!</v>
      </c>
    </row>
    <row r="304" spans="1:22" x14ac:dyDescent="0.2">
      <c r="A304" s="92" t="s">
        <v>512</v>
      </c>
      <c r="B304" s="93" t="s">
        <v>47</v>
      </c>
      <c r="C304" s="93" t="s">
        <v>394</v>
      </c>
      <c r="D304" s="93" t="s">
        <v>418</v>
      </c>
      <c r="E304" s="94" t="s">
        <v>514</v>
      </c>
      <c r="F304" s="93" t="s">
        <v>442</v>
      </c>
      <c r="G304" s="93" t="s">
        <v>286</v>
      </c>
      <c r="H304" s="93" t="s">
        <v>13</v>
      </c>
      <c r="I304" s="93" t="s">
        <v>255</v>
      </c>
      <c r="J304" s="93" t="s">
        <v>47</v>
      </c>
      <c r="K304" s="93"/>
      <c r="L304" s="95">
        <v>19</v>
      </c>
      <c r="M304" s="95">
        <f>L304*VLOOKUP(H304,dagsoorttabel1,2,FALSE)</f>
        <v>14.901960784313726</v>
      </c>
      <c r="N304" s="96">
        <f>prodnorm61</f>
        <v>0</v>
      </c>
      <c r="O304" s="37">
        <f>dagwerk61</f>
        <v>0</v>
      </c>
      <c r="P304" s="93" t="s">
        <v>105</v>
      </c>
      <c r="Q304" s="24">
        <f>uurtarief61</f>
        <v>0</v>
      </c>
      <c r="R304" s="95" t="e">
        <f>IF(ISBLANK(N304),0,M304/ROUND(N304,4))</f>
        <v>#DIV/0!</v>
      </c>
      <c r="S304" s="95" t="e">
        <f>IF(ISBLANK(N304),0,R304*ROUND(O304,2))</f>
        <v>#DIV/0!</v>
      </c>
      <c r="T304" s="24" t="e">
        <f>ROUND(Q304,2)*R304</f>
        <v>#DIV/0!</v>
      </c>
      <c r="U304" s="95" t="e">
        <f>R304*dagenperjaar1</f>
        <v>#DIV/0!</v>
      </c>
      <c r="V304" s="25" t="e">
        <f>U304*ROUND(Q304,2)</f>
        <v>#DIV/0!</v>
      </c>
    </row>
    <row r="305" spans="1:22" x14ac:dyDescent="0.2">
      <c r="A305" s="92" t="s">
        <v>512</v>
      </c>
      <c r="B305" s="93" t="s">
        <v>47</v>
      </c>
      <c r="C305" s="93" t="s">
        <v>394</v>
      </c>
      <c r="D305" s="93" t="s">
        <v>419</v>
      </c>
      <c r="E305" s="94" t="s">
        <v>414</v>
      </c>
      <c r="F305" s="93" t="s">
        <v>442</v>
      </c>
      <c r="G305" s="93" t="s">
        <v>304</v>
      </c>
      <c r="H305" s="93" t="s">
        <v>13</v>
      </c>
      <c r="I305" s="93" t="s">
        <v>255</v>
      </c>
      <c r="J305" s="93" t="s">
        <v>47</v>
      </c>
      <c r="K305" s="93"/>
      <c r="L305" s="95">
        <v>2</v>
      </c>
      <c r="M305" s="95">
        <f>L305*VLOOKUP(H305,dagsoorttabel1,2,FALSE)</f>
        <v>1.5686274509803921</v>
      </c>
      <c r="N305" s="96">
        <f>prodnorm74</f>
        <v>0</v>
      </c>
      <c r="O305" s="37">
        <f>dagwerk74</f>
        <v>0</v>
      </c>
      <c r="P305" s="93" t="s">
        <v>105</v>
      </c>
      <c r="Q305" s="24">
        <f>uurtarief74</f>
        <v>0</v>
      </c>
      <c r="R305" s="95" t="e">
        <f>IF(ISBLANK(N305),0,M305/ROUND(N305,4))</f>
        <v>#DIV/0!</v>
      </c>
      <c r="S305" s="95" t="e">
        <f>IF(ISBLANK(N305),0,R305*ROUND(O305,2))</f>
        <v>#DIV/0!</v>
      </c>
      <c r="T305" s="24" t="e">
        <f>ROUND(Q305,2)*R305</f>
        <v>#DIV/0!</v>
      </c>
      <c r="U305" s="95" t="e">
        <f>R305*dagenperjaar1</f>
        <v>#DIV/0!</v>
      </c>
      <c r="V305" s="25" t="e">
        <f>U305*ROUND(Q305,2)</f>
        <v>#DIV/0!</v>
      </c>
    </row>
    <row r="306" spans="1:22" x14ac:dyDescent="0.2">
      <c r="A306" s="92" t="s">
        <v>512</v>
      </c>
      <c r="B306" s="93" t="s">
        <v>47</v>
      </c>
      <c r="C306" s="93" t="s">
        <v>394</v>
      </c>
      <c r="D306" s="93" t="s">
        <v>419</v>
      </c>
      <c r="E306" s="94" t="s">
        <v>414</v>
      </c>
      <c r="F306" s="93" t="s">
        <v>442</v>
      </c>
      <c r="G306" s="93" t="s">
        <v>306</v>
      </c>
      <c r="H306" s="93" t="s">
        <v>13</v>
      </c>
      <c r="I306" s="93" t="s">
        <v>255</v>
      </c>
      <c r="J306" s="93" t="s">
        <v>47</v>
      </c>
      <c r="K306" s="93"/>
      <c r="L306" s="95">
        <v>2</v>
      </c>
      <c r="M306" s="95">
        <f>L306*VLOOKUP(H306,dagsoorttabel1,2,FALSE)</f>
        <v>1.5686274509803921</v>
      </c>
      <c r="N306" s="96">
        <f>prodnorm78</f>
        <v>0</v>
      </c>
      <c r="O306" s="37">
        <f>dagwerk78</f>
        <v>0</v>
      </c>
      <c r="P306" s="93" t="s">
        <v>105</v>
      </c>
      <c r="Q306" s="24">
        <f>uurtarief78</f>
        <v>0</v>
      </c>
      <c r="R306" s="95" t="e">
        <f>IF(ISBLANK(N306),0,M306/ROUND(N306,4))</f>
        <v>#DIV/0!</v>
      </c>
      <c r="S306" s="95" t="e">
        <f>IF(ISBLANK(N306),0,R306*ROUND(O306,2))</f>
        <v>#DIV/0!</v>
      </c>
      <c r="T306" s="24" t="e">
        <f>ROUND(Q306,2)*R306</f>
        <v>#DIV/0!</v>
      </c>
      <c r="U306" s="95" t="e">
        <f>R306*dagenperjaar1</f>
        <v>#DIV/0!</v>
      </c>
      <c r="V306" s="25" t="e">
        <f>U306*ROUND(Q306,2)</f>
        <v>#DIV/0!</v>
      </c>
    </row>
    <row r="307" spans="1:22" x14ac:dyDescent="0.2">
      <c r="A307" s="92" t="s">
        <v>512</v>
      </c>
      <c r="B307" s="93" t="s">
        <v>47</v>
      </c>
      <c r="C307" s="93" t="s">
        <v>394</v>
      </c>
      <c r="D307" s="93" t="s">
        <v>420</v>
      </c>
      <c r="E307" s="94" t="s">
        <v>407</v>
      </c>
      <c r="F307" s="93" t="s">
        <v>442</v>
      </c>
      <c r="G307" s="93" t="s">
        <v>266</v>
      </c>
      <c r="H307" s="93" t="s">
        <v>13</v>
      </c>
      <c r="I307" s="93" t="s">
        <v>255</v>
      </c>
      <c r="J307" s="93" t="s">
        <v>47</v>
      </c>
      <c r="K307" s="93"/>
      <c r="L307" s="95">
        <v>4</v>
      </c>
      <c r="M307" s="95">
        <f>L307*VLOOKUP(H307,dagsoorttabel1,2,FALSE)</f>
        <v>3.1372549019607843</v>
      </c>
      <c r="N307" s="96">
        <f>prodnorm40</f>
        <v>0</v>
      </c>
      <c r="O307" s="37">
        <f>dagwerk40</f>
        <v>0</v>
      </c>
      <c r="P307" s="93" t="s">
        <v>105</v>
      </c>
      <c r="Q307" s="24">
        <f>uurtarief40</f>
        <v>0</v>
      </c>
      <c r="R307" s="95" t="e">
        <f>IF(ISBLANK(N307),0,M307/ROUND(N307,4))</f>
        <v>#DIV/0!</v>
      </c>
      <c r="S307" s="95" t="e">
        <f>IF(ISBLANK(N307),0,R307*ROUND(O307,2))</f>
        <v>#DIV/0!</v>
      </c>
      <c r="T307" s="24" t="e">
        <f>ROUND(Q307,2)*R307</f>
        <v>#DIV/0!</v>
      </c>
      <c r="U307" s="95" t="e">
        <f>R307*dagenperjaar1</f>
        <v>#DIV/0!</v>
      </c>
      <c r="V307" s="25" t="e">
        <f>U307*ROUND(Q307,2)</f>
        <v>#DIV/0!</v>
      </c>
    </row>
    <row r="308" spans="1:22" x14ac:dyDescent="0.2">
      <c r="A308" s="92" t="s">
        <v>512</v>
      </c>
      <c r="B308" s="93" t="s">
        <v>47</v>
      </c>
      <c r="C308" s="93" t="s">
        <v>394</v>
      </c>
      <c r="D308" s="93" t="s">
        <v>420</v>
      </c>
      <c r="E308" s="94" t="s">
        <v>407</v>
      </c>
      <c r="F308" s="93" t="s">
        <v>442</v>
      </c>
      <c r="G308" s="93" t="s">
        <v>268</v>
      </c>
      <c r="H308" s="93" t="s">
        <v>13</v>
      </c>
      <c r="I308" s="93" t="s">
        <v>255</v>
      </c>
      <c r="J308" s="93" t="s">
        <v>47</v>
      </c>
      <c r="K308" s="93"/>
      <c r="L308" s="95">
        <v>4</v>
      </c>
      <c r="M308" s="95">
        <f>L308*VLOOKUP(H308,dagsoorttabel1,2,FALSE)</f>
        <v>3.1372549019607843</v>
      </c>
      <c r="N308" s="96">
        <f>prodnorm42</f>
        <v>0</v>
      </c>
      <c r="O308" s="37">
        <f>dagwerk42</f>
        <v>0</v>
      </c>
      <c r="P308" s="93" t="s">
        <v>105</v>
      </c>
      <c r="Q308" s="24">
        <f>uurtarief42</f>
        <v>0</v>
      </c>
      <c r="R308" s="95" t="e">
        <f>IF(ISBLANK(N308),0,M308/ROUND(N308,4))</f>
        <v>#DIV/0!</v>
      </c>
      <c r="S308" s="95" t="e">
        <f>IF(ISBLANK(N308),0,R308*ROUND(O308,2))</f>
        <v>#DIV/0!</v>
      </c>
      <c r="T308" s="24" t="e">
        <f>ROUND(Q308,2)*R308</f>
        <v>#DIV/0!</v>
      </c>
      <c r="U308" s="95" t="e">
        <f>R308*dagenperjaar1</f>
        <v>#DIV/0!</v>
      </c>
      <c r="V308" s="25" t="e">
        <f>U308*ROUND(Q308,2)</f>
        <v>#DIV/0!</v>
      </c>
    </row>
    <row r="309" spans="1:22" x14ac:dyDescent="0.2">
      <c r="A309" s="92" t="s">
        <v>512</v>
      </c>
      <c r="B309" s="93" t="s">
        <v>47</v>
      </c>
      <c r="C309" s="93" t="s">
        <v>394</v>
      </c>
      <c r="D309" s="93" t="s">
        <v>422</v>
      </c>
      <c r="E309" s="94" t="s">
        <v>515</v>
      </c>
      <c r="F309" s="93" t="s">
        <v>442</v>
      </c>
      <c r="G309" s="93" t="s">
        <v>284</v>
      </c>
      <c r="H309" s="93" t="s">
        <v>13</v>
      </c>
      <c r="I309" s="93" t="s">
        <v>255</v>
      </c>
      <c r="J309" s="93" t="s">
        <v>47</v>
      </c>
      <c r="K309" s="93"/>
      <c r="L309" s="95">
        <v>4</v>
      </c>
      <c r="M309" s="95">
        <f>L309*VLOOKUP(H309,dagsoorttabel1,2,FALSE)</f>
        <v>3.1372549019607843</v>
      </c>
      <c r="N309" s="96">
        <f>prodnorm58</f>
        <v>0</v>
      </c>
      <c r="O309" s="37">
        <f>dagwerk58</f>
        <v>0</v>
      </c>
      <c r="P309" s="93" t="s">
        <v>105</v>
      </c>
      <c r="Q309" s="24">
        <f>uurtarief58</f>
        <v>0</v>
      </c>
      <c r="R309" s="95" t="e">
        <f>IF(ISBLANK(N309),0,M309/ROUND(N309,4))</f>
        <v>#DIV/0!</v>
      </c>
      <c r="S309" s="95" t="e">
        <f>IF(ISBLANK(N309),0,R309*ROUND(O309,2))</f>
        <v>#DIV/0!</v>
      </c>
      <c r="T309" s="24" t="e">
        <f>ROUND(Q309,2)*R309</f>
        <v>#DIV/0!</v>
      </c>
      <c r="U309" s="95" t="e">
        <f>R309*dagenperjaar1</f>
        <v>#DIV/0!</v>
      </c>
      <c r="V309" s="25" t="e">
        <f>U309*ROUND(Q309,2)</f>
        <v>#DIV/0!</v>
      </c>
    </row>
    <row r="310" spans="1:22" x14ac:dyDescent="0.2">
      <c r="A310" s="92" t="s">
        <v>512</v>
      </c>
      <c r="B310" s="93" t="s">
        <v>47</v>
      </c>
      <c r="C310" s="93" t="s">
        <v>394</v>
      </c>
      <c r="D310" s="93" t="s">
        <v>424</v>
      </c>
      <c r="E310" s="94" t="s">
        <v>423</v>
      </c>
      <c r="F310" s="93" t="s">
        <v>442</v>
      </c>
      <c r="G310" s="93" t="s">
        <v>304</v>
      </c>
      <c r="H310" s="93" t="s">
        <v>13</v>
      </c>
      <c r="I310" s="93" t="s">
        <v>255</v>
      </c>
      <c r="J310" s="93" t="s">
        <v>47</v>
      </c>
      <c r="K310" s="93"/>
      <c r="L310" s="95">
        <v>2</v>
      </c>
      <c r="M310" s="95">
        <f>L310*VLOOKUP(H310,dagsoorttabel1,2,FALSE)</f>
        <v>1.5686274509803921</v>
      </c>
      <c r="N310" s="96">
        <f>prodnorm74</f>
        <v>0</v>
      </c>
      <c r="O310" s="37">
        <f>dagwerk74</f>
        <v>0</v>
      </c>
      <c r="P310" s="93" t="s">
        <v>105</v>
      </c>
      <c r="Q310" s="24">
        <f>uurtarief74</f>
        <v>0</v>
      </c>
      <c r="R310" s="95" t="e">
        <f>IF(ISBLANK(N310),0,M310/ROUND(N310,4))</f>
        <v>#DIV/0!</v>
      </c>
      <c r="S310" s="95" t="e">
        <f>IF(ISBLANK(N310),0,R310*ROUND(O310,2))</f>
        <v>#DIV/0!</v>
      </c>
      <c r="T310" s="24" t="e">
        <f>ROUND(Q310,2)*R310</f>
        <v>#DIV/0!</v>
      </c>
      <c r="U310" s="95" t="e">
        <f>R310*dagenperjaar1</f>
        <v>#DIV/0!</v>
      </c>
      <c r="V310" s="25" t="e">
        <f>U310*ROUND(Q310,2)</f>
        <v>#DIV/0!</v>
      </c>
    </row>
    <row r="311" spans="1:22" x14ac:dyDescent="0.2">
      <c r="A311" s="92" t="s">
        <v>512</v>
      </c>
      <c r="B311" s="93" t="s">
        <v>47</v>
      </c>
      <c r="C311" s="93" t="s">
        <v>394</v>
      </c>
      <c r="D311" s="93" t="s">
        <v>424</v>
      </c>
      <c r="E311" s="94" t="s">
        <v>423</v>
      </c>
      <c r="F311" s="93" t="s">
        <v>442</v>
      </c>
      <c r="G311" s="93" t="s">
        <v>306</v>
      </c>
      <c r="H311" s="93" t="s">
        <v>13</v>
      </c>
      <c r="I311" s="93" t="s">
        <v>255</v>
      </c>
      <c r="J311" s="93" t="s">
        <v>47</v>
      </c>
      <c r="K311" s="93"/>
      <c r="L311" s="95">
        <v>2</v>
      </c>
      <c r="M311" s="95">
        <f>L311*VLOOKUP(H311,dagsoorttabel1,2,FALSE)</f>
        <v>1.5686274509803921</v>
      </c>
      <c r="N311" s="96">
        <f>prodnorm78</f>
        <v>0</v>
      </c>
      <c r="O311" s="37">
        <f>dagwerk78</f>
        <v>0</v>
      </c>
      <c r="P311" s="93" t="s">
        <v>105</v>
      </c>
      <c r="Q311" s="24">
        <f>uurtarief78</f>
        <v>0</v>
      </c>
      <c r="R311" s="95" t="e">
        <f>IF(ISBLANK(N311),0,M311/ROUND(N311,4))</f>
        <v>#DIV/0!</v>
      </c>
      <c r="S311" s="95" t="e">
        <f>IF(ISBLANK(N311),0,R311*ROUND(O311,2))</f>
        <v>#DIV/0!</v>
      </c>
      <c r="T311" s="24" t="e">
        <f>ROUND(Q311,2)*R311</f>
        <v>#DIV/0!</v>
      </c>
      <c r="U311" s="95" t="e">
        <f>R311*dagenperjaar1</f>
        <v>#DIV/0!</v>
      </c>
      <c r="V311" s="25" t="e">
        <f>U311*ROUND(Q311,2)</f>
        <v>#DIV/0!</v>
      </c>
    </row>
    <row r="312" spans="1:22" x14ac:dyDescent="0.2">
      <c r="A312" s="92" t="s">
        <v>512</v>
      </c>
      <c r="B312" s="93" t="s">
        <v>47</v>
      </c>
      <c r="C312" s="93" t="s">
        <v>394</v>
      </c>
      <c r="D312" s="93" t="s">
        <v>446</v>
      </c>
      <c r="E312" s="94" t="s">
        <v>407</v>
      </c>
      <c r="F312" s="93" t="s">
        <v>442</v>
      </c>
      <c r="G312" s="93" t="s">
        <v>266</v>
      </c>
      <c r="H312" s="93" t="s">
        <v>13</v>
      </c>
      <c r="I312" s="93" t="s">
        <v>255</v>
      </c>
      <c r="J312" s="93" t="s">
        <v>47</v>
      </c>
      <c r="K312" s="93"/>
      <c r="L312" s="95">
        <v>2</v>
      </c>
      <c r="M312" s="95">
        <f>L312*VLOOKUP(H312,dagsoorttabel1,2,FALSE)</f>
        <v>1.5686274509803921</v>
      </c>
      <c r="N312" s="96">
        <f>prodnorm40</f>
        <v>0</v>
      </c>
      <c r="O312" s="37">
        <f>dagwerk40</f>
        <v>0</v>
      </c>
      <c r="P312" s="93" t="s">
        <v>105</v>
      </c>
      <c r="Q312" s="24">
        <f>uurtarief40</f>
        <v>0</v>
      </c>
      <c r="R312" s="95" t="e">
        <f>IF(ISBLANK(N312),0,M312/ROUND(N312,4))</f>
        <v>#DIV/0!</v>
      </c>
      <c r="S312" s="95" t="e">
        <f>IF(ISBLANK(N312),0,R312*ROUND(O312,2))</f>
        <v>#DIV/0!</v>
      </c>
      <c r="T312" s="24" t="e">
        <f>ROUND(Q312,2)*R312</f>
        <v>#DIV/0!</v>
      </c>
      <c r="U312" s="95" t="e">
        <f>R312*dagenperjaar1</f>
        <v>#DIV/0!</v>
      </c>
      <c r="V312" s="25" t="e">
        <f>U312*ROUND(Q312,2)</f>
        <v>#DIV/0!</v>
      </c>
    </row>
    <row r="313" spans="1:22" x14ac:dyDescent="0.2">
      <c r="A313" s="92" t="s">
        <v>512</v>
      </c>
      <c r="B313" s="93" t="s">
        <v>47</v>
      </c>
      <c r="C313" s="93" t="s">
        <v>394</v>
      </c>
      <c r="D313" s="93" t="s">
        <v>446</v>
      </c>
      <c r="E313" s="94" t="s">
        <v>407</v>
      </c>
      <c r="F313" s="93" t="s">
        <v>442</v>
      </c>
      <c r="G313" s="93" t="s">
        <v>268</v>
      </c>
      <c r="H313" s="93" t="s">
        <v>13</v>
      </c>
      <c r="I313" s="93" t="s">
        <v>255</v>
      </c>
      <c r="J313" s="93" t="s">
        <v>47</v>
      </c>
      <c r="K313" s="93"/>
      <c r="L313" s="95">
        <v>2</v>
      </c>
      <c r="M313" s="95">
        <f>L313*VLOOKUP(H313,dagsoorttabel1,2,FALSE)</f>
        <v>1.5686274509803921</v>
      </c>
      <c r="N313" s="96">
        <f>prodnorm42</f>
        <v>0</v>
      </c>
      <c r="O313" s="37">
        <f>dagwerk42</f>
        <v>0</v>
      </c>
      <c r="P313" s="93" t="s">
        <v>105</v>
      </c>
      <c r="Q313" s="24">
        <f>uurtarief42</f>
        <v>0</v>
      </c>
      <c r="R313" s="95" t="e">
        <f>IF(ISBLANK(N313),0,M313/ROUND(N313,4))</f>
        <v>#DIV/0!</v>
      </c>
      <c r="S313" s="95" t="e">
        <f>IF(ISBLANK(N313),0,R313*ROUND(O313,2))</f>
        <v>#DIV/0!</v>
      </c>
      <c r="T313" s="24" t="e">
        <f>ROUND(Q313,2)*R313</f>
        <v>#DIV/0!</v>
      </c>
      <c r="U313" s="95" t="e">
        <f>R313*dagenperjaar1</f>
        <v>#DIV/0!</v>
      </c>
      <c r="V313" s="25" t="e">
        <f>U313*ROUND(Q313,2)</f>
        <v>#DIV/0!</v>
      </c>
    </row>
    <row r="314" spans="1:22" x14ac:dyDescent="0.2">
      <c r="A314" s="92" t="s">
        <v>512</v>
      </c>
      <c r="B314" s="93" t="s">
        <v>47</v>
      </c>
      <c r="C314" s="93" t="s">
        <v>394</v>
      </c>
      <c r="D314" s="93" t="s">
        <v>425</v>
      </c>
      <c r="E314" s="94" t="s">
        <v>516</v>
      </c>
      <c r="F314" s="93" t="s">
        <v>442</v>
      </c>
      <c r="G314" s="93" t="s">
        <v>284</v>
      </c>
      <c r="H314" s="93" t="s">
        <v>13</v>
      </c>
      <c r="I314" s="93" t="s">
        <v>255</v>
      </c>
      <c r="J314" s="93" t="s">
        <v>47</v>
      </c>
      <c r="K314" s="93"/>
      <c r="L314" s="95">
        <v>4</v>
      </c>
      <c r="M314" s="95">
        <f>L314*VLOOKUP(H314,dagsoorttabel1,2,FALSE)</f>
        <v>3.1372549019607843</v>
      </c>
      <c r="N314" s="96">
        <f>prodnorm58</f>
        <v>0</v>
      </c>
      <c r="O314" s="37">
        <f>dagwerk58</f>
        <v>0</v>
      </c>
      <c r="P314" s="93" t="s">
        <v>105</v>
      </c>
      <c r="Q314" s="24">
        <f>uurtarief58</f>
        <v>0</v>
      </c>
      <c r="R314" s="95" t="e">
        <f>IF(ISBLANK(N314),0,M314/ROUND(N314,4))</f>
        <v>#DIV/0!</v>
      </c>
      <c r="S314" s="95" t="e">
        <f>IF(ISBLANK(N314),0,R314*ROUND(O314,2))</f>
        <v>#DIV/0!</v>
      </c>
      <c r="T314" s="24" t="e">
        <f>ROUND(Q314,2)*R314</f>
        <v>#DIV/0!</v>
      </c>
      <c r="U314" s="95" t="e">
        <f>R314*dagenperjaar1</f>
        <v>#DIV/0!</v>
      </c>
      <c r="V314" s="25" t="e">
        <f>U314*ROUND(Q314,2)</f>
        <v>#DIV/0!</v>
      </c>
    </row>
    <row r="315" spans="1:22" x14ac:dyDescent="0.2">
      <c r="A315" s="92" t="s">
        <v>512</v>
      </c>
      <c r="B315" s="93" t="s">
        <v>47</v>
      </c>
      <c r="C315" s="93" t="s">
        <v>394</v>
      </c>
      <c r="D315" s="93" t="s">
        <v>426</v>
      </c>
      <c r="E315" s="94" t="s">
        <v>423</v>
      </c>
      <c r="F315" s="93" t="s">
        <v>442</v>
      </c>
      <c r="G315" s="93" t="s">
        <v>304</v>
      </c>
      <c r="H315" s="93" t="s">
        <v>13</v>
      </c>
      <c r="I315" s="93" t="s">
        <v>255</v>
      </c>
      <c r="J315" s="93" t="s">
        <v>47</v>
      </c>
      <c r="K315" s="93"/>
      <c r="L315" s="95">
        <v>2</v>
      </c>
      <c r="M315" s="95">
        <f>L315*VLOOKUP(H315,dagsoorttabel1,2,FALSE)</f>
        <v>1.5686274509803921</v>
      </c>
      <c r="N315" s="96">
        <f>prodnorm74</f>
        <v>0</v>
      </c>
      <c r="O315" s="37">
        <f>dagwerk74</f>
        <v>0</v>
      </c>
      <c r="P315" s="93" t="s">
        <v>105</v>
      </c>
      <c r="Q315" s="24">
        <f>uurtarief74</f>
        <v>0</v>
      </c>
      <c r="R315" s="95" t="e">
        <f>IF(ISBLANK(N315),0,M315/ROUND(N315,4))</f>
        <v>#DIV/0!</v>
      </c>
      <c r="S315" s="95" t="e">
        <f>IF(ISBLANK(N315),0,R315*ROUND(O315,2))</f>
        <v>#DIV/0!</v>
      </c>
      <c r="T315" s="24" t="e">
        <f>ROUND(Q315,2)*R315</f>
        <v>#DIV/0!</v>
      </c>
      <c r="U315" s="95" t="e">
        <f>R315*dagenperjaar1</f>
        <v>#DIV/0!</v>
      </c>
      <c r="V315" s="25" t="e">
        <f>U315*ROUND(Q315,2)</f>
        <v>#DIV/0!</v>
      </c>
    </row>
    <row r="316" spans="1:22" x14ac:dyDescent="0.2">
      <c r="A316" s="92" t="s">
        <v>512</v>
      </c>
      <c r="B316" s="93" t="s">
        <v>47</v>
      </c>
      <c r="C316" s="93" t="s">
        <v>394</v>
      </c>
      <c r="D316" s="93" t="s">
        <v>426</v>
      </c>
      <c r="E316" s="94" t="s">
        <v>423</v>
      </c>
      <c r="F316" s="93" t="s">
        <v>442</v>
      </c>
      <c r="G316" s="93" t="s">
        <v>306</v>
      </c>
      <c r="H316" s="93" t="s">
        <v>13</v>
      </c>
      <c r="I316" s="93" t="s">
        <v>255</v>
      </c>
      <c r="J316" s="93" t="s">
        <v>47</v>
      </c>
      <c r="K316" s="93"/>
      <c r="L316" s="95">
        <v>2</v>
      </c>
      <c r="M316" s="95">
        <f>L316*VLOOKUP(H316,dagsoorttabel1,2,FALSE)</f>
        <v>1.5686274509803921</v>
      </c>
      <c r="N316" s="96">
        <f>prodnorm78</f>
        <v>0</v>
      </c>
      <c r="O316" s="37">
        <f>dagwerk78</f>
        <v>0</v>
      </c>
      <c r="P316" s="93" t="s">
        <v>105</v>
      </c>
      <c r="Q316" s="24">
        <f>uurtarief78</f>
        <v>0</v>
      </c>
      <c r="R316" s="95" t="e">
        <f>IF(ISBLANK(N316),0,M316/ROUND(N316,4))</f>
        <v>#DIV/0!</v>
      </c>
      <c r="S316" s="95" t="e">
        <f>IF(ISBLANK(N316),0,R316*ROUND(O316,2))</f>
        <v>#DIV/0!</v>
      </c>
      <c r="T316" s="24" t="e">
        <f>ROUND(Q316,2)*R316</f>
        <v>#DIV/0!</v>
      </c>
      <c r="U316" s="95" t="e">
        <f>R316*dagenperjaar1</f>
        <v>#DIV/0!</v>
      </c>
      <c r="V316" s="25" t="e">
        <f>U316*ROUND(Q316,2)</f>
        <v>#DIV/0!</v>
      </c>
    </row>
    <row r="317" spans="1:22" x14ac:dyDescent="0.2">
      <c r="A317" s="92" t="s">
        <v>512</v>
      </c>
      <c r="B317" s="93" t="s">
        <v>47</v>
      </c>
      <c r="C317" s="93" t="s">
        <v>394</v>
      </c>
      <c r="D317" s="93" t="s">
        <v>427</v>
      </c>
      <c r="E317" s="94" t="s">
        <v>407</v>
      </c>
      <c r="F317" s="93" t="s">
        <v>442</v>
      </c>
      <c r="G317" s="93" t="s">
        <v>266</v>
      </c>
      <c r="H317" s="93" t="s">
        <v>13</v>
      </c>
      <c r="I317" s="93" t="s">
        <v>255</v>
      </c>
      <c r="J317" s="93" t="s">
        <v>47</v>
      </c>
      <c r="K317" s="93"/>
      <c r="L317" s="95">
        <v>2</v>
      </c>
      <c r="M317" s="95">
        <f>L317*VLOOKUP(H317,dagsoorttabel1,2,FALSE)</f>
        <v>1.5686274509803921</v>
      </c>
      <c r="N317" s="96">
        <f>prodnorm40</f>
        <v>0</v>
      </c>
      <c r="O317" s="37">
        <f>dagwerk40</f>
        <v>0</v>
      </c>
      <c r="P317" s="93" t="s">
        <v>105</v>
      </c>
      <c r="Q317" s="24">
        <f>uurtarief40</f>
        <v>0</v>
      </c>
      <c r="R317" s="95" t="e">
        <f>IF(ISBLANK(N317),0,M317/ROUND(N317,4))</f>
        <v>#DIV/0!</v>
      </c>
      <c r="S317" s="95" t="e">
        <f>IF(ISBLANK(N317),0,R317*ROUND(O317,2))</f>
        <v>#DIV/0!</v>
      </c>
      <c r="T317" s="24" t="e">
        <f>ROUND(Q317,2)*R317</f>
        <v>#DIV/0!</v>
      </c>
      <c r="U317" s="95" t="e">
        <f>R317*dagenperjaar1</f>
        <v>#DIV/0!</v>
      </c>
      <c r="V317" s="25" t="e">
        <f>U317*ROUND(Q317,2)</f>
        <v>#DIV/0!</v>
      </c>
    </row>
    <row r="318" spans="1:22" x14ac:dyDescent="0.2">
      <c r="A318" s="92" t="s">
        <v>512</v>
      </c>
      <c r="B318" s="93" t="s">
        <v>47</v>
      </c>
      <c r="C318" s="93" t="s">
        <v>394</v>
      </c>
      <c r="D318" s="93" t="s">
        <v>427</v>
      </c>
      <c r="E318" s="94" t="s">
        <v>407</v>
      </c>
      <c r="F318" s="93" t="s">
        <v>442</v>
      </c>
      <c r="G318" s="93" t="s">
        <v>268</v>
      </c>
      <c r="H318" s="93" t="s">
        <v>13</v>
      </c>
      <c r="I318" s="93" t="s">
        <v>255</v>
      </c>
      <c r="J318" s="93" t="s">
        <v>47</v>
      </c>
      <c r="K318" s="93"/>
      <c r="L318" s="95">
        <v>2</v>
      </c>
      <c r="M318" s="95">
        <f>L318*VLOOKUP(H318,dagsoorttabel1,2,FALSE)</f>
        <v>1.5686274509803921</v>
      </c>
      <c r="N318" s="96">
        <f>prodnorm42</f>
        <v>0</v>
      </c>
      <c r="O318" s="37">
        <f>dagwerk42</f>
        <v>0</v>
      </c>
      <c r="P318" s="93" t="s">
        <v>105</v>
      </c>
      <c r="Q318" s="24">
        <f>uurtarief42</f>
        <v>0</v>
      </c>
      <c r="R318" s="95" t="e">
        <f>IF(ISBLANK(N318),0,M318/ROUND(N318,4))</f>
        <v>#DIV/0!</v>
      </c>
      <c r="S318" s="95" t="e">
        <f>IF(ISBLANK(N318),0,R318*ROUND(O318,2))</f>
        <v>#DIV/0!</v>
      </c>
      <c r="T318" s="24" t="e">
        <f>ROUND(Q318,2)*R318</f>
        <v>#DIV/0!</v>
      </c>
      <c r="U318" s="95" t="e">
        <f>R318*dagenperjaar1</f>
        <v>#DIV/0!</v>
      </c>
      <c r="V318" s="25" t="e">
        <f>U318*ROUND(Q318,2)</f>
        <v>#DIV/0!</v>
      </c>
    </row>
    <row r="319" spans="1:22" x14ac:dyDescent="0.2">
      <c r="A319" s="92" t="s">
        <v>512</v>
      </c>
      <c r="B319" s="93" t="s">
        <v>47</v>
      </c>
      <c r="C319" s="93" t="s">
        <v>394</v>
      </c>
      <c r="D319" s="93" t="s">
        <v>429</v>
      </c>
      <c r="E319" s="94" t="s">
        <v>410</v>
      </c>
      <c r="F319" s="93" t="s">
        <v>442</v>
      </c>
      <c r="G319" s="93" t="s">
        <v>304</v>
      </c>
      <c r="H319" s="93" t="s">
        <v>13</v>
      </c>
      <c r="I319" s="93" t="s">
        <v>255</v>
      </c>
      <c r="J319" s="93" t="s">
        <v>47</v>
      </c>
      <c r="K319" s="93"/>
      <c r="L319" s="95">
        <v>6</v>
      </c>
      <c r="M319" s="95">
        <f>L319*VLOOKUP(H319,dagsoorttabel1,2,FALSE)</f>
        <v>4.7058823529411766</v>
      </c>
      <c r="N319" s="96">
        <f>prodnorm74</f>
        <v>0</v>
      </c>
      <c r="O319" s="37">
        <f>dagwerk74</f>
        <v>0</v>
      </c>
      <c r="P319" s="93" t="s">
        <v>105</v>
      </c>
      <c r="Q319" s="24">
        <f>uurtarief74</f>
        <v>0</v>
      </c>
      <c r="R319" s="95" t="e">
        <f>IF(ISBLANK(N319),0,M319/ROUND(N319,4))</f>
        <v>#DIV/0!</v>
      </c>
      <c r="S319" s="95" t="e">
        <f>IF(ISBLANK(N319),0,R319*ROUND(O319,2))</f>
        <v>#DIV/0!</v>
      </c>
      <c r="T319" s="24" t="e">
        <f>ROUND(Q319,2)*R319</f>
        <v>#DIV/0!</v>
      </c>
      <c r="U319" s="95" t="e">
        <f>R319*dagenperjaar1</f>
        <v>#DIV/0!</v>
      </c>
      <c r="V319" s="25" t="e">
        <f>U319*ROUND(Q319,2)</f>
        <v>#DIV/0!</v>
      </c>
    </row>
    <row r="320" spans="1:22" x14ac:dyDescent="0.2">
      <c r="A320" s="92" t="s">
        <v>512</v>
      </c>
      <c r="B320" s="93" t="s">
        <v>47</v>
      </c>
      <c r="C320" s="93" t="s">
        <v>394</v>
      </c>
      <c r="D320" s="93" t="s">
        <v>429</v>
      </c>
      <c r="E320" s="94" t="s">
        <v>410</v>
      </c>
      <c r="F320" s="93" t="s">
        <v>442</v>
      </c>
      <c r="G320" s="93" t="s">
        <v>306</v>
      </c>
      <c r="H320" s="93" t="s">
        <v>13</v>
      </c>
      <c r="I320" s="93" t="s">
        <v>255</v>
      </c>
      <c r="J320" s="93" t="s">
        <v>47</v>
      </c>
      <c r="K320" s="93"/>
      <c r="L320" s="95">
        <v>6</v>
      </c>
      <c r="M320" s="95">
        <f>L320*VLOOKUP(H320,dagsoorttabel1,2,FALSE)</f>
        <v>4.7058823529411766</v>
      </c>
      <c r="N320" s="96">
        <f>prodnorm78</f>
        <v>0</v>
      </c>
      <c r="O320" s="37">
        <f>dagwerk78</f>
        <v>0</v>
      </c>
      <c r="P320" s="93" t="s">
        <v>105</v>
      </c>
      <c r="Q320" s="24">
        <f>uurtarief78</f>
        <v>0</v>
      </c>
      <c r="R320" s="95" t="e">
        <f>IF(ISBLANK(N320),0,M320/ROUND(N320,4))</f>
        <v>#DIV/0!</v>
      </c>
      <c r="S320" s="95" t="e">
        <f>IF(ISBLANK(N320),0,R320*ROUND(O320,2))</f>
        <v>#DIV/0!</v>
      </c>
      <c r="T320" s="24" t="e">
        <f>ROUND(Q320,2)*R320</f>
        <v>#DIV/0!</v>
      </c>
      <c r="U320" s="95" t="e">
        <f>R320*dagenperjaar1</f>
        <v>#DIV/0!</v>
      </c>
      <c r="V320" s="25" t="e">
        <f>U320*ROUND(Q320,2)</f>
        <v>#DIV/0!</v>
      </c>
    </row>
    <row r="321" spans="1:22" x14ac:dyDescent="0.2">
      <c r="A321" s="92" t="s">
        <v>512</v>
      </c>
      <c r="B321" s="93" t="s">
        <v>47</v>
      </c>
      <c r="C321" s="93" t="s">
        <v>394</v>
      </c>
      <c r="D321" s="93" t="s">
        <v>432</v>
      </c>
      <c r="E321" s="94" t="s">
        <v>428</v>
      </c>
      <c r="F321" s="93" t="s">
        <v>442</v>
      </c>
      <c r="G321" s="93" t="s">
        <v>314</v>
      </c>
      <c r="H321" s="93" t="s">
        <v>22</v>
      </c>
      <c r="I321" s="93" t="s">
        <v>255</v>
      </c>
      <c r="J321" s="93" t="s">
        <v>47</v>
      </c>
      <c r="K321" s="93"/>
      <c r="L321" s="95">
        <v>4</v>
      </c>
      <c r="M321" s="95">
        <f>L321*VLOOKUP(H321,dagsoorttabel1,2,FALSE)</f>
        <v>0.62745098039215685</v>
      </c>
      <c r="N321" s="96">
        <f>prodnorm90</f>
        <v>0</v>
      </c>
      <c r="O321" s="37">
        <f>dagwerk90</f>
        <v>0</v>
      </c>
      <c r="P321" s="93" t="s">
        <v>105</v>
      </c>
      <c r="Q321" s="24">
        <f>uurtarief90</f>
        <v>0</v>
      </c>
      <c r="R321" s="95" t="e">
        <f>IF(ISBLANK(N321),0,M321/ROUND(N321,4))</f>
        <v>#DIV/0!</v>
      </c>
      <c r="S321" s="95" t="e">
        <f>IF(ISBLANK(N321),0,R321*ROUND(O321,2))</f>
        <v>#DIV/0!</v>
      </c>
      <c r="T321" s="24" t="e">
        <f>ROUND(Q321,2)*R321</f>
        <v>#DIV/0!</v>
      </c>
      <c r="U321" s="95" t="e">
        <f>R321*dagenperjaar1</f>
        <v>#DIV/0!</v>
      </c>
      <c r="V321" s="25" t="e">
        <f>U321*ROUND(Q321,2)</f>
        <v>#DIV/0!</v>
      </c>
    </row>
    <row r="322" spans="1:22" x14ac:dyDescent="0.2">
      <c r="A322" s="92" t="s">
        <v>512</v>
      </c>
      <c r="B322" s="93" t="s">
        <v>47</v>
      </c>
      <c r="C322" s="93" t="s">
        <v>394</v>
      </c>
      <c r="D322" s="93" t="s">
        <v>434</v>
      </c>
      <c r="E322" s="94" t="s">
        <v>430</v>
      </c>
      <c r="F322" s="93" t="s">
        <v>517</v>
      </c>
      <c r="G322" s="93" t="s">
        <v>280</v>
      </c>
      <c r="H322" s="93" t="s">
        <v>13</v>
      </c>
      <c r="I322" s="93" t="s">
        <v>255</v>
      </c>
      <c r="J322" s="93" t="s">
        <v>47</v>
      </c>
      <c r="K322" s="93"/>
      <c r="L322" s="95">
        <v>780</v>
      </c>
      <c r="M322" s="95">
        <f>L322*VLOOKUP(H322,dagsoorttabel1,2,FALSE)</f>
        <v>611.76470588235293</v>
      </c>
      <c r="N322" s="96">
        <f>prodnorm52</f>
        <v>0</v>
      </c>
      <c r="O322" s="37">
        <f>dagwerk52</f>
        <v>0</v>
      </c>
      <c r="P322" s="93" t="s">
        <v>105</v>
      </c>
      <c r="Q322" s="24">
        <f>uurtarief52</f>
        <v>0</v>
      </c>
      <c r="R322" s="95" t="e">
        <f>IF(ISBLANK(N322),0,M322/ROUND(N322,4))</f>
        <v>#DIV/0!</v>
      </c>
      <c r="S322" s="95" t="e">
        <f>IF(ISBLANK(N322),0,R322*ROUND(O322,2))</f>
        <v>#DIV/0!</v>
      </c>
      <c r="T322" s="24" t="e">
        <f>ROUND(Q322,2)*R322</f>
        <v>#DIV/0!</v>
      </c>
      <c r="U322" s="95" t="e">
        <f>R322*dagenperjaar1</f>
        <v>#DIV/0!</v>
      </c>
      <c r="V322" s="25" t="e">
        <f>U322*ROUND(Q322,2)</f>
        <v>#DIV/0!</v>
      </c>
    </row>
    <row r="323" spans="1:22" x14ac:dyDescent="0.2">
      <c r="A323" s="92" t="s">
        <v>512</v>
      </c>
      <c r="B323" s="93" t="s">
        <v>47</v>
      </c>
      <c r="C323" s="93" t="s">
        <v>394</v>
      </c>
      <c r="D323" s="93" t="s">
        <v>434</v>
      </c>
      <c r="E323" s="94" t="s">
        <v>430</v>
      </c>
      <c r="F323" s="93" t="s">
        <v>517</v>
      </c>
      <c r="G323" s="93" t="s">
        <v>282</v>
      </c>
      <c r="H323" s="93" t="s">
        <v>13</v>
      </c>
      <c r="I323" s="93" t="s">
        <v>255</v>
      </c>
      <c r="J323" s="93" t="s">
        <v>47</v>
      </c>
      <c r="K323" s="93"/>
      <c r="L323" s="95">
        <v>780</v>
      </c>
      <c r="M323" s="95">
        <f>L323*VLOOKUP(H323,dagsoorttabel1,2,FALSE)</f>
        <v>611.76470588235293</v>
      </c>
      <c r="N323" s="96">
        <f>prodnorm55</f>
        <v>0</v>
      </c>
      <c r="O323" s="37">
        <f>dagwerk55</f>
        <v>0</v>
      </c>
      <c r="P323" s="93" t="s">
        <v>105</v>
      </c>
      <c r="Q323" s="24">
        <f>uurtarief55</f>
        <v>0</v>
      </c>
      <c r="R323" s="95" t="e">
        <f>IF(ISBLANK(N323),0,M323/ROUND(N323,4))</f>
        <v>#DIV/0!</v>
      </c>
      <c r="S323" s="95" t="e">
        <f>IF(ISBLANK(N323),0,R323*ROUND(O323,2))</f>
        <v>#DIV/0!</v>
      </c>
      <c r="T323" s="24" t="e">
        <f>ROUND(Q323,2)*R323</f>
        <v>#DIV/0!</v>
      </c>
      <c r="U323" s="95" t="e">
        <f>R323*dagenperjaar1</f>
        <v>#DIV/0!</v>
      </c>
      <c r="V323" s="25" t="e">
        <f>U323*ROUND(Q323,2)</f>
        <v>#DIV/0!</v>
      </c>
    </row>
    <row r="324" spans="1:22" x14ac:dyDescent="0.2">
      <c r="A324" s="92" t="s">
        <v>512</v>
      </c>
      <c r="B324" s="93" t="s">
        <v>47</v>
      </c>
      <c r="C324" s="93" t="s">
        <v>394</v>
      </c>
      <c r="D324" s="93" t="s">
        <v>448</v>
      </c>
      <c r="E324" s="94" t="s">
        <v>433</v>
      </c>
      <c r="F324" s="93" t="s">
        <v>517</v>
      </c>
      <c r="G324" s="93" t="s">
        <v>280</v>
      </c>
      <c r="H324" s="93" t="s">
        <v>22</v>
      </c>
      <c r="I324" s="93" t="s">
        <v>255</v>
      </c>
      <c r="J324" s="93" t="s">
        <v>47</v>
      </c>
      <c r="K324" s="93"/>
      <c r="L324" s="95">
        <v>42</v>
      </c>
      <c r="M324" s="95">
        <f>L324*VLOOKUP(H324,dagsoorttabel1,2,FALSE)</f>
        <v>6.5882352941176467</v>
      </c>
      <c r="N324" s="96">
        <f>prodnorm54</f>
        <v>0</v>
      </c>
      <c r="O324" s="37">
        <f>dagwerk54</f>
        <v>0</v>
      </c>
      <c r="P324" s="93" t="s">
        <v>105</v>
      </c>
      <c r="Q324" s="24">
        <f>uurtarief54</f>
        <v>0</v>
      </c>
      <c r="R324" s="95" t="e">
        <f>IF(ISBLANK(N324),0,M324/ROUND(N324,4))</f>
        <v>#DIV/0!</v>
      </c>
      <c r="S324" s="95" t="e">
        <f>IF(ISBLANK(N324),0,R324*ROUND(O324,2))</f>
        <v>#DIV/0!</v>
      </c>
      <c r="T324" s="24" t="e">
        <f>ROUND(Q324,2)*R324</f>
        <v>#DIV/0!</v>
      </c>
      <c r="U324" s="95" t="e">
        <f>R324*dagenperjaar1</f>
        <v>#DIV/0!</v>
      </c>
      <c r="V324" s="25" t="e">
        <f>U324*ROUND(Q324,2)</f>
        <v>#DIV/0!</v>
      </c>
    </row>
    <row r="325" spans="1:22" x14ac:dyDescent="0.2">
      <c r="A325" s="92" t="s">
        <v>512</v>
      </c>
      <c r="B325" s="93" t="s">
        <v>47</v>
      </c>
      <c r="C325" s="93" t="s">
        <v>394</v>
      </c>
      <c r="D325" s="93" t="s">
        <v>449</v>
      </c>
      <c r="E325" s="94" t="s">
        <v>465</v>
      </c>
      <c r="F325" s="93" t="s">
        <v>442</v>
      </c>
      <c r="G325" s="93" t="s">
        <v>314</v>
      </c>
      <c r="H325" s="93" t="s">
        <v>13</v>
      </c>
      <c r="I325" s="93" t="s">
        <v>255</v>
      </c>
      <c r="J325" s="93" t="s">
        <v>47</v>
      </c>
      <c r="K325" s="93"/>
      <c r="L325" s="95">
        <v>23</v>
      </c>
      <c r="M325" s="95">
        <f>L325*VLOOKUP(H325,dagsoorttabel1,2,FALSE)</f>
        <v>18.03921568627451</v>
      </c>
      <c r="N325" s="96">
        <f>prodnorm88</f>
        <v>0</v>
      </c>
      <c r="O325" s="37">
        <f>dagwerk88</f>
        <v>0</v>
      </c>
      <c r="P325" s="93" t="s">
        <v>105</v>
      </c>
      <c r="Q325" s="24">
        <f>uurtarief88</f>
        <v>0</v>
      </c>
      <c r="R325" s="95" t="e">
        <f>IF(ISBLANK(N325),0,M325/ROUND(N325,4))</f>
        <v>#DIV/0!</v>
      </c>
      <c r="S325" s="95" t="e">
        <f>IF(ISBLANK(N325),0,R325*ROUND(O325,2))</f>
        <v>#DIV/0!</v>
      </c>
      <c r="T325" s="24" t="e">
        <f>ROUND(Q325,2)*R325</f>
        <v>#DIV/0!</v>
      </c>
      <c r="U325" s="95" t="e">
        <f>R325*dagenperjaar1</f>
        <v>#DIV/0!</v>
      </c>
      <c r="V325" s="25" t="e">
        <f>U325*ROUND(Q325,2)</f>
        <v>#DIV/0!</v>
      </c>
    </row>
    <row r="326" spans="1:22" x14ac:dyDescent="0.2">
      <c r="A326" s="92" t="s">
        <v>512</v>
      </c>
      <c r="B326" s="93" t="s">
        <v>47</v>
      </c>
      <c r="C326" s="93" t="s">
        <v>394</v>
      </c>
      <c r="D326" s="93" t="s">
        <v>449</v>
      </c>
      <c r="E326" s="94" t="s">
        <v>465</v>
      </c>
      <c r="F326" s="93" t="s">
        <v>442</v>
      </c>
      <c r="G326" s="93" t="s">
        <v>316</v>
      </c>
      <c r="H326" s="93" t="s">
        <v>13</v>
      </c>
      <c r="I326" s="93" t="s">
        <v>255</v>
      </c>
      <c r="J326" s="93" t="s">
        <v>47</v>
      </c>
      <c r="K326" s="93"/>
      <c r="L326" s="95">
        <v>23</v>
      </c>
      <c r="M326" s="95">
        <f>L326*VLOOKUP(H326,dagsoorttabel1,2,FALSE)</f>
        <v>18.03921568627451</v>
      </c>
      <c r="N326" s="96">
        <f>prodnorm93</f>
        <v>0</v>
      </c>
      <c r="O326" s="37">
        <f>dagwerk93</f>
        <v>0</v>
      </c>
      <c r="P326" s="93" t="s">
        <v>105</v>
      </c>
      <c r="Q326" s="24">
        <f>uurtarief93</f>
        <v>0</v>
      </c>
      <c r="R326" s="95" t="e">
        <f>IF(ISBLANK(N326),0,M326/ROUND(N326,4))</f>
        <v>#DIV/0!</v>
      </c>
      <c r="S326" s="95" t="e">
        <f>IF(ISBLANK(N326),0,R326*ROUND(O326,2))</f>
        <v>#DIV/0!</v>
      </c>
      <c r="T326" s="24" t="e">
        <f>ROUND(Q326,2)*R326</f>
        <v>#DIV/0!</v>
      </c>
      <c r="U326" s="95" t="e">
        <f>R326*dagenperjaar1</f>
        <v>#DIV/0!</v>
      </c>
      <c r="V326" s="25" t="e">
        <f>U326*ROUND(Q326,2)</f>
        <v>#DIV/0!</v>
      </c>
    </row>
    <row r="327" spans="1:22" x14ac:dyDescent="0.2">
      <c r="A327" s="92" t="s">
        <v>512</v>
      </c>
      <c r="B327" s="93" t="s">
        <v>47</v>
      </c>
      <c r="C327" s="93" t="s">
        <v>394</v>
      </c>
      <c r="D327" s="93" t="s">
        <v>450</v>
      </c>
      <c r="E327" s="94" t="s">
        <v>414</v>
      </c>
      <c r="F327" s="93" t="s">
        <v>442</v>
      </c>
      <c r="G327" s="93" t="s">
        <v>304</v>
      </c>
      <c r="H327" s="93" t="s">
        <v>13</v>
      </c>
      <c r="I327" s="93" t="s">
        <v>255</v>
      </c>
      <c r="J327" s="93" t="s">
        <v>47</v>
      </c>
      <c r="K327" s="93"/>
      <c r="L327" s="95">
        <v>4</v>
      </c>
      <c r="M327" s="95">
        <f>L327*VLOOKUP(H327,dagsoorttabel1,2,FALSE)</f>
        <v>3.1372549019607843</v>
      </c>
      <c r="N327" s="96">
        <f>prodnorm74</f>
        <v>0</v>
      </c>
      <c r="O327" s="37">
        <f>dagwerk74</f>
        <v>0</v>
      </c>
      <c r="P327" s="93" t="s">
        <v>105</v>
      </c>
      <c r="Q327" s="24">
        <f>uurtarief74</f>
        <v>0</v>
      </c>
      <c r="R327" s="95" t="e">
        <f>IF(ISBLANK(N327),0,M327/ROUND(N327,4))</f>
        <v>#DIV/0!</v>
      </c>
      <c r="S327" s="95" t="e">
        <f>IF(ISBLANK(N327),0,R327*ROUND(O327,2))</f>
        <v>#DIV/0!</v>
      </c>
      <c r="T327" s="24" t="e">
        <f>ROUND(Q327,2)*R327</f>
        <v>#DIV/0!</v>
      </c>
      <c r="U327" s="95" t="e">
        <f>R327*dagenperjaar1</f>
        <v>#DIV/0!</v>
      </c>
      <c r="V327" s="25" t="e">
        <f>U327*ROUND(Q327,2)</f>
        <v>#DIV/0!</v>
      </c>
    </row>
    <row r="328" spans="1:22" x14ac:dyDescent="0.2">
      <c r="A328" s="92" t="s">
        <v>512</v>
      </c>
      <c r="B328" s="93" t="s">
        <v>47</v>
      </c>
      <c r="C328" s="93" t="s">
        <v>394</v>
      </c>
      <c r="D328" s="93" t="s">
        <v>450</v>
      </c>
      <c r="E328" s="94" t="s">
        <v>414</v>
      </c>
      <c r="F328" s="93" t="s">
        <v>442</v>
      </c>
      <c r="G328" s="93" t="s">
        <v>306</v>
      </c>
      <c r="H328" s="93" t="s">
        <v>13</v>
      </c>
      <c r="I328" s="93" t="s">
        <v>255</v>
      </c>
      <c r="J328" s="93" t="s">
        <v>47</v>
      </c>
      <c r="K328" s="93"/>
      <c r="L328" s="95">
        <v>4</v>
      </c>
      <c r="M328" s="95">
        <f>L328*VLOOKUP(H328,dagsoorttabel1,2,FALSE)</f>
        <v>3.1372549019607843</v>
      </c>
      <c r="N328" s="96">
        <f>prodnorm78</f>
        <v>0</v>
      </c>
      <c r="O328" s="37">
        <f>dagwerk78</f>
        <v>0</v>
      </c>
      <c r="P328" s="93" t="s">
        <v>105</v>
      </c>
      <c r="Q328" s="24">
        <f>uurtarief78</f>
        <v>0</v>
      </c>
      <c r="R328" s="95" t="e">
        <f>IF(ISBLANK(N328),0,M328/ROUND(N328,4))</f>
        <v>#DIV/0!</v>
      </c>
      <c r="S328" s="95" t="e">
        <f>IF(ISBLANK(N328),0,R328*ROUND(O328,2))</f>
        <v>#DIV/0!</v>
      </c>
      <c r="T328" s="24" t="e">
        <f>ROUND(Q328,2)*R328</f>
        <v>#DIV/0!</v>
      </c>
      <c r="U328" s="95" t="e">
        <f>R328*dagenperjaar1</f>
        <v>#DIV/0!</v>
      </c>
      <c r="V328" s="25" t="e">
        <f>U328*ROUND(Q328,2)</f>
        <v>#DIV/0!</v>
      </c>
    </row>
    <row r="329" spans="1:22" x14ac:dyDescent="0.2">
      <c r="A329" s="92" t="s">
        <v>512</v>
      </c>
      <c r="B329" s="93" t="s">
        <v>47</v>
      </c>
      <c r="C329" s="93" t="s">
        <v>394</v>
      </c>
      <c r="D329" s="93" t="s">
        <v>451</v>
      </c>
      <c r="E329" s="94" t="s">
        <v>410</v>
      </c>
      <c r="F329" s="93" t="s">
        <v>442</v>
      </c>
      <c r="G329" s="93" t="s">
        <v>304</v>
      </c>
      <c r="H329" s="93" t="s">
        <v>13</v>
      </c>
      <c r="I329" s="93" t="s">
        <v>255</v>
      </c>
      <c r="J329" s="93" t="s">
        <v>47</v>
      </c>
      <c r="K329" s="93"/>
      <c r="L329" s="95">
        <v>4</v>
      </c>
      <c r="M329" s="95">
        <f>L329*VLOOKUP(H329,dagsoorttabel1,2,FALSE)</f>
        <v>3.1372549019607843</v>
      </c>
      <c r="N329" s="96">
        <f>prodnorm74</f>
        <v>0</v>
      </c>
      <c r="O329" s="37">
        <f>dagwerk74</f>
        <v>0</v>
      </c>
      <c r="P329" s="93" t="s">
        <v>105</v>
      </c>
      <c r="Q329" s="24">
        <f>uurtarief74</f>
        <v>0</v>
      </c>
      <c r="R329" s="95" t="e">
        <f>IF(ISBLANK(N329),0,M329/ROUND(N329,4))</f>
        <v>#DIV/0!</v>
      </c>
      <c r="S329" s="95" t="e">
        <f>IF(ISBLANK(N329),0,R329*ROUND(O329,2))</f>
        <v>#DIV/0!</v>
      </c>
      <c r="T329" s="24" t="e">
        <f>ROUND(Q329,2)*R329</f>
        <v>#DIV/0!</v>
      </c>
      <c r="U329" s="95" t="e">
        <f>R329*dagenperjaar1</f>
        <v>#DIV/0!</v>
      </c>
      <c r="V329" s="25" t="e">
        <f>U329*ROUND(Q329,2)</f>
        <v>#DIV/0!</v>
      </c>
    </row>
    <row r="330" spans="1:22" x14ac:dyDescent="0.2">
      <c r="A330" s="92" t="s">
        <v>512</v>
      </c>
      <c r="B330" s="93" t="s">
        <v>47</v>
      </c>
      <c r="C330" s="93" t="s">
        <v>394</v>
      </c>
      <c r="D330" s="93" t="s">
        <v>451</v>
      </c>
      <c r="E330" s="94" t="s">
        <v>410</v>
      </c>
      <c r="F330" s="93" t="s">
        <v>442</v>
      </c>
      <c r="G330" s="93" t="s">
        <v>306</v>
      </c>
      <c r="H330" s="93" t="s">
        <v>13</v>
      </c>
      <c r="I330" s="93" t="s">
        <v>255</v>
      </c>
      <c r="J330" s="93" t="s">
        <v>47</v>
      </c>
      <c r="K330" s="93"/>
      <c r="L330" s="95">
        <v>4</v>
      </c>
      <c r="M330" s="95">
        <f>L330*VLOOKUP(H330,dagsoorttabel1,2,FALSE)</f>
        <v>3.1372549019607843</v>
      </c>
      <c r="N330" s="96">
        <f>prodnorm78</f>
        <v>0</v>
      </c>
      <c r="O330" s="37">
        <f>dagwerk78</f>
        <v>0</v>
      </c>
      <c r="P330" s="93" t="s">
        <v>105</v>
      </c>
      <c r="Q330" s="24">
        <f>uurtarief78</f>
        <v>0</v>
      </c>
      <c r="R330" s="95" t="e">
        <f>IF(ISBLANK(N330),0,M330/ROUND(N330,4))</f>
        <v>#DIV/0!</v>
      </c>
      <c r="S330" s="95" t="e">
        <f>IF(ISBLANK(N330),0,R330*ROUND(O330,2))</f>
        <v>#DIV/0!</v>
      </c>
      <c r="T330" s="24" t="e">
        <f>ROUND(Q330,2)*R330</f>
        <v>#DIV/0!</v>
      </c>
      <c r="U330" s="95" t="e">
        <f>R330*dagenperjaar1</f>
        <v>#DIV/0!</v>
      </c>
      <c r="V330" s="25" t="e">
        <f>U330*ROUND(Q330,2)</f>
        <v>#DIV/0!</v>
      </c>
    </row>
    <row r="331" spans="1:22" x14ac:dyDescent="0.2">
      <c r="A331" s="92" t="s">
        <v>512</v>
      </c>
      <c r="B331" s="93" t="s">
        <v>47</v>
      </c>
      <c r="C331" s="93" t="s">
        <v>394</v>
      </c>
      <c r="D331" s="93" t="s">
        <v>453</v>
      </c>
      <c r="E331" s="94" t="s">
        <v>495</v>
      </c>
      <c r="F331" s="93" t="s">
        <v>441</v>
      </c>
      <c r="G331" s="93" t="s">
        <v>259</v>
      </c>
      <c r="H331" s="93" t="s">
        <v>13</v>
      </c>
      <c r="I331" s="93" t="s">
        <v>255</v>
      </c>
      <c r="J331" s="93" t="s">
        <v>47</v>
      </c>
      <c r="K331" s="93"/>
      <c r="L331" s="95">
        <v>5</v>
      </c>
      <c r="M331" s="95">
        <f>L331*VLOOKUP(H331,dagsoorttabel1,2,FALSE)</f>
        <v>3.9215686274509802</v>
      </c>
      <c r="N331" s="96">
        <f>prodnorm31</f>
        <v>0</v>
      </c>
      <c r="O331" s="37">
        <f>dagwerk31</f>
        <v>0</v>
      </c>
      <c r="P331" s="93" t="s">
        <v>105</v>
      </c>
      <c r="Q331" s="24">
        <f>uurtarief31</f>
        <v>0</v>
      </c>
      <c r="R331" s="95" t="e">
        <f>IF(ISBLANK(N331),0,M331/ROUND(N331,4))</f>
        <v>#DIV/0!</v>
      </c>
      <c r="S331" s="95" t="e">
        <f>IF(ISBLANK(N331),0,R331*ROUND(O331,2))</f>
        <v>#DIV/0!</v>
      </c>
      <c r="T331" s="24" t="e">
        <f>ROUND(Q331,2)*R331</f>
        <v>#DIV/0!</v>
      </c>
      <c r="U331" s="95" t="e">
        <f>R331*dagenperjaar1</f>
        <v>#DIV/0!</v>
      </c>
      <c r="V331" s="25" t="e">
        <f>U331*ROUND(Q331,2)</f>
        <v>#DIV/0!</v>
      </c>
    </row>
    <row r="332" spans="1:22" x14ac:dyDescent="0.2">
      <c r="A332" s="92" t="s">
        <v>512</v>
      </c>
      <c r="B332" s="93" t="s">
        <v>47</v>
      </c>
      <c r="C332" s="93" t="s">
        <v>394</v>
      </c>
      <c r="D332" s="93" t="s">
        <v>454</v>
      </c>
      <c r="E332" s="94" t="s">
        <v>518</v>
      </c>
      <c r="F332" s="93" t="s">
        <v>431</v>
      </c>
      <c r="G332" s="93" t="s">
        <v>308</v>
      </c>
      <c r="H332" s="93" t="s">
        <v>13</v>
      </c>
      <c r="I332" s="93" t="s">
        <v>255</v>
      </c>
      <c r="J332" s="93" t="s">
        <v>47</v>
      </c>
      <c r="K332" s="93"/>
      <c r="L332" s="95">
        <v>8</v>
      </c>
      <c r="M332" s="95">
        <f>L332*VLOOKUP(H332,dagsoorttabel1,2,FALSE)</f>
        <v>6.2745098039215685</v>
      </c>
      <c r="N332" s="96">
        <f>prodnorm81</f>
        <v>0</v>
      </c>
      <c r="O332" s="37">
        <f>dagwerk81</f>
        <v>0</v>
      </c>
      <c r="P332" s="93" t="s">
        <v>105</v>
      </c>
      <c r="Q332" s="24">
        <f>uurtarief81</f>
        <v>0</v>
      </c>
      <c r="R332" s="95" t="e">
        <f>IF(ISBLANK(N332),0,M332/ROUND(N332,4))</f>
        <v>#DIV/0!</v>
      </c>
      <c r="S332" s="95" t="e">
        <f>IF(ISBLANK(N332),0,R332*ROUND(O332,2))</f>
        <v>#DIV/0!</v>
      </c>
      <c r="T332" s="24" t="e">
        <f>ROUND(Q332,2)*R332</f>
        <v>#DIV/0!</v>
      </c>
      <c r="U332" s="95" t="e">
        <f>R332*dagenperjaar1</f>
        <v>#DIV/0!</v>
      </c>
      <c r="V332" s="25" t="e">
        <f>U332*ROUND(Q332,2)</f>
        <v>#DIV/0!</v>
      </c>
    </row>
    <row r="333" spans="1:22" x14ac:dyDescent="0.2">
      <c r="A333" s="92" t="s">
        <v>512</v>
      </c>
      <c r="B333" s="93" t="s">
        <v>47</v>
      </c>
      <c r="C333" s="93" t="s">
        <v>394</v>
      </c>
      <c r="D333" s="93" t="s">
        <v>454</v>
      </c>
      <c r="E333" s="94" t="s">
        <v>518</v>
      </c>
      <c r="F333" s="93" t="s">
        <v>431</v>
      </c>
      <c r="G333" s="93" t="s">
        <v>310</v>
      </c>
      <c r="H333" s="93" t="s">
        <v>13</v>
      </c>
      <c r="I333" s="93" t="s">
        <v>255</v>
      </c>
      <c r="J333" s="93" t="s">
        <v>47</v>
      </c>
      <c r="K333" s="93"/>
      <c r="L333" s="95">
        <v>8</v>
      </c>
      <c r="M333" s="95">
        <f>L333*VLOOKUP(H333,dagsoorttabel1,2,FALSE)</f>
        <v>6.2745098039215685</v>
      </c>
      <c r="N333" s="96">
        <f>prodnorm85</f>
        <v>0</v>
      </c>
      <c r="O333" s="37">
        <f>dagwerk85</f>
        <v>0</v>
      </c>
      <c r="P333" s="93" t="s">
        <v>105</v>
      </c>
      <c r="Q333" s="24">
        <f>uurtarief85</f>
        <v>0</v>
      </c>
      <c r="R333" s="95" t="e">
        <f>IF(ISBLANK(N333),0,M333/ROUND(N333,4))</f>
        <v>#DIV/0!</v>
      </c>
      <c r="S333" s="95" t="e">
        <f>IF(ISBLANK(N333),0,R333*ROUND(O333,2))</f>
        <v>#DIV/0!</v>
      </c>
      <c r="T333" s="24" t="e">
        <f>ROUND(Q333,2)*R333</f>
        <v>#DIV/0!</v>
      </c>
      <c r="U333" s="95" t="e">
        <f>R333*dagenperjaar1</f>
        <v>#DIV/0!</v>
      </c>
      <c r="V333" s="25" t="e">
        <f>U333*ROUND(Q333,2)</f>
        <v>#DIV/0!</v>
      </c>
    </row>
    <row r="334" spans="1:22" x14ac:dyDescent="0.2">
      <c r="A334" s="92" t="s">
        <v>512</v>
      </c>
      <c r="B334" s="93" t="s">
        <v>47</v>
      </c>
      <c r="C334" s="93" t="s">
        <v>394</v>
      </c>
      <c r="D334" s="93" t="s">
        <v>457</v>
      </c>
      <c r="E334" s="94" t="s">
        <v>455</v>
      </c>
      <c r="F334" s="93" t="s">
        <v>441</v>
      </c>
      <c r="G334" s="93" t="s">
        <v>314</v>
      </c>
      <c r="H334" s="93" t="s">
        <v>13</v>
      </c>
      <c r="I334" s="93" t="s">
        <v>255</v>
      </c>
      <c r="J334" s="93" t="s">
        <v>47</v>
      </c>
      <c r="K334" s="93"/>
      <c r="L334" s="95">
        <v>86</v>
      </c>
      <c r="M334" s="95">
        <f>L334*VLOOKUP(H334,dagsoorttabel1,2,FALSE)</f>
        <v>67.450980392156865</v>
      </c>
      <c r="N334" s="96">
        <f>prodnorm88</f>
        <v>0</v>
      </c>
      <c r="O334" s="37">
        <f>dagwerk88</f>
        <v>0</v>
      </c>
      <c r="P334" s="93" t="s">
        <v>105</v>
      </c>
      <c r="Q334" s="24">
        <f>uurtarief88</f>
        <v>0</v>
      </c>
      <c r="R334" s="95" t="e">
        <f>IF(ISBLANK(N334),0,M334/ROUND(N334,4))</f>
        <v>#DIV/0!</v>
      </c>
      <c r="S334" s="95" t="e">
        <f>IF(ISBLANK(N334),0,R334*ROUND(O334,2))</f>
        <v>#DIV/0!</v>
      </c>
      <c r="T334" s="24" t="e">
        <f>ROUND(Q334,2)*R334</f>
        <v>#DIV/0!</v>
      </c>
      <c r="U334" s="95" t="e">
        <f>R334*dagenperjaar1</f>
        <v>#DIV/0!</v>
      </c>
      <c r="V334" s="25" t="e">
        <f>U334*ROUND(Q334,2)</f>
        <v>#DIV/0!</v>
      </c>
    </row>
    <row r="335" spans="1:22" x14ac:dyDescent="0.2">
      <c r="A335" s="92" t="s">
        <v>512</v>
      </c>
      <c r="B335" s="93" t="s">
        <v>47</v>
      </c>
      <c r="C335" s="93" t="s">
        <v>394</v>
      </c>
      <c r="D335" s="93" t="s">
        <v>457</v>
      </c>
      <c r="E335" s="94" t="s">
        <v>455</v>
      </c>
      <c r="F335" s="93" t="s">
        <v>441</v>
      </c>
      <c r="G335" s="93" t="s">
        <v>316</v>
      </c>
      <c r="H335" s="93" t="s">
        <v>13</v>
      </c>
      <c r="I335" s="93" t="s">
        <v>255</v>
      </c>
      <c r="J335" s="93" t="s">
        <v>47</v>
      </c>
      <c r="K335" s="93"/>
      <c r="L335" s="95">
        <v>86</v>
      </c>
      <c r="M335" s="95">
        <f>L335*VLOOKUP(H335,dagsoorttabel1,2,FALSE)</f>
        <v>67.450980392156865</v>
      </c>
      <c r="N335" s="96">
        <f>prodnorm93</f>
        <v>0</v>
      </c>
      <c r="O335" s="37">
        <f>dagwerk93</f>
        <v>0</v>
      </c>
      <c r="P335" s="93" t="s">
        <v>105</v>
      </c>
      <c r="Q335" s="24">
        <f>uurtarief93</f>
        <v>0</v>
      </c>
      <c r="R335" s="95" t="e">
        <f>IF(ISBLANK(N335),0,M335/ROUND(N335,4))</f>
        <v>#DIV/0!</v>
      </c>
      <c r="S335" s="95" t="e">
        <f>IF(ISBLANK(N335),0,R335*ROUND(O335,2))</f>
        <v>#DIV/0!</v>
      </c>
      <c r="T335" s="24" t="e">
        <f>ROUND(Q335,2)*R335</f>
        <v>#DIV/0!</v>
      </c>
      <c r="U335" s="95" t="e">
        <f>R335*dagenperjaar1</f>
        <v>#DIV/0!</v>
      </c>
      <c r="V335" s="25" t="e">
        <f>U335*ROUND(Q335,2)</f>
        <v>#DIV/0!</v>
      </c>
    </row>
    <row r="336" spans="1:22" x14ac:dyDescent="0.2">
      <c r="A336" s="97" t="s">
        <v>512</v>
      </c>
      <c r="B336" s="98" t="s">
        <v>47</v>
      </c>
      <c r="C336" s="98" t="s">
        <v>394</v>
      </c>
      <c r="D336" s="98" t="s">
        <v>458</v>
      </c>
      <c r="E336" s="99" t="s">
        <v>519</v>
      </c>
      <c r="F336" s="98" t="s">
        <v>431</v>
      </c>
      <c r="G336" s="98" t="s">
        <v>308</v>
      </c>
      <c r="H336" s="98" t="s">
        <v>22</v>
      </c>
      <c r="I336" s="98" t="s">
        <v>255</v>
      </c>
      <c r="J336" s="98" t="s">
        <v>47</v>
      </c>
      <c r="K336" s="98"/>
      <c r="L336" s="100">
        <v>6</v>
      </c>
      <c r="M336" s="100">
        <f>L336*VLOOKUP(H336,dagsoorttabel1,2,FALSE)</f>
        <v>0.94117647058823528</v>
      </c>
      <c r="N336" s="101">
        <f>prodnorm83</f>
        <v>0</v>
      </c>
      <c r="O336" s="102">
        <f>dagwerk83</f>
        <v>0</v>
      </c>
      <c r="P336" s="98" t="s">
        <v>105</v>
      </c>
      <c r="Q336" s="34">
        <f>uurtarief83</f>
        <v>0</v>
      </c>
      <c r="R336" s="100" t="e">
        <f>IF(ISBLANK(N336),0,M336/ROUND(N336,4))</f>
        <v>#DIV/0!</v>
      </c>
      <c r="S336" s="100" t="e">
        <f>IF(ISBLANK(N336),0,R336*ROUND(O336,2))</f>
        <v>#DIV/0!</v>
      </c>
      <c r="T336" s="34" t="e">
        <f>ROUND(Q336,2)*R336</f>
        <v>#DIV/0!</v>
      </c>
      <c r="U336" s="100" t="e">
        <f>R336*dagenperjaar1</f>
        <v>#DIV/0!</v>
      </c>
      <c r="V336" s="35" t="e">
        <f>U336*ROUND(Q336,2)</f>
        <v>#DIV/0!</v>
      </c>
    </row>
    <row r="337" spans="1:22" x14ac:dyDescent="0.2">
      <c r="A337" s="103" t="s">
        <v>436</v>
      </c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5" t="e">
        <f>IF(_xlfn.SINGLE(object10_urenjaar1)&gt;0,_xlfn.SINGLE(object10_prijsjaar1)/_xlfn.SINGLE(object10_urenjaar1),0)</f>
        <v>#DIV/0!</v>
      </c>
      <c r="R337" s="74" t="e">
        <f>SUM(R281:R336)</f>
        <v>#DIV/0!</v>
      </c>
      <c r="S337" s="74" t="e">
        <f>SUM(S281:S336)</f>
        <v>#DIV/0!</v>
      </c>
      <c r="T337" s="75" t="e">
        <f>SUM(T281:T336)</f>
        <v>#DIV/0!</v>
      </c>
      <c r="U337" s="74" t="e">
        <f>SUM(U281:U336)</f>
        <v>#DIV/0!</v>
      </c>
      <c r="V337" s="76" t="e">
        <f>SUM(V281:V336)</f>
        <v>#DIV/0!</v>
      </c>
    </row>
    <row r="338" spans="1:22" x14ac:dyDescent="0.2">
      <c r="A338" s="83" t="s">
        <v>520</v>
      </c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71"/>
    </row>
    <row r="339" spans="1:22" x14ac:dyDescent="0.2">
      <c r="A339" s="84" t="s">
        <v>521</v>
      </c>
      <c r="B339" s="85" t="s">
        <v>47</v>
      </c>
      <c r="C339" s="85" t="s">
        <v>394</v>
      </c>
      <c r="D339" s="85" t="s">
        <v>395</v>
      </c>
      <c r="E339" s="86" t="s">
        <v>430</v>
      </c>
      <c r="F339" s="85" t="s">
        <v>517</v>
      </c>
      <c r="G339" s="85" t="s">
        <v>280</v>
      </c>
      <c r="H339" s="85" t="s">
        <v>13</v>
      </c>
      <c r="I339" s="85" t="s">
        <v>255</v>
      </c>
      <c r="J339" s="85" t="s">
        <v>47</v>
      </c>
      <c r="K339" s="85"/>
      <c r="L339" s="87">
        <v>252</v>
      </c>
      <c r="M339" s="87">
        <f>L339*VLOOKUP(H339,dagsoorttabel1,2,FALSE)</f>
        <v>197.64705882352942</v>
      </c>
      <c r="N339" s="88">
        <f>prodnorm52</f>
        <v>0</v>
      </c>
      <c r="O339" s="89">
        <f>dagwerk52</f>
        <v>0</v>
      </c>
      <c r="P339" s="85" t="s">
        <v>105</v>
      </c>
      <c r="Q339" s="90">
        <f>uurtarief52</f>
        <v>0</v>
      </c>
      <c r="R339" s="87" t="e">
        <f>IF(ISBLANK(N339),0,M339/ROUND(N339,4))</f>
        <v>#DIV/0!</v>
      </c>
      <c r="S339" s="87" t="e">
        <f>IF(ISBLANK(N339),0,R339*ROUND(O339,2))</f>
        <v>#DIV/0!</v>
      </c>
      <c r="T339" s="90" t="e">
        <f>ROUND(Q339,2)*R339</f>
        <v>#DIV/0!</v>
      </c>
      <c r="U339" s="87" t="e">
        <f>R339*dagenperjaar1</f>
        <v>#DIV/0!</v>
      </c>
      <c r="V339" s="91" t="e">
        <f>U339*ROUND(Q339,2)</f>
        <v>#DIV/0!</v>
      </c>
    </row>
    <row r="340" spans="1:22" x14ac:dyDescent="0.2">
      <c r="A340" s="92" t="s">
        <v>521</v>
      </c>
      <c r="B340" s="93" t="s">
        <v>47</v>
      </c>
      <c r="C340" s="93" t="s">
        <v>394</v>
      </c>
      <c r="D340" s="93" t="s">
        <v>398</v>
      </c>
      <c r="E340" s="94" t="s">
        <v>440</v>
      </c>
      <c r="F340" s="93" t="s">
        <v>517</v>
      </c>
      <c r="G340" s="93" t="s">
        <v>280</v>
      </c>
      <c r="H340" s="93" t="s">
        <v>13</v>
      </c>
      <c r="I340" s="93" t="s">
        <v>255</v>
      </c>
      <c r="J340" s="93" t="s">
        <v>47</v>
      </c>
      <c r="K340" s="93"/>
      <c r="L340" s="95">
        <v>40</v>
      </c>
      <c r="M340" s="95">
        <f>L340*VLOOKUP(H340,dagsoorttabel1,2,FALSE)</f>
        <v>31.372549019607842</v>
      </c>
      <c r="N340" s="96">
        <f>prodnorm52</f>
        <v>0</v>
      </c>
      <c r="O340" s="37">
        <f>dagwerk52</f>
        <v>0</v>
      </c>
      <c r="P340" s="93" t="s">
        <v>105</v>
      </c>
      <c r="Q340" s="24">
        <f>uurtarief52</f>
        <v>0</v>
      </c>
      <c r="R340" s="95" t="e">
        <f>IF(ISBLANK(N340),0,M340/ROUND(N340,4))</f>
        <v>#DIV/0!</v>
      </c>
      <c r="S340" s="95" t="e">
        <f>IF(ISBLANK(N340),0,R340*ROUND(O340,2))</f>
        <v>#DIV/0!</v>
      </c>
      <c r="T340" s="24" t="e">
        <f>ROUND(Q340,2)*R340</f>
        <v>#DIV/0!</v>
      </c>
      <c r="U340" s="95" t="e">
        <f>R340*dagenperjaar1</f>
        <v>#DIV/0!</v>
      </c>
      <c r="V340" s="25" t="e">
        <f>U340*ROUND(Q340,2)</f>
        <v>#DIV/0!</v>
      </c>
    </row>
    <row r="341" spans="1:22" x14ac:dyDescent="0.2">
      <c r="A341" s="92" t="s">
        <v>521</v>
      </c>
      <c r="B341" s="93" t="s">
        <v>47</v>
      </c>
      <c r="C341" s="93" t="s">
        <v>394</v>
      </c>
      <c r="D341" s="93" t="s">
        <v>400</v>
      </c>
      <c r="E341" s="94" t="s">
        <v>443</v>
      </c>
      <c r="F341" s="93" t="s">
        <v>442</v>
      </c>
      <c r="G341" s="93" t="s">
        <v>304</v>
      </c>
      <c r="H341" s="93" t="s">
        <v>13</v>
      </c>
      <c r="I341" s="93" t="s">
        <v>255</v>
      </c>
      <c r="J341" s="93" t="s">
        <v>47</v>
      </c>
      <c r="K341" s="93"/>
      <c r="L341" s="95">
        <v>2</v>
      </c>
      <c r="M341" s="95">
        <f>L341*VLOOKUP(H341,dagsoorttabel1,2,FALSE)</f>
        <v>1.5686274509803921</v>
      </c>
      <c r="N341" s="96">
        <f>prodnorm74</f>
        <v>0</v>
      </c>
      <c r="O341" s="37">
        <f>dagwerk74</f>
        <v>0</v>
      </c>
      <c r="P341" s="93" t="s">
        <v>105</v>
      </c>
      <c r="Q341" s="24">
        <f>uurtarief74</f>
        <v>0</v>
      </c>
      <c r="R341" s="95" t="e">
        <f>IF(ISBLANK(N341),0,M341/ROUND(N341,4))</f>
        <v>#DIV/0!</v>
      </c>
      <c r="S341" s="95" t="e">
        <f>IF(ISBLANK(N341),0,R341*ROUND(O341,2))</f>
        <v>#DIV/0!</v>
      </c>
      <c r="T341" s="24" t="e">
        <f>ROUND(Q341,2)*R341</f>
        <v>#DIV/0!</v>
      </c>
      <c r="U341" s="95" t="e">
        <f>R341*dagenperjaar1</f>
        <v>#DIV/0!</v>
      </c>
      <c r="V341" s="25" t="e">
        <f>U341*ROUND(Q341,2)</f>
        <v>#DIV/0!</v>
      </c>
    </row>
    <row r="342" spans="1:22" x14ac:dyDescent="0.2">
      <c r="A342" s="92" t="s">
        <v>521</v>
      </c>
      <c r="B342" s="93" t="s">
        <v>47</v>
      </c>
      <c r="C342" s="93" t="s">
        <v>394</v>
      </c>
      <c r="D342" s="93" t="s">
        <v>402</v>
      </c>
      <c r="E342" s="94" t="s">
        <v>443</v>
      </c>
      <c r="F342" s="93" t="s">
        <v>442</v>
      </c>
      <c r="G342" s="93" t="s">
        <v>304</v>
      </c>
      <c r="H342" s="93" t="s">
        <v>13</v>
      </c>
      <c r="I342" s="93" t="s">
        <v>255</v>
      </c>
      <c r="J342" s="93" t="s">
        <v>47</v>
      </c>
      <c r="K342" s="93"/>
      <c r="L342" s="95">
        <v>2</v>
      </c>
      <c r="M342" s="95">
        <f>L342*VLOOKUP(H342,dagsoorttabel1,2,FALSE)</f>
        <v>1.5686274509803921</v>
      </c>
      <c r="N342" s="96">
        <f>prodnorm74</f>
        <v>0</v>
      </c>
      <c r="O342" s="37">
        <f>dagwerk74</f>
        <v>0</v>
      </c>
      <c r="P342" s="93" t="s">
        <v>105</v>
      </c>
      <c r="Q342" s="24">
        <f>uurtarief74</f>
        <v>0</v>
      </c>
      <c r="R342" s="95" t="e">
        <f>IF(ISBLANK(N342),0,M342/ROUND(N342,4))</f>
        <v>#DIV/0!</v>
      </c>
      <c r="S342" s="95" t="e">
        <f>IF(ISBLANK(N342),0,R342*ROUND(O342,2))</f>
        <v>#DIV/0!</v>
      </c>
      <c r="T342" s="24" t="e">
        <f>ROUND(Q342,2)*R342</f>
        <v>#DIV/0!</v>
      </c>
      <c r="U342" s="95" t="e">
        <f>R342*dagenperjaar1</f>
        <v>#DIV/0!</v>
      </c>
      <c r="V342" s="25" t="e">
        <f>U342*ROUND(Q342,2)</f>
        <v>#DIV/0!</v>
      </c>
    </row>
    <row r="343" spans="1:22" x14ac:dyDescent="0.2">
      <c r="A343" s="92" t="s">
        <v>521</v>
      </c>
      <c r="B343" s="93" t="s">
        <v>47</v>
      </c>
      <c r="C343" s="93" t="s">
        <v>394</v>
      </c>
      <c r="D343" s="93" t="s">
        <v>409</v>
      </c>
      <c r="E343" s="94" t="s">
        <v>522</v>
      </c>
      <c r="F343" s="93" t="s">
        <v>442</v>
      </c>
      <c r="G343" s="93" t="s">
        <v>284</v>
      </c>
      <c r="H343" s="93" t="s">
        <v>13</v>
      </c>
      <c r="I343" s="93" t="s">
        <v>255</v>
      </c>
      <c r="J343" s="93" t="s">
        <v>47</v>
      </c>
      <c r="K343" s="93"/>
      <c r="L343" s="95">
        <v>21</v>
      </c>
      <c r="M343" s="95">
        <f>L343*VLOOKUP(H343,dagsoorttabel1,2,FALSE)</f>
        <v>16.470588235294116</v>
      </c>
      <c r="N343" s="96">
        <f>prodnorm58</f>
        <v>0</v>
      </c>
      <c r="O343" s="37">
        <f>dagwerk58</f>
        <v>0</v>
      </c>
      <c r="P343" s="93" t="s">
        <v>105</v>
      </c>
      <c r="Q343" s="24">
        <f>uurtarief58</f>
        <v>0</v>
      </c>
      <c r="R343" s="95" t="e">
        <f>IF(ISBLANK(N343),0,M343/ROUND(N343,4))</f>
        <v>#DIV/0!</v>
      </c>
      <c r="S343" s="95" t="e">
        <f>IF(ISBLANK(N343),0,R343*ROUND(O343,2))</f>
        <v>#DIV/0!</v>
      </c>
      <c r="T343" s="24" t="e">
        <f>ROUND(Q343,2)*R343</f>
        <v>#DIV/0!</v>
      </c>
      <c r="U343" s="95" t="e">
        <f>R343*dagenperjaar1</f>
        <v>#DIV/0!</v>
      </c>
      <c r="V343" s="25" t="e">
        <f>U343*ROUND(Q343,2)</f>
        <v>#DIV/0!</v>
      </c>
    </row>
    <row r="344" spans="1:22" x14ac:dyDescent="0.2">
      <c r="A344" s="92" t="s">
        <v>521</v>
      </c>
      <c r="B344" s="93" t="s">
        <v>47</v>
      </c>
      <c r="C344" s="93" t="s">
        <v>394</v>
      </c>
      <c r="D344" s="93" t="s">
        <v>411</v>
      </c>
      <c r="E344" s="94" t="s">
        <v>523</v>
      </c>
      <c r="F344" s="93" t="s">
        <v>442</v>
      </c>
      <c r="G344" s="93" t="s">
        <v>284</v>
      </c>
      <c r="H344" s="93" t="s">
        <v>13</v>
      </c>
      <c r="I344" s="93" t="s">
        <v>255</v>
      </c>
      <c r="J344" s="93" t="s">
        <v>47</v>
      </c>
      <c r="K344" s="93"/>
      <c r="L344" s="95">
        <v>21</v>
      </c>
      <c r="M344" s="95">
        <f>L344*VLOOKUP(H344,dagsoorttabel1,2,FALSE)</f>
        <v>16.470588235294116</v>
      </c>
      <c r="N344" s="96">
        <f>prodnorm58</f>
        <v>0</v>
      </c>
      <c r="O344" s="37">
        <f>dagwerk58</f>
        <v>0</v>
      </c>
      <c r="P344" s="93" t="s">
        <v>105</v>
      </c>
      <c r="Q344" s="24">
        <f>uurtarief58</f>
        <v>0</v>
      </c>
      <c r="R344" s="95" t="e">
        <f>IF(ISBLANK(N344),0,M344/ROUND(N344,4))</f>
        <v>#DIV/0!</v>
      </c>
      <c r="S344" s="95" t="e">
        <f>IF(ISBLANK(N344),0,R344*ROUND(O344,2))</f>
        <v>#DIV/0!</v>
      </c>
      <c r="T344" s="24" t="e">
        <f>ROUND(Q344,2)*R344</f>
        <v>#DIV/0!</v>
      </c>
      <c r="U344" s="95" t="e">
        <f>R344*dagenperjaar1</f>
        <v>#DIV/0!</v>
      </c>
      <c r="V344" s="25" t="e">
        <f>U344*ROUND(Q344,2)</f>
        <v>#DIV/0!</v>
      </c>
    </row>
    <row r="345" spans="1:22" x14ac:dyDescent="0.2">
      <c r="A345" s="92" t="s">
        <v>521</v>
      </c>
      <c r="B345" s="93" t="s">
        <v>47</v>
      </c>
      <c r="C345" s="93" t="s">
        <v>394</v>
      </c>
      <c r="D345" s="93" t="s">
        <v>413</v>
      </c>
      <c r="E345" s="94" t="s">
        <v>524</v>
      </c>
      <c r="F345" s="93" t="s">
        <v>442</v>
      </c>
      <c r="G345" s="93" t="s">
        <v>304</v>
      </c>
      <c r="H345" s="93" t="s">
        <v>13</v>
      </c>
      <c r="I345" s="93" t="s">
        <v>255</v>
      </c>
      <c r="J345" s="93" t="s">
        <v>47</v>
      </c>
      <c r="K345" s="93"/>
      <c r="L345" s="95">
        <v>5</v>
      </c>
      <c r="M345" s="95">
        <f>L345*VLOOKUP(H345,dagsoorttabel1,2,FALSE)</f>
        <v>3.9215686274509802</v>
      </c>
      <c r="N345" s="96">
        <f>prodnorm74</f>
        <v>0</v>
      </c>
      <c r="O345" s="37">
        <f>dagwerk74</f>
        <v>0</v>
      </c>
      <c r="P345" s="93" t="s">
        <v>105</v>
      </c>
      <c r="Q345" s="24">
        <f>uurtarief74</f>
        <v>0</v>
      </c>
      <c r="R345" s="95" t="e">
        <f>IF(ISBLANK(N345),0,M345/ROUND(N345,4))</f>
        <v>#DIV/0!</v>
      </c>
      <c r="S345" s="95" t="e">
        <f>IF(ISBLANK(N345),0,R345*ROUND(O345,2))</f>
        <v>#DIV/0!</v>
      </c>
      <c r="T345" s="24" t="e">
        <f>ROUND(Q345,2)*R345</f>
        <v>#DIV/0!</v>
      </c>
      <c r="U345" s="95" t="e">
        <f>R345*dagenperjaar1</f>
        <v>#DIV/0!</v>
      </c>
      <c r="V345" s="25" t="e">
        <f>U345*ROUND(Q345,2)</f>
        <v>#DIV/0!</v>
      </c>
    </row>
    <row r="346" spans="1:22" x14ac:dyDescent="0.2">
      <c r="A346" s="97" t="s">
        <v>521</v>
      </c>
      <c r="B346" s="98" t="s">
        <v>47</v>
      </c>
      <c r="C346" s="98" t="s">
        <v>394</v>
      </c>
      <c r="D346" s="98" t="s">
        <v>415</v>
      </c>
      <c r="E346" s="99" t="s">
        <v>525</v>
      </c>
      <c r="F346" s="98" t="s">
        <v>442</v>
      </c>
      <c r="G346" s="98" t="s">
        <v>270</v>
      </c>
      <c r="H346" s="98" t="s">
        <v>13</v>
      </c>
      <c r="I346" s="98" t="s">
        <v>255</v>
      </c>
      <c r="J346" s="98" t="s">
        <v>47</v>
      </c>
      <c r="K346" s="98"/>
      <c r="L346" s="100">
        <v>26</v>
      </c>
      <c r="M346" s="100">
        <f>L346*VLOOKUP(H346,dagsoorttabel1,2,FALSE)</f>
        <v>20.392156862745097</v>
      </c>
      <c r="N346" s="101">
        <f>prodnorm43</f>
        <v>0</v>
      </c>
      <c r="O346" s="102">
        <f>dagwerk43</f>
        <v>0</v>
      </c>
      <c r="P346" s="98" t="s">
        <v>105</v>
      </c>
      <c r="Q346" s="34">
        <f>uurtarief43</f>
        <v>0</v>
      </c>
      <c r="R346" s="100" t="e">
        <f>IF(ISBLANK(N346),0,M346/ROUND(N346,4))</f>
        <v>#DIV/0!</v>
      </c>
      <c r="S346" s="100" t="e">
        <f>IF(ISBLANK(N346),0,R346*ROUND(O346,2))</f>
        <v>#DIV/0!</v>
      </c>
      <c r="T346" s="34" t="e">
        <f>ROUND(Q346,2)*R346</f>
        <v>#DIV/0!</v>
      </c>
      <c r="U346" s="100" t="e">
        <f>R346*dagenperjaar1</f>
        <v>#DIV/0!</v>
      </c>
      <c r="V346" s="35" t="e">
        <f>U346*ROUND(Q346,2)</f>
        <v>#DIV/0!</v>
      </c>
    </row>
    <row r="347" spans="1:22" x14ac:dyDescent="0.2">
      <c r="A347" s="103" t="s">
        <v>436</v>
      </c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5" t="e">
        <f>IF(_xlfn.SINGLE(object11_urenjaar1)&gt;0,_xlfn.SINGLE(object11_prijsjaar1)/_xlfn.SINGLE(object11_urenjaar1),0)</f>
        <v>#DIV/0!</v>
      </c>
      <c r="R347" s="74" t="e">
        <f>SUM(R339:R346)</f>
        <v>#DIV/0!</v>
      </c>
      <c r="S347" s="74" t="e">
        <f>SUM(S339:S346)</f>
        <v>#DIV/0!</v>
      </c>
      <c r="T347" s="75" t="e">
        <f>SUM(T339:T346)</f>
        <v>#DIV/0!</v>
      </c>
      <c r="U347" s="74" t="e">
        <f>SUM(U339:U346)</f>
        <v>#DIV/0!</v>
      </c>
      <c r="V347" s="76" t="e">
        <f>SUM(V339:V346)</f>
        <v>#DIV/0!</v>
      </c>
    </row>
    <row r="348" spans="1:22" x14ac:dyDescent="0.2">
      <c r="A348" s="83" t="s">
        <v>526</v>
      </c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71"/>
    </row>
    <row r="349" spans="1:22" x14ac:dyDescent="0.2">
      <c r="A349" s="84" t="s">
        <v>527</v>
      </c>
      <c r="B349" s="85" t="s">
        <v>47</v>
      </c>
      <c r="C349" s="85" t="s">
        <v>394</v>
      </c>
      <c r="D349" s="85" t="s">
        <v>528</v>
      </c>
      <c r="E349" s="86" t="s">
        <v>525</v>
      </c>
      <c r="F349" s="85" t="s">
        <v>476</v>
      </c>
      <c r="G349" s="85" t="s">
        <v>274</v>
      </c>
      <c r="H349" s="85" t="s">
        <v>13</v>
      </c>
      <c r="I349" s="85" t="s">
        <v>255</v>
      </c>
      <c r="J349" s="85" t="s">
        <v>47</v>
      </c>
      <c r="K349" s="85"/>
      <c r="L349" s="87">
        <v>11.9</v>
      </c>
      <c r="M349" s="87">
        <f>L349*VLOOKUP(H349,dagsoorttabel1,2,FALSE)</f>
        <v>9.3333333333333339</v>
      </c>
      <c r="N349" s="88">
        <f>prodnorm47</f>
        <v>0</v>
      </c>
      <c r="O349" s="89">
        <f>dagwerk47</f>
        <v>0</v>
      </c>
      <c r="P349" s="85" t="s">
        <v>105</v>
      </c>
      <c r="Q349" s="90">
        <f>uurtarief47</f>
        <v>0</v>
      </c>
      <c r="R349" s="87" t="e">
        <f>IF(ISBLANK(N349),0,M349/ROUND(N349,4))</f>
        <v>#DIV/0!</v>
      </c>
      <c r="S349" s="87" t="e">
        <f>IF(ISBLANK(N349),0,R349*ROUND(O349,2))</f>
        <v>#DIV/0!</v>
      </c>
      <c r="T349" s="90" t="e">
        <f>ROUND(Q349,2)*R349</f>
        <v>#DIV/0!</v>
      </c>
      <c r="U349" s="87" t="e">
        <f>R349*dagenperjaar1</f>
        <v>#DIV/0!</v>
      </c>
      <c r="V349" s="91" t="e">
        <f>U349*ROUND(Q349,2)</f>
        <v>#DIV/0!</v>
      </c>
    </row>
    <row r="350" spans="1:22" x14ac:dyDescent="0.2">
      <c r="A350" s="92" t="s">
        <v>527</v>
      </c>
      <c r="B350" s="93" t="s">
        <v>47</v>
      </c>
      <c r="C350" s="93" t="s">
        <v>394</v>
      </c>
      <c r="D350" s="93" t="s">
        <v>395</v>
      </c>
      <c r="E350" s="94" t="s">
        <v>459</v>
      </c>
      <c r="F350" s="93" t="s">
        <v>441</v>
      </c>
      <c r="G350" s="93" t="s">
        <v>314</v>
      </c>
      <c r="H350" s="93" t="s">
        <v>13</v>
      </c>
      <c r="I350" s="93" t="s">
        <v>255</v>
      </c>
      <c r="J350" s="93" t="s">
        <v>47</v>
      </c>
      <c r="K350" s="93"/>
      <c r="L350" s="95">
        <v>29.1</v>
      </c>
      <c r="M350" s="95">
        <f>L350*VLOOKUP(H350,dagsoorttabel1,2,FALSE)</f>
        <v>22.823529411764707</v>
      </c>
      <c r="N350" s="96">
        <f>prodnorm88</f>
        <v>0</v>
      </c>
      <c r="O350" s="37">
        <f>dagwerk88</f>
        <v>0</v>
      </c>
      <c r="P350" s="93" t="s">
        <v>105</v>
      </c>
      <c r="Q350" s="24">
        <f>uurtarief88</f>
        <v>0</v>
      </c>
      <c r="R350" s="95" t="e">
        <f>IF(ISBLANK(N350),0,M350/ROUND(N350,4))</f>
        <v>#DIV/0!</v>
      </c>
      <c r="S350" s="95" t="e">
        <f>IF(ISBLANK(N350),0,R350*ROUND(O350,2))</f>
        <v>#DIV/0!</v>
      </c>
      <c r="T350" s="24" t="e">
        <f>ROUND(Q350,2)*R350</f>
        <v>#DIV/0!</v>
      </c>
      <c r="U350" s="95" t="e">
        <f>R350*dagenperjaar1</f>
        <v>#DIV/0!</v>
      </c>
      <c r="V350" s="25" t="e">
        <f>U350*ROUND(Q350,2)</f>
        <v>#DIV/0!</v>
      </c>
    </row>
    <row r="351" spans="1:22" x14ac:dyDescent="0.2">
      <c r="A351" s="92" t="s">
        <v>527</v>
      </c>
      <c r="B351" s="93" t="s">
        <v>47</v>
      </c>
      <c r="C351" s="93" t="s">
        <v>394</v>
      </c>
      <c r="D351" s="93" t="s">
        <v>398</v>
      </c>
      <c r="E351" s="94" t="s">
        <v>529</v>
      </c>
      <c r="F351" s="93" t="s">
        <v>441</v>
      </c>
      <c r="G351" s="93" t="s">
        <v>288</v>
      </c>
      <c r="H351" s="93" t="s">
        <v>13</v>
      </c>
      <c r="I351" s="93" t="s">
        <v>255</v>
      </c>
      <c r="J351" s="93" t="s">
        <v>47</v>
      </c>
      <c r="K351" s="93"/>
      <c r="L351" s="95">
        <v>15.3</v>
      </c>
      <c r="M351" s="95">
        <f>L351*VLOOKUP(H351,dagsoorttabel1,2,FALSE)</f>
        <v>12</v>
      </c>
      <c r="N351" s="96">
        <f>prodnorm62</f>
        <v>0</v>
      </c>
      <c r="O351" s="37">
        <f>dagwerk62</f>
        <v>0</v>
      </c>
      <c r="P351" s="93" t="s">
        <v>105</v>
      </c>
      <c r="Q351" s="24">
        <f>uurtarief62</f>
        <v>0</v>
      </c>
      <c r="R351" s="95" t="e">
        <f>IF(ISBLANK(N351),0,M351/ROUND(N351,4))</f>
        <v>#DIV/0!</v>
      </c>
      <c r="S351" s="95" t="e">
        <f>IF(ISBLANK(N351),0,R351*ROUND(O351,2))</f>
        <v>#DIV/0!</v>
      </c>
      <c r="T351" s="24" t="e">
        <f>ROUND(Q351,2)*R351</f>
        <v>#DIV/0!</v>
      </c>
      <c r="U351" s="95" t="e">
        <f>R351*dagenperjaar1</f>
        <v>#DIV/0!</v>
      </c>
      <c r="V351" s="25" t="e">
        <f>U351*ROUND(Q351,2)</f>
        <v>#DIV/0!</v>
      </c>
    </row>
    <row r="352" spans="1:22" x14ac:dyDescent="0.2">
      <c r="A352" s="92" t="s">
        <v>527</v>
      </c>
      <c r="B352" s="93" t="s">
        <v>47</v>
      </c>
      <c r="C352" s="93" t="s">
        <v>394</v>
      </c>
      <c r="D352" s="93" t="s">
        <v>400</v>
      </c>
      <c r="E352" s="94" t="s">
        <v>459</v>
      </c>
      <c r="F352" s="93" t="s">
        <v>441</v>
      </c>
      <c r="G352" s="93" t="s">
        <v>314</v>
      </c>
      <c r="H352" s="93" t="s">
        <v>13</v>
      </c>
      <c r="I352" s="93" t="s">
        <v>255</v>
      </c>
      <c r="J352" s="93" t="s">
        <v>47</v>
      </c>
      <c r="K352" s="93"/>
      <c r="L352" s="95">
        <v>57.2</v>
      </c>
      <c r="M352" s="95">
        <f>L352*VLOOKUP(H352,dagsoorttabel1,2,FALSE)</f>
        <v>44.86274509803922</v>
      </c>
      <c r="N352" s="96">
        <f>prodnorm88</f>
        <v>0</v>
      </c>
      <c r="O352" s="37">
        <f>dagwerk88</f>
        <v>0</v>
      </c>
      <c r="P352" s="93" t="s">
        <v>105</v>
      </c>
      <c r="Q352" s="24">
        <f>uurtarief88</f>
        <v>0</v>
      </c>
      <c r="R352" s="95" t="e">
        <f>IF(ISBLANK(N352),0,M352/ROUND(N352,4))</f>
        <v>#DIV/0!</v>
      </c>
      <c r="S352" s="95" t="e">
        <f>IF(ISBLANK(N352),0,R352*ROUND(O352,2))</f>
        <v>#DIV/0!</v>
      </c>
      <c r="T352" s="24" t="e">
        <f>ROUND(Q352,2)*R352</f>
        <v>#DIV/0!</v>
      </c>
      <c r="U352" s="95" t="e">
        <f>R352*dagenperjaar1</f>
        <v>#DIV/0!</v>
      </c>
      <c r="V352" s="25" t="e">
        <f>U352*ROUND(Q352,2)</f>
        <v>#DIV/0!</v>
      </c>
    </row>
    <row r="353" spans="1:22" x14ac:dyDescent="0.2">
      <c r="A353" s="92" t="s">
        <v>527</v>
      </c>
      <c r="B353" s="93" t="s">
        <v>47</v>
      </c>
      <c r="C353" s="93" t="s">
        <v>394</v>
      </c>
      <c r="D353" s="93" t="s">
        <v>402</v>
      </c>
      <c r="E353" s="94" t="s">
        <v>529</v>
      </c>
      <c r="F353" s="93" t="s">
        <v>441</v>
      </c>
      <c r="G353" s="93" t="s">
        <v>288</v>
      </c>
      <c r="H353" s="93" t="s">
        <v>13</v>
      </c>
      <c r="I353" s="93" t="s">
        <v>255</v>
      </c>
      <c r="J353" s="93" t="s">
        <v>47</v>
      </c>
      <c r="K353" s="93"/>
      <c r="L353" s="95">
        <v>53.9</v>
      </c>
      <c r="M353" s="95">
        <f>L353*VLOOKUP(H353,dagsoorttabel1,2,FALSE)</f>
        <v>42.274509803921568</v>
      </c>
      <c r="N353" s="96">
        <f>prodnorm62</f>
        <v>0</v>
      </c>
      <c r="O353" s="37">
        <f>dagwerk62</f>
        <v>0</v>
      </c>
      <c r="P353" s="93" t="s">
        <v>105</v>
      </c>
      <c r="Q353" s="24">
        <f>uurtarief62</f>
        <v>0</v>
      </c>
      <c r="R353" s="95" t="e">
        <f>IF(ISBLANK(N353),0,M353/ROUND(N353,4))</f>
        <v>#DIV/0!</v>
      </c>
      <c r="S353" s="95" t="e">
        <f>IF(ISBLANK(N353),0,R353*ROUND(O353,2))</f>
        <v>#DIV/0!</v>
      </c>
      <c r="T353" s="24" t="e">
        <f>ROUND(Q353,2)*R353</f>
        <v>#DIV/0!</v>
      </c>
      <c r="U353" s="95" t="e">
        <f>R353*dagenperjaar1</f>
        <v>#DIV/0!</v>
      </c>
      <c r="V353" s="25" t="e">
        <f>U353*ROUND(Q353,2)</f>
        <v>#DIV/0!</v>
      </c>
    </row>
    <row r="354" spans="1:22" x14ac:dyDescent="0.2">
      <c r="A354" s="92" t="s">
        <v>527</v>
      </c>
      <c r="B354" s="93" t="s">
        <v>47</v>
      </c>
      <c r="C354" s="93" t="s">
        <v>394</v>
      </c>
      <c r="D354" s="93" t="s">
        <v>404</v>
      </c>
      <c r="E354" s="94" t="s">
        <v>459</v>
      </c>
      <c r="F354" s="93" t="s">
        <v>441</v>
      </c>
      <c r="G354" s="93" t="s">
        <v>314</v>
      </c>
      <c r="H354" s="93" t="s">
        <v>13</v>
      </c>
      <c r="I354" s="93" t="s">
        <v>255</v>
      </c>
      <c r="J354" s="93" t="s">
        <v>47</v>
      </c>
      <c r="K354" s="93"/>
      <c r="L354" s="95">
        <v>69.400000000000006</v>
      </c>
      <c r="M354" s="95">
        <f>L354*VLOOKUP(H354,dagsoorttabel1,2,FALSE)</f>
        <v>54.431372549019613</v>
      </c>
      <c r="N354" s="96">
        <f>prodnorm88</f>
        <v>0</v>
      </c>
      <c r="O354" s="37">
        <f>dagwerk88</f>
        <v>0</v>
      </c>
      <c r="P354" s="93" t="s">
        <v>105</v>
      </c>
      <c r="Q354" s="24">
        <f>uurtarief88</f>
        <v>0</v>
      </c>
      <c r="R354" s="95" t="e">
        <f>IF(ISBLANK(N354),0,M354/ROUND(N354,4))</f>
        <v>#DIV/0!</v>
      </c>
      <c r="S354" s="95" t="e">
        <f>IF(ISBLANK(N354),0,R354*ROUND(O354,2))</f>
        <v>#DIV/0!</v>
      </c>
      <c r="T354" s="24" t="e">
        <f>ROUND(Q354,2)*R354</f>
        <v>#DIV/0!</v>
      </c>
      <c r="U354" s="95" t="e">
        <f>R354*dagenperjaar1</f>
        <v>#DIV/0!</v>
      </c>
      <c r="V354" s="25" t="e">
        <f>U354*ROUND(Q354,2)</f>
        <v>#DIV/0!</v>
      </c>
    </row>
    <row r="355" spans="1:22" x14ac:dyDescent="0.2">
      <c r="A355" s="92" t="s">
        <v>527</v>
      </c>
      <c r="B355" s="93" t="s">
        <v>47</v>
      </c>
      <c r="C355" s="93" t="s">
        <v>394</v>
      </c>
      <c r="D355" s="93" t="s">
        <v>406</v>
      </c>
      <c r="E355" s="94" t="s">
        <v>530</v>
      </c>
      <c r="F355" s="93" t="s">
        <v>441</v>
      </c>
      <c r="G355" s="93" t="s">
        <v>314</v>
      </c>
      <c r="H355" s="93" t="s">
        <v>13</v>
      </c>
      <c r="I355" s="93" t="s">
        <v>255</v>
      </c>
      <c r="J355" s="93" t="s">
        <v>47</v>
      </c>
      <c r="K355" s="93"/>
      <c r="L355" s="95">
        <v>3.2</v>
      </c>
      <c r="M355" s="95">
        <f>L355*VLOOKUP(H355,dagsoorttabel1,2,FALSE)</f>
        <v>2.5098039215686274</v>
      </c>
      <c r="N355" s="96">
        <f>prodnorm88</f>
        <v>0</v>
      </c>
      <c r="O355" s="37">
        <f>dagwerk88</f>
        <v>0</v>
      </c>
      <c r="P355" s="93" t="s">
        <v>105</v>
      </c>
      <c r="Q355" s="24">
        <f>uurtarief88</f>
        <v>0</v>
      </c>
      <c r="R355" s="95" t="e">
        <f>IF(ISBLANK(N355),0,M355/ROUND(N355,4))</f>
        <v>#DIV/0!</v>
      </c>
      <c r="S355" s="95" t="e">
        <f>IF(ISBLANK(N355),0,R355*ROUND(O355,2))</f>
        <v>#DIV/0!</v>
      </c>
      <c r="T355" s="24" t="e">
        <f>ROUND(Q355,2)*R355</f>
        <v>#DIV/0!</v>
      </c>
      <c r="U355" s="95" t="e">
        <f>R355*dagenperjaar1</f>
        <v>#DIV/0!</v>
      </c>
      <c r="V355" s="25" t="e">
        <f>U355*ROUND(Q355,2)</f>
        <v>#DIV/0!</v>
      </c>
    </row>
    <row r="356" spans="1:22" x14ac:dyDescent="0.2">
      <c r="A356" s="92" t="s">
        <v>527</v>
      </c>
      <c r="B356" s="93" t="s">
        <v>47</v>
      </c>
      <c r="C356" s="93" t="s">
        <v>394</v>
      </c>
      <c r="D356" s="93" t="s">
        <v>409</v>
      </c>
      <c r="E356" s="94" t="s">
        <v>423</v>
      </c>
      <c r="F356" s="93" t="s">
        <v>442</v>
      </c>
      <c r="G356" s="93" t="s">
        <v>304</v>
      </c>
      <c r="H356" s="93" t="s">
        <v>13</v>
      </c>
      <c r="I356" s="93" t="s">
        <v>255</v>
      </c>
      <c r="J356" s="93" t="s">
        <v>47</v>
      </c>
      <c r="K356" s="93"/>
      <c r="L356" s="95">
        <v>3.7</v>
      </c>
      <c r="M356" s="95">
        <f>L356*VLOOKUP(H356,dagsoorttabel1,2,FALSE)</f>
        <v>2.9019607843137254</v>
      </c>
      <c r="N356" s="96">
        <f>prodnorm74</f>
        <v>0</v>
      </c>
      <c r="O356" s="37">
        <f>dagwerk74</f>
        <v>0</v>
      </c>
      <c r="P356" s="93" t="s">
        <v>105</v>
      </c>
      <c r="Q356" s="24">
        <f>uurtarief74</f>
        <v>0</v>
      </c>
      <c r="R356" s="95" t="e">
        <f>IF(ISBLANK(N356),0,M356/ROUND(N356,4))</f>
        <v>#DIV/0!</v>
      </c>
      <c r="S356" s="95" t="e">
        <f>IF(ISBLANK(N356),0,R356*ROUND(O356,2))</f>
        <v>#DIV/0!</v>
      </c>
      <c r="T356" s="24" t="e">
        <f>ROUND(Q356,2)*R356</f>
        <v>#DIV/0!</v>
      </c>
      <c r="U356" s="95" t="e">
        <f>R356*dagenperjaar1</f>
        <v>#DIV/0!</v>
      </c>
      <c r="V356" s="25" t="e">
        <f>U356*ROUND(Q356,2)</f>
        <v>#DIV/0!</v>
      </c>
    </row>
    <row r="357" spans="1:22" x14ac:dyDescent="0.2">
      <c r="A357" s="92" t="s">
        <v>527</v>
      </c>
      <c r="B357" s="93" t="s">
        <v>47</v>
      </c>
      <c r="C357" s="93" t="s">
        <v>394</v>
      </c>
      <c r="D357" s="93" t="s">
        <v>409</v>
      </c>
      <c r="E357" s="94" t="s">
        <v>423</v>
      </c>
      <c r="F357" s="93" t="s">
        <v>442</v>
      </c>
      <c r="G357" s="93" t="s">
        <v>306</v>
      </c>
      <c r="H357" s="93" t="s">
        <v>13</v>
      </c>
      <c r="I357" s="93" t="s">
        <v>255</v>
      </c>
      <c r="J357" s="93" t="s">
        <v>47</v>
      </c>
      <c r="K357" s="93"/>
      <c r="L357" s="95">
        <v>3.7</v>
      </c>
      <c r="M357" s="95">
        <f>L357*VLOOKUP(H357,dagsoorttabel1,2,FALSE)</f>
        <v>2.9019607843137254</v>
      </c>
      <c r="N357" s="96">
        <f>prodnorm78</f>
        <v>0</v>
      </c>
      <c r="O357" s="37">
        <f>dagwerk78</f>
        <v>0</v>
      </c>
      <c r="P357" s="93" t="s">
        <v>105</v>
      </c>
      <c r="Q357" s="24">
        <f>uurtarief78</f>
        <v>0</v>
      </c>
      <c r="R357" s="95" t="e">
        <f>IF(ISBLANK(N357),0,M357/ROUND(N357,4))</f>
        <v>#DIV/0!</v>
      </c>
      <c r="S357" s="95" t="e">
        <f>IF(ISBLANK(N357),0,R357*ROUND(O357,2))</f>
        <v>#DIV/0!</v>
      </c>
      <c r="T357" s="24" t="e">
        <f>ROUND(Q357,2)*R357</f>
        <v>#DIV/0!</v>
      </c>
      <c r="U357" s="95" t="e">
        <f>R357*dagenperjaar1</f>
        <v>#DIV/0!</v>
      </c>
      <c r="V357" s="25" t="e">
        <f>U357*ROUND(Q357,2)</f>
        <v>#DIV/0!</v>
      </c>
    </row>
    <row r="358" spans="1:22" x14ac:dyDescent="0.2">
      <c r="A358" s="92" t="s">
        <v>527</v>
      </c>
      <c r="B358" s="93" t="s">
        <v>47</v>
      </c>
      <c r="C358" s="93" t="s">
        <v>394</v>
      </c>
      <c r="D358" s="93" t="s">
        <v>411</v>
      </c>
      <c r="E358" s="94" t="s">
        <v>529</v>
      </c>
      <c r="F358" s="93" t="s">
        <v>441</v>
      </c>
      <c r="G358" s="93" t="s">
        <v>288</v>
      </c>
      <c r="H358" s="93" t="s">
        <v>13</v>
      </c>
      <c r="I358" s="93" t="s">
        <v>255</v>
      </c>
      <c r="J358" s="93" t="s">
        <v>47</v>
      </c>
      <c r="K358" s="93"/>
      <c r="L358" s="95">
        <v>45.6</v>
      </c>
      <c r="M358" s="95">
        <f>L358*VLOOKUP(H358,dagsoorttabel1,2,FALSE)</f>
        <v>35.764705882352942</v>
      </c>
      <c r="N358" s="96">
        <f>prodnorm62</f>
        <v>0</v>
      </c>
      <c r="O358" s="37">
        <f>dagwerk62</f>
        <v>0</v>
      </c>
      <c r="P358" s="93" t="s">
        <v>105</v>
      </c>
      <c r="Q358" s="24">
        <f>uurtarief62</f>
        <v>0</v>
      </c>
      <c r="R358" s="95" t="e">
        <f>IF(ISBLANK(N358),0,M358/ROUND(N358,4))</f>
        <v>#DIV/0!</v>
      </c>
      <c r="S358" s="95" t="e">
        <f>IF(ISBLANK(N358),0,R358*ROUND(O358,2))</f>
        <v>#DIV/0!</v>
      </c>
      <c r="T358" s="24" t="e">
        <f>ROUND(Q358,2)*R358</f>
        <v>#DIV/0!</v>
      </c>
      <c r="U358" s="95" t="e">
        <f>R358*dagenperjaar1</f>
        <v>#DIV/0!</v>
      </c>
      <c r="V358" s="25" t="e">
        <f>U358*ROUND(Q358,2)</f>
        <v>#DIV/0!</v>
      </c>
    </row>
    <row r="359" spans="1:22" x14ac:dyDescent="0.2">
      <c r="A359" s="92" t="s">
        <v>527</v>
      </c>
      <c r="B359" s="93" t="s">
        <v>47</v>
      </c>
      <c r="C359" s="93" t="s">
        <v>394</v>
      </c>
      <c r="D359" s="93" t="s">
        <v>413</v>
      </c>
      <c r="E359" s="94" t="s">
        <v>529</v>
      </c>
      <c r="F359" s="93" t="s">
        <v>441</v>
      </c>
      <c r="G359" s="93" t="s">
        <v>288</v>
      </c>
      <c r="H359" s="93" t="s">
        <v>13</v>
      </c>
      <c r="I359" s="93" t="s">
        <v>255</v>
      </c>
      <c r="J359" s="93" t="s">
        <v>47</v>
      </c>
      <c r="K359" s="93"/>
      <c r="L359" s="95">
        <v>45.6</v>
      </c>
      <c r="M359" s="95">
        <f>L359*VLOOKUP(H359,dagsoorttabel1,2,FALSE)</f>
        <v>35.764705882352942</v>
      </c>
      <c r="N359" s="96">
        <f>prodnorm62</f>
        <v>0</v>
      </c>
      <c r="O359" s="37">
        <f>dagwerk62</f>
        <v>0</v>
      </c>
      <c r="P359" s="93" t="s">
        <v>105</v>
      </c>
      <c r="Q359" s="24">
        <f>uurtarief62</f>
        <v>0</v>
      </c>
      <c r="R359" s="95" t="e">
        <f>IF(ISBLANK(N359),0,M359/ROUND(N359,4))</f>
        <v>#DIV/0!</v>
      </c>
      <c r="S359" s="95" t="e">
        <f>IF(ISBLANK(N359),0,R359*ROUND(O359,2))</f>
        <v>#DIV/0!</v>
      </c>
      <c r="T359" s="24" t="e">
        <f>ROUND(Q359,2)*R359</f>
        <v>#DIV/0!</v>
      </c>
      <c r="U359" s="95" t="e">
        <f>R359*dagenperjaar1</f>
        <v>#DIV/0!</v>
      </c>
      <c r="V359" s="25" t="e">
        <f>U359*ROUND(Q359,2)</f>
        <v>#DIV/0!</v>
      </c>
    </row>
    <row r="360" spans="1:22" x14ac:dyDescent="0.2">
      <c r="A360" s="92" t="s">
        <v>527</v>
      </c>
      <c r="B360" s="93" t="s">
        <v>47</v>
      </c>
      <c r="C360" s="93" t="s">
        <v>394</v>
      </c>
      <c r="D360" s="93" t="s">
        <v>415</v>
      </c>
      <c r="E360" s="94" t="s">
        <v>531</v>
      </c>
      <c r="F360" s="93" t="s">
        <v>431</v>
      </c>
      <c r="G360" s="93" t="s">
        <v>308</v>
      </c>
      <c r="H360" s="93" t="s">
        <v>13</v>
      </c>
      <c r="I360" s="93" t="s">
        <v>255</v>
      </c>
      <c r="J360" s="93" t="s">
        <v>47</v>
      </c>
      <c r="K360" s="93"/>
      <c r="L360" s="95">
        <v>13.32</v>
      </c>
      <c r="M360" s="95">
        <f>L360*VLOOKUP(H360,dagsoorttabel1,2,FALSE)</f>
        <v>10.447058823529412</v>
      </c>
      <c r="N360" s="96">
        <f>prodnorm81</f>
        <v>0</v>
      </c>
      <c r="O360" s="37">
        <f>dagwerk81</f>
        <v>0</v>
      </c>
      <c r="P360" s="93" t="s">
        <v>105</v>
      </c>
      <c r="Q360" s="24">
        <f>uurtarief81</f>
        <v>0</v>
      </c>
      <c r="R360" s="95" t="e">
        <f>IF(ISBLANK(N360),0,M360/ROUND(N360,4))</f>
        <v>#DIV/0!</v>
      </c>
      <c r="S360" s="95" t="e">
        <f>IF(ISBLANK(N360),0,R360*ROUND(O360,2))</f>
        <v>#DIV/0!</v>
      </c>
      <c r="T360" s="24" t="e">
        <f>ROUND(Q360,2)*R360</f>
        <v>#DIV/0!</v>
      </c>
      <c r="U360" s="95" t="e">
        <f>R360*dagenperjaar1</f>
        <v>#DIV/0!</v>
      </c>
      <c r="V360" s="25" t="e">
        <f>U360*ROUND(Q360,2)</f>
        <v>#DIV/0!</v>
      </c>
    </row>
    <row r="361" spans="1:22" x14ac:dyDescent="0.2">
      <c r="A361" s="92" t="s">
        <v>527</v>
      </c>
      <c r="B361" s="93" t="s">
        <v>47</v>
      </c>
      <c r="C361" s="93" t="s">
        <v>394</v>
      </c>
      <c r="D361" s="93" t="s">
        <v>416</v>
      </c>
      <c r="E361" s="94" t="s">
        <v>529</v>
      </c>
      <c r="F361" s="93" t="s">
        <v>441</v>
      </c>
      <c r="G361" s="93" t="s">
        <v>288</v>
      </c>
      <c r="H361" s="93" t="s">
        <v>13</v>
      </c>
      <c r="I361" s="93" t="s">
        <v>255</v>
      </c>
      <c r="J361" s="93" t="s">
        <v>47</v>
      </c>
      <c r="K361" s="93"/>
      <c r="L361" s="95">
        <v>45.6</v>
      </c>
      <c r="M361" s="95">
        <f>L361*VLOOKUP(H361,dagsoorttabel1,2,FALSE)</f>
        <v>35.764705882352942</v>
      </c>
      <c r="N361" s="96">
        <f>prodnorm62</f>
        <v>0</v>
      </c>
      <c r="O361" s="37">
        <f>dagwerk62</f>
        <v>0</v>
      </c>
      <c r="P361" s="93" t="s">
        <v>105</v>
      </c>
      <c r="Q361" s="24">
        <f>uurtarief62</f>
        <v>0</v>
      </c>
      <c r="R361" s="95" t="e">
        <f>IF(ISBLANK(N361),0,M361/ROUND(N361,4))</f>
        <v>#DIV/0!</v>
      </c>
      <c r="S361" s="95" t="e">
        <f>IF(ISBLANK(N361),0,R361*ROUND(O361,2))</f>
        <v>#DIV/0!</v>
      </c>
      <c r="T361" s="24" t="e">
        <f>ROUND(Q361,2)*R361</f>
        <v>#DIV/0!</v>
      </c>
      <c r="U361" s="95" t="e">
        <f>R361*dagenperjaar1</f>
        <v>#DIV/0!</v>
      </c>
      <c r="V361" s="25" t="e">
        <f>U361*ROUND(Q361,2)</f>
        <v>#DIV/0!</v>
      </c>
    </row>
    <row r="362" spans="1:22" x14ac:dyDescent="0.2">
      <c r="A362" s="92" t="s">
        <v>527</v>
      </c>
      <c r="B362" s="93" t="s">
        <v>47</v>
      </c>
      <c r="C362" s="93" t="s">
        <v>394</v>
      </c>
      <c r="D362" s="93" t="s">
        <v>418</v>
      </c>
      <c r="E362" s="94" t="s">
        <v>529</v>
      </c>
      <c r="F362" s="93" t="s">
        <v>441</v>
      </c>
      <c r="G362" s="93" t="s">
        <v>288</v>
      </c>
      <c r="H362" s="93" t="s">
        <v>13</v>
      </c>
      <c r="I362" s="93" t="s">
        <v>255</v>
      </c>
      <c r="J362" s="93" t="s">
        <v>47</v>
      </c>
      <c r="K362" s="93"/>
      <c r="L362" s="95">
        <v>45.6</v>
      </c>
      <c r="M362" s="95">
        <f>L362*VLOOKUP(H362,dagsoorttabel1,2,FALSE)</f>
        <v>35.764705882352942</v>
      </c>
      <c r="N362" s="96">
        <f>prodnorm62</f>
        <v>0</v>
      </c>
      <c r="O362" s="37">
        <f>dagwerk62</f>
        <v>0</v>
      </c>
      <c r="P362" s="93" t="s">
        <v>105</v>
      </c>
      <c r="Q362" s="24">
        <f>uurtarief62</f>
        <v>0</v>
      </c>
      <c r="R362" s="95" t="e">
        <f>IF(ISBLANK(N362),0,M362/ROUND(N362,4))</f>
        <v>#DIV/0!</v>
      </c>
      <c r="S362" s="95" t="e">
        <f>IF(ISBLANK(N362),0,R362*ROUND(O362,2))</f>
        <v>#DIV/0!</v>
      </c>
      <c r="T362" s="24" t="e">
        <f>ROUND(Q362,2)*R362</f>
        <v>#DIV/0!</v>
      </c>
      <c r="U362" s="95" t="e">
        <f>R362*dagenperjaar1</f>
        <v>#DIV/0!</v>
      </c>
      <c r="V362" s="25" t="e">
        <f>U362*ROUND(Q362,2)</f>
        <v>#DIV/0!</v>
      </c>
    </row>
    <row r="363" spans="1:22" x14ac:dyDescent="0.2">
      <c r="A363" s="92" t="s">
        <v>527</v>
      </c>
      <c r="B363" s="93" t="s">
        <v>47</v>
      </c>
      <c r="C363" s="93" t="s">
        <v>394</v>
      </c>
      <c r="D363" s="93" t="s">
        <v>419</v>
      </c>
      <c r="E363" s="94" t="s">
        <v>529</v>
      </c>
      <c r="F363" s="93" t="s">
        <v>441</v>
      </c>
      <c r="G363" s="93" t="s">
        <v>288</v>
      </c>
      <c r="H363" s="93" t="s">
        <v>13</v>
      </c>
      <c r="I363" s="93" t="s">
        <v>255</v>
      </c>
      <c r="J363" s="93" t="s">
        <v>47</v>
      </c>
      <c r="K363" s="93"/>
      <c r="L363" s="95">
        <v>45.6</v>
      </c>
      <c r="M363" s="95">
        <f>L363*VLOOKUP(H363,dagsoorttabel1,2,FALSE)</f>
        <v>35.764705882352942</v>
      </c>
      <c r="N363" s="96">
        <f>prodnorm62</f>
        <v>0</v>
      </c>
      <c r="O363" s="37">
        <f>dagwerk62</f>
        <v>0</v>
      </c>
      <c r="P363" s="93" t="s">
        <v>105</v>
      </c>
      <c r="Q363" s="24">
        <f>uurtarief62</f>
        <v>0</v>
      </c>
      <c r="R363" s="95" t="e">
        <f>IF(ISBLANK(N363),0,M363/ROUND(N363,4))</f>
        <v>#DIV/0!</v>
      </c>
      <c r="S363" s="95" t="e">
        <f>IF(ISBLANK(N363),0,R363*ROUND(O363,2))</f>
        <v>#DIV/0!</v>
      </c>
      <c r="T363" s="24" t="e">
        <f>ROUND(Q363,2)*R363</f>
        <v>#DIV/0!</v>
      </c>
      <c r="U363" s="95" t="e">
        <f>R363*dagenperjaar1</f>
        <v>#DIV/0!</v>
      </c>
      <c r="V363" s="25" t="e">
        <f>U363*ROUND(Q363,2)</f>
        <v>#DIV/0!</v>
      </c>
    </row>
    <row r="364" spans="1:22" x14ac:dyDescent="0.2">
      <c r="A364" s="92" t="s">
        <v>527</v>
      </c>
      <c r="B364" s="93" t="s">
        <v>47</v>
      </c>
      <c r="C364" s="93" t="s">
        <v>394</v>
      </c>
      <c r="D364" s="93" t="s">
        <v>420</v>
      </c>
      <c r="E364" s="94" t="s">
        <v>423</v>
      </c>
      <c r="F364" s="93" t="s">
        <v>442</v>
      </c>
      <c r="G364" s="93" t="s">
        <v>304</v>
      </c>
      <c r="H364" s="93" t="s">
        <v>13</v>
      </c>
      <c r="I364" s="93" t="s">
        <v>255</v>
      </c>
      <c r="J364" s="93" t="s">
        <v>47</v>
      </c>
      <c r="K364" s="93"/>
      <c r="L364" s="95">
        <v>23.3</v>
      </c>
      <c r="M364" s="95">
        <f>L364*VLOOKUP(H364,dagsoorttabel1,2,FALSE)</f>
        <v>18.274509803921568</v>
      </c>
      <c r="N364" s="96">
        <f>prodnorm74</f>
        <v>0</v>
      </c>
      <c r="O364" s="37">
        <f>dagwerk74</f>
        <v>0</v>
      </c>
      <c r="P364" s="93" t="s">
        <v>105</v>
      </c>
      <c r="Q364" s="24">
        <f>uurtarief74</f>
        <v>0</v>
      </c>
      <c r="R364" s="95" t="e">
        <f>IF(ISBLANK(N364),0,M364/ROUND(N364,4))</f>
        <v>#DIV/0!</v>
      </c>
      <c r="S364" s="95" t="e">
        <f>IF(ISBLANK(N364),0,R364*ROUND(O364,2))</f>
        <v>#DIV/0!</v>
      </c>
      <c r="T364" s="24" t="e">
        <f>ROUND(Q364,2)*R364</f>
        <v>#DIV/0!</v>
      </c>
      <c r="U364" s="95" t="e">
        <f>R364*dagenperjaar1</f>
        <v>#DIV/0!</v>
      </c>
      <c r="V364" s="25" t="e">
        <f>U364*ROUND(Q364,2)</f>
        <v>#DIV/0!</v>
      </c>
    </row>
    <row r="365" spans="1:22" x14ac:dyDescent="0.2">
      <c r="A365" s="92" t="s">
        <v>527</v>
      </c>
      <c r="B365" s="93" t="s">
        <v>47</v>
      </c>
      <c r="C365" s="93" t="s">
        <v>394</v>
      </c>
      <c r="D365" s="93" t="s">
        <v>420</v>
      </c>
      <c r="E365" s="94" t="s">
        <v>423</v>
      </c>
      <c r="F365" s="93" t="s">
        <v>442</v>
      </c>
      <c r="G365" s="93" t="s">
        <v>306</v>
      </c>
      <c r="H365" s="93" t="s">
        <v>13</v>
      </c>
      <c r="I365" s="93" t="s">
        <v>255</v>
      </c>
      <c r="J365" s="93" t="s">
        <v>47</v>
      </c>
      <c r="K365" s="93"/>
      <c r="L365" s="95">
        <v>23.3</v>
      </c>
      <c r="M365" s="95">
        <f>L365*VLOOKUP(H365,dagsoorttabel1,2,FALSE)</f>
        <v>18.274509803921568</v>
      </c>
      <c r="N365" s="96">
        <f>prodnorm78</f>
        <v>0</v>
      </c>
      <c r="O365" s="37">
        <f>dagwerk78</f>
        <v>0</v>
      </c>
      <c r="P365" s="93" t="s">
        <v>105</v>
      </c>
      <c r="Q365" s="24">
        <f>uurtarief78</f>
        <v>0</v>
      </c>
      <c r="R365" s="95" t="e">
        <f>IF(ISBLANK(N365),0,M365/ROUND(N365,4))</f>
        <v>#DIV/0!</v>
      </c>
      <c r="S365" s="95" t="e">
        <f>IF(ISBLANK(N365),0,R365*ROUND(O365,2))</f>
        <v>#DIV/0!</v>
      </c>
      <c r="T365" s="24" t="e">
        <f>ROUND(Q365,2)*R365</f>
        <v>#DIV/0!</v>
      </c>
      <c r="U365" s="95" t="e">
        <f>R365*dagenperjaar1</f>
        <v>#DIV/0!</v>
      </c>
      <c r="V365" s="25" t="e">
        <f>U365*ROUND(Q365,2)</f>
        <v>#DIV/0!</v>
      </c>
    </row>
    <row r="366" spans="1:22" x14ac:dyDescent="0.2">
      <c r="A366" s="92" t="s">
        <v>527</v>
      </c>
      <c r="B366" s="93" t="s">
        <v>47</v>
      </c>
      <c r="C366" s="93" t="s">
        <v>394</v>
      </c>
      <c r="D366" s="93" t="s">
        <v>422</v>
      </c>
      <c r="E366" s="94" t="s">
        <v>532</v>
      </c>
      <c r="F366" s="93" t="s">
        <v>441</v>
      </c>
      <c r="G366" s="93" t="s">
        <v>259</v>
      </c>
      <c r="H366" s="93" t="s">
        <v>13</v>
      </c>
      <c r="I366" s="93" t="s">
        <v>255</v>
      </c>
      <c r="J366" s="93" t="s">
        <v>47</v>
      </c>
      <c r="K366" s="93"/>
      <c r="L366" s="95">
        <v>23.3</v>
      </c>
      <c r="M366" s="95">
        <f>L366*VLOOKUP(H366,dagsoorttabel1,2,FALSE)</f>
        <v>18.274509803921568</v>
      </c>
      <c r="N366" s="96">
        <f>prodnorm31</f>
        <v>0</v>
      </c>
      <c r="O366" s="37">
        <f>dagwerk31</f>
        <v>0</v>
      </c>
      <c r="P366" s="93" t="s">
        <v>105</v>
      </c>
      <c r="Q366" s="24">
        <f>uurtarief31</f>
        <v>0</v>
      </c>
      <c r="R366" s="95" t="e">
        <f>IF(ISBLANK(N366),0,M366/ROUND(N366,4))</f>
        <v>#DIV/0!</v>
      </c>
      <c r="S366" s="95" t="e">
        <f>IF(ISBLANK(N366),0,R366*ROUND(O366,2))</f>
        <v>#DIV/0!</v>
      </c>
      <c r="T366" s="24" t="e">
        <f>ROUND(Q366,2)*R366</f>
        <v>#DIV/0!</v>
      </c>
      <c r="U366" s="95" t="e">
        <f>R366*dagenperjaar1</f>
        <v>#DIV/0!</v>
      </c>
      <c r="V366" s="25" t="e">
        <f>U366*ROUND(Q366,2)</f>
        <v>#DIV/0!</v>
      </c>
    </row>
    <row r="367" spans="1:22" x14ac:dyDescent="0.2">
      <c r="A367" s="92" t="s">
        <v>527</v>
      </c>
      <c r="B367" s="93" t="s">
        <v>47</v>
      </c>
      <c r="C367" s="93" t="s">
        <v>394</v>
      </c>
      <c r="D367" s="93" t="s">
        <v>424</v>
      </c>
      <c r="E367" s="94" t="s">
        <v>531</v>
      </c>
      <c r="F367" s="93" t="s">
        <v>431</v>
      </c>
      <c r="G367" s="93" t="s">
        <v>308</v>
      </c>
      <c r="H367" s="93" t="s">
        <v>13</v>
      </c>
      <c r="I367" s="93" t="s">
        <v>255</v>
      </c>
      <c r="J367" s="93" t="s">
        <v>47</v>
      </c>
      <c r="K367" s="93"/>
      <c r="L367" s="95">
        <v>12.4</v>
      </c>
      <c r="M367" s="95">
        <f>L367*VLOOKUP(H367,dagsoorttabel1,2,FALSE)</f>
        <v>9.7254901960784323</v>
      </c>
      <c r="N367" s="96">
        <f>prodnorm81</f>
        <v>0</v>
      </c>
      <c r="O367" s="37">
        <f>dagwerk81</f>
        <v>0</v>
      </c>
      <c r="P367" s="93" t="s">
        <v>105</v>
      </c>
      <c r="Q367" s="24">
        <f>uurtarief81</f>
        <v>0</v>
      </c>
      <c r="R367" s="95" t="e">
        <f>IF(ISBLANK(N367),0,M367/ROUND(N367,4))</f>
        <v>#DIV/0!</v>
      </c>
      <c r="S367" s="95" t="e">
        <f>IF(ISBLANK(N367),0,R367*ROUND(O367,2))</f>
        <v>#DIV/0!</v>
      </c>
      <c r="T367" s="24" t="e">
        <f>ROUND(Q367,2)*R367</f>
        <v>#DIV/0!</v>
      </c>
      <c r="U367" s="95" t="e">
        <f>R367*dagenperjaar1</f>
        <v>#DIV/0!</v>
      </c>
      <c r="V367" s="25" t="e">
        <f>U367*ROUND(Q367,2)</f>
        <v>#DIV/0!</v>
      </c>
    </row>
    <row r="368" spans="1:22" x14ac:dyDescent="0.2">
      <c r="A368" s="92" t="s">
        <v>527</v>
      </c>
      <c r="B368" s="93" t="s">
        <v>47</v>
      </c>
      <c r="C368" s="93" t="s">
        <v>394</v>
      </c>
      <c r="D368" s="93" t="s">
        <v>446</v>
      </c>
      <c r="E368" s="94" t="s">
        <v>533</v>
      </c>
      <c r="F368" s="93" t="s">
        <v>441</v>
      </c>
      <c r="G368" s="93" t="s">
        <v>300</v>
      </c>
      <c r="H368" s="93" t="s">
        <v>13</v>
      </c>
      <c r="I368" s="93" t="s">
        <v>255</v>
      </c>
      <c r="J368" s="93" t="s">
        <v>47</v>
      </c>
      <c r="K368" s="93"/>
      <c r="L368" s="95">
        <v>156.80000000000001</v>
      </c>
      <c r="M368" s="95">
        <f>L368*VLOOKUP(H368,dagsoorttabel1,2,FALSE)</f>
        <v>122.98039215686275</v>
      </c>
      <c r="N368" s="96">
        <f>prodnorm70</f>
        <v>0</v>
      </c>
      <c r="O368" s="37">
        <f>dagwerk70</f>
        <v>0</v>
      </c>
      <c r="P368" s="93" t="s">
        <v>105</v>
      </c>
      <c r="Q368" s="24">
        <f>uurtarief70</f>
        <v>0</v>
      </c>
      <c r="R368" s="95" t="e">
        <f>IF(ISBLANK(N368),0,M368/ROUND(N368,4))</f>
        <v>#DIV/0!</v>
      </c>
      <c r="S368" s="95" t="e">
        <f>IF(ISBLANK(N368),0,R368*ROUND(O368,2))</f>
        <v>#DIV/0!</v>
      </c>
      <c r="T368" s="24" t="e">
        <f>ROUND(Q368,2)*R368</f>
        <v>#DIV/0!</v>
      </c>
      <c r="U368" s="95" t="e">
        <f>R368*dagenperjaar1</f>
        <v>#DIV/0!</v>
      </c>
      <c r="V368" s="25" t="e">
        <f>U368*ROUND(Q368,2)</f>
        <v>#DIV/0!</v>
      </c>
    </row>
    <row r="369" spans="1:22" x14ac:dyDescent="0.2">
      <c r="A369" s="92" t="s">
        <v>527</v>
      </c>
      <c r="B369" s="93" t="s">
        <v>47</v>
      </c>
      <c r="C369" s="93" t="s">
        <v>394</v>
      </c>
      <c r="D369" s="93" t="s">
        <v>425</v>
      </c>
      <c r="E369" s="94" t="s">
        <v>459</v>
      </c>
      <c r="F369" s="93" t="s">
        <v>441</v>
      </c>
      <c r="G369" s="93" t="s">
        <v>314</v>
      </c>
      <c r="H369" s="93" t="s">
        <v>13</v>
      </c>
      <c r="I369" s="93" t="s">
        <v>255</v>
      </c>
      <c r="J369" s="93" t="s">
        <v>47</v>
      </c>
      <c r="K369" s="93"/>
      <c r="L369" s="95">
        <v>23.8</v>
      </c>
      <c r="M369" s="95">
        <f>L369*VLOOKUP(H369,dagsoorttabel1,2,FALSE)</f>
        <v>18.666666666666668</v>
      </c>
      <c r="N369" s="96">
        <f>prodnorm88</f>
        <v>0</v>
      </c>
      <c r="O369" s="37">
        <f>dagwerk88</f>
        <v>0</v>
      </c>
      <c r="P369" s="93" t="s">
        <v>105</v>
      </c>
      <c r="Q369" s="24">
        <f>uurtarief88</f>
        <v>0</v>
      </c>
      <c r="R369" s="95" t="e">
        <f>IF(ISBLANK(N369),0,M369/ROUND(N369,4))</f>
        <v>#DIV/0!</v>
      </c>
      <c r="S369" s="95" t="e">
        <f>IF(ISBLANK(N369),0,R369*ROUND(O369,2))</f>
        <v>#DIV/0!</v>
      </c>
      <c r="T369" s="24" t="e">
        <f>ROUND(Q369,2)*R369</f>
        <v>#DIV/0!</v>
      </c>
      <c r="U369" s="95" t="e">
        <f>R369*dagenperjaar1</f>
        <v>#DIV/0!</v>
      </c>
      <c r="V369" s="25" t="e">
        <f>U369*ROUND(Q369,2)</f>
        <v>#DIV/0!</v>
      </c>
    </row>
    <row r="370" spans="1:22" x14ac:dyDescent="0.2">
      <c r="A370" s="92" t="s">
        <v>527</v>
      </c>
      <c r="B370" s="93" t="s">
        <v>47</v>
      </c>
      <c r="C370" s="93" t="s">
        <v>394</v>
      </c>
      <c r="D370" s="93" t="s">
        <v>426</v>
      </c>
      <c r="E370" s="94" t="s">
        <v>459</v>
      </c>
      <c r="F370" s="93" t="s">
        <v>441</v>
      </c>
      <c r="G370" s="93" t="s">
        <v>314</v>
      </c>
      <c r="H370" s="93" t="s">
        <v>13</v>
      </c>
      <c r="I370" s="93" t="s">
        <v>255</v>
      </c>
      <c r="J370" s="93" t="s">
        <v>47</v>
      </c>
      <c r="K370" s="93"/>
      <c r="L370" s="95">
        <v>22.8</v>
      </c>
      <c r="M370" s="95">
        <f>L370*VLOOKUP(H370,dagsoorttabel1,2,FALSE)</f>
        <v>17.882352941176471</v>
      </c>
      <c r="N370" s="96">
        <f>prodnorm88</f>
        <v>0</v>
      </c>
      <c r="O370" s="37">
        <f>dagwerk88</f>
        <v>0</v>
      </c>
      <c r="P370" s="93" t="s">
        <v>105</v>
      </c>
      <c r="Q370" s="24">
        <f>uurtarief88</f>
        <v>0</v>
      </c>
      <c r="R370" s="95" t="e">
        <f>IF(ISBLANK(N370),0,M370/ROUND(N370,4))</f>
        <v>#DIV/0!</v>
      </c>
      <c r="S370" s="95" t="e">
        <f>IF(ISBLANK(N370),0,R370*ROUND(O370,2))</f>
        <v>#DIV/0!</v>
      </c>
      <c r="T370" s="24" t="e">
        <f>ROUND(Q370,2)*R370</f>
        <v>#DIV/0!</v>
      </c>
      <c r="U370" s="95" t="e">
        <f>R370*dagenperjaar1</f>
        <v>#DIV/0!</v>
      </c>
      <c r="V370" s="25" t="e">
        <f>U370*ROUND(Q370,2)</f>
        <v>#DIV/0!</v>
      </c>
    </row>
    <row r="371" spans="1:22" x14ac:dyDescent="0.2">
      <c r="A371" s="92" t="s">
        <v>527</v>
      </c>
      <c r="B371" s="93" t="s">
        <v>47</v>
      </c>
      <c r="C371" s="93" t="s">
        <v>394</v>
      </c>
      <c r="D371" s="93" t="s">
        <v>427</v>
      </c>
      <c r="E371" s="94" t="s">
        <v>459</v>
      </c>
      <c r="F371" s="93" t="s">
        <v>441</v>
      </c>
      <c r="G371" s="93" t="s">
        <v>314</v>
      </c>
      <c r="H371" s="93" t="s">
        <v>13</v>
      </c>
      <c r="I371" s="93" t="s">
        <v>255</v>
      </c>
      <c r="J371" s="93" t="s">
        <v>47</v>
      </c>
      <c r="K371" s="93"/>
      <c r="L371" s="95">
        <v>50.2</v>
      </c>
      <c r="M371" s="95">
        <f>L371*VLOOKUP(H371,dagsoorttabel1,2,FALSE)</f>
        <v>39.372549019607845</v>
      </c>
      <c r="N371" s="96">
        <f>prodnorm88</f>
        <v>0</v>
      </c>
      <c r="O371" s="37">
        <f>dagwerk88</f>
        <v>0</v>
      </c>
      <c r="P371" s="93" t="s">
        <v>105</v>
      </c>
      <c r="Q371" s="24">
        <f>uurtarief88</f>
        <v>0</v>
      </c>
      <c r="R371" s="95" t="e">
        <f>IF(ISBLANK(N371),0,M371/ROUND(N371,4))</f>
        <v>#DIV/0!</v>
      </c>
      <c r="S371" s="95" t="e">
        <f>IF(ISBLANK(N371),0,R371*ROUND(O371,2))</f>
        <v>#DIV/0!</v>
      </c>
      <c r="T371" s="24" t="e">
        <f>ROUND(Q371,2)*R371</f>
        <v>#DIV/0!</v>
      </c>
      <c r="U371" s="95" t="e">
        <f>R371*dagenperjaar1</f>
        <v>#DIV/0!</v>
      </c>
      <c r="V371" s="25" t="e">
        <f>U371*ROUND(Q371,2)</f>
        <v>#DIV/0!</v>
      </c>
    </row>
    <row r="372" spans="1:22" x14ac:dyDescent="0.2">
      <c r="A372" s="92" t="s">
        <v>527</v>
      </c>
      <c r="B372" s="93" t="s">
        <v>47</v>
      </c>
      <c r="C372" s="93" t="s">
        <v>394</v>
      </c>
      <c r="D372" s="93" t="s">
        <v>453</v>
      </c>
      <c r="E372" s="94" t="s">
        <v>531</v>
      </c>
      <c r="F372" s="93" t="s">
        <v>431</v>
      </c>
      <c r="G372" s="93" t="s">
        <v>308</v>
      </c>
      <c r="H372" s="93" t="s">
        <v>13</v>
      </c>
      <c r="I372" s="93" t="s">
        <v>255</v>
      </c>
      <c r="J372" s="93" t="s">
        <v>47</v>
      </c>
      <c r="K372" s="93"/>
      <c r="L372" s="95">
        <v>15.9</v>
      </c>
      <c r="M372" s="95">
        <f>L372*VLOOKUP(H372,dagsoorttabel1,2,FALSE)</f>
        <v>12.470588235294118</v>
      </c>
      <c r="N372" s="96">
        <f>prodnorm81</f>
        <v>0</v>
      </c>
      <c r="O372" s="37">
        <f>dagwerk81</f>
        <v>0</v>
      </c>
      <c r="P372" s="93" t="s">
        <v>105</v>
      </c>
      <c r="Q372" s="24">
        <f>uurtarief81</f>
        <v>0</v>
      </c>
      <c r="R372" s="95" t="e">
        <f>IF(ISBLANK(N372),0,M372/ROUND(N372,4))</f>
        <v>#DIV/0!</v>
      </c>
      <c r="S372" s="95" t="e">
        <f>IF(ISBLANK(N372),0,R372*ROUND(O372,2))</f>
        <v>#DIV/0!</v>
      </c>
      <c r="T372" s="24" t="e">
        <f>ROUND(Q372,2)*R372</f>
        <v>#DIV/0!</v>
      </c>
      <c r="U372" s="95" t="e">
        <f>R372*dagenperjaar1</f>
        <v>#DIV/0!</v>
      </c>
      <c r="V372" s="25" t="e">
        <f>U372*ROUND(Q372,2)</f>
        <v>#DIV/0!</v>
      </c>
    </row>
    <row r="373" spans="1:22" x14ac:dyDescent="0.2">
      <c r="A373" s="92" t="s">
        <v>527</v>
      </c>
      <c r="B373" s="93" t="s">
        <v>47</v>
      </c>
      <c r="C373" s="93" t="s">
        <v>394</v>
      </c>
      <c r="D373" s="93" t="s">
        <v>454</v>
      </c>
      <c r="E373" s="94" t="s">
        <v>533</v>
      </c>
      <c r="F373" s="93" t="s">
        <v>441</v>
      </c>
      <c r="G373" s="93" t="s">
        <v>300</v>
      </c>
      <c r="H373" s="93" t="s">
        <v>13</v>
      </c>
      <c r="I373" s="93" t="s">
        <v>255</v>
      </c>
      <c r="J373" s="93" t="s">
        <v>47</v>
      </c>
      <c r="K373" s="93"/>
      <c r="L373" s="95">
        <v>237</v>
      </c>
      <c r="M373" s="95">
        <f>L373*VLOOKUP(H373,dagsoorttabel1,2,FALSE)</f>
        <v>185.88235294117646</v>
      </c>
      <c r="N373" s="96">
        <f>prodnorm70</f>
        <v>0</v>
      </c>
      <c r="O373" s="37">
        <f>dagwerk70</f>
        <v>0</v>
      </c>
      <c r="P373" s="93" t="s">
        <v>105</v>
      </c>
      <c r="Q373" s="24">
        <f>uurtarief70</f>
        <v>0</v>
      </c>
      <c r="R373" s="95" t="e">
        <f>IF(ISBLANK(N373),0,M373/ROUND(N373,4))</f>
        <v>#DIV/0!</v>
      </c>
      <c r="S373" s="95" t="e">
        <f>IF(ISBLANK(N373),0,R373*ROUND(O373,2))</f>
        <v>#DIV/0!</v>
      </c>
      <c r="T373" s="24" t="e">
        <f>ROUND(Q373,2)*R373</f>
        <v>#DIV/0!</v>
      </c>
      <c r="U373" s="95" t="e">
        <f>R373*dagenperjaar1</f>
        <v>#DIV/0!</v>
      </c>
      <c r="V373" s="25" t="e">
        <f>U373*ROUND(Q373,2)</f>
        <v>#DIV/0!</v>
      </c>
    </row>
    <row r="374" spans="1:22" x14ac:dyDescent="0.2">
      <c r="A374" s="92" t="s">
        <v>527</v>
      </c>
      <c r="B374" s="93" t="s">
        <v>47</v>
      </c>
      <c r="C374" s="93" t="s">
        <v>394</v>
      </c>
      <c r="D374" s="93" t="s">
        <v>534</v>
      </c>
      <c r="E374" s="94" t="s">
        <v>525</v>
      </c>
      <c r="F374" s="93" t="s">
        <v>441</v>
      </c>
      <c r="G374" s="93" t="s">
        <v>270</v>
      </c>
      <c r="H374" s="93" t="s">
        <v>13</v>
      </c>
      <c r="I374" s="93" t="s">
        <v>255</v>
      </c>
      <c r="J374" s="93" t="s">
        <v>47</v>
      </c>
      <c r="K374" s="93"/>
      <c r="L374" s="95">
        <v>10.8</v>
      </c>
      <c r="M374" s="95">
        <f>L374*VLOOKUP(H374,dagsoorttabel1,2,FALSE)</f>
        <v>8.4705882352941178</v>
      </c>
      <c r="N374" s="96">
        <f>prodnorm43</f>
        <v>0</v>
      </c>
      <c r="O374" s="37">
        <f>dagwerk43</f>
        <v>0</v>
      </c>
      <c r="P374" s="93" t="s">
        <v>105</v>
      </c>
      <c r="Q374" s="24">
        <f>uurtarief43</f>
        <v>0</v>
      </c>
      <c r="R374" s="95" t="e">
        <f>IF(ISBLANK(N374),0,M374/ROUND(N374,4))</f>
        <v>#DIV/0!</v>
      </c>
      <c r="S374" s="95" t="e">
        <f>IF(ISBLANK(N374),0,R374*ROUND(O374,2))</f>
        <v>#DIV/0!</v>
      </c>
      <c r="T374" s="24" t="e">
        <f>ROUND(Q374,2)*R374</f>
        <v>#DIV/0!</v>
      </c>
      <c r="U374" s="95" t="e">
        <f>R374*dagenperjaar1</f>
        <v>#DIV/0!</v>
      </c>
      <c r="V374" s="25" t="e">
        <f>U374*ROUND(Q374,2)</f>
        <v>#DIV/0!</v>
      </c>
    </row>
    <row r="375" spans="1:22" x14ac:dyDescent="0.2">
      <c r="A375" s="92" t="s">
        <v>527</v>
      </c>
      <c r="B375" s="93" t="s">
        <v>47</v>
      </c>
      <c r="C375" s="93" t="s">
        <v>394</v>
      </c>
      <c r="D375" s="93" t="s">
        <v>535</v>
      </c>
      <c r="E375" s="94" t="s">
        <v>459</v>
      </c>
      <c r="F375" s="93" t="s">
        <v>441</v>
      </c>
      <c r="G375" s="93" t="s">
        <v>314</v>
      </c>
      <c r="H375" s="93" t="s">
        <v>13</v>
      </c>
      <c r="I375" s="93" t="s">
        <v>255</v>
      </c>
      <c r="J375" s="93" t="s">
        <v>47</v>
      </c>
      <c r="K375" s="93"/>
      <c r="L375" s="95">
        <v>33.799999999999997</v>
      </c>
      <c r="M375" s="95">
        <f>L375*VLOOKUP(H375,dagsoorttabel1,2,FALSE)</f>
        <v>26.509803921568626</v>
      </c>
      <c r="N375" s="96">
        <f>prodnorm88</f>
        <v>0</v>
      </c>
      <c r="O375" s="37">
        <f>dagwerk88</f>
        <v>0</v>
      </c>
      <c r="P375" s="93" t="s">
        <v>105</v>
      </c>
      <c r="Q375" s="24">
        <f>uurtarief88</f>
        <v>0</v>
      </c>
      <c r="R375" s="95" t="e">
        <f>IF(ISBLANK(N375),0,M375/ROUND(N375,4))</f>
        <v>#DIV/0!</v>
      </c>
      <c r="S375" s="95" t="e">
        <f>IF(ISBLANK(N375),0,R375*ROUND(O375,2))</f>
        <v>#DIV/0!</v>
      </c>
      <c r="T375" s="24" t="e">
        <f>ROUND(Q375,2)*R375</f>
        <v>#DIV/0!</v>
      </c>
      <c r="U375" s="95" t="e">
        <f>R375*dagenperjaar1</f>
        <v>#DIV/0!</v>
      </c>
      <c r="V375" s="25" t="e">
        <f>U375*ROUND(Q375,2)</f>
        <v>#DIV/0!</v>
      </c>
    </row>
    <row r="376" spans="1:22" x14ac:dyDescent="0.2">
      <c r="A376" s="92" t="s">
        <v>527</v>
      </c>
      <c r="B376" s="93" t="s">
        <v>47</v>
      </c>
      <c r="C376" s="93" t="s">
        <v>394</v>
      </c>
      <c r="D376" s="93" t="s">
        <v>536</v>
      </c>
      <c r="E376" s="94" t="s">
        <v>459</v>
      </c>
      <c r="F376" s="93" t="s">
        <v>441</v>
      </c>
      <c r="G376" s="93" t="s">
        <v>314</v>
      </c>
      <c r="H376" s="93" t="s">
        <v>13</v>
      </c>
      <c r="I376" s="93" t="s">
        <v>255</v>
      </c>
      <c r="J376" s="93" t="s">
        <v>47</v>
      </c>
      <c r="K376" s="93"/>
      <c r="L376" s="95">
        <v>21.9</v>
      </c>
      <c r="M376" s="95">
        <f>L376*VLOOKUP(H376,dagsoorttabel1,2,FALSE)</f>
        <v>17.176470588235293</v>
      </c>
      <c r="N376" s="96">
        <f>prodnorm88</f>
        <v>0</v>
      </c>
      <c r="O376" s="37">
        <f>dagwerk88</f>
        <v>0</v>
      </c>
      <c r="P376" s="93" t="s">
        <v>105</v>
      </c>
      <c r="Q376" s="24">
        <f>uurtarief88</f>
        <v>0</v>
      </c>
      <c r="R376" s="95" t="e">
        <f>IF(ISBLANK(N376),0,M376/ROUND(N376,4))</f>
        <v>#DIV/0!</v>
      </c>
      <c r="S376" s="95" t="e">
        <f>IF(ISBLANK(N376),0,R376*ROUND(O376,2))</f>
        <v>#DIV/0!</v>
      </c>
      <c r="T376" s="24" t="e">
        <f>ROUND(Q376,2)*R376</f>
        <v>#DIV/0!</v>
      </c>
      <c r="U376" s="95" t="e">
        <f>R376*dagenperjaar1</f>
        <v>#DIV/0!</v>
      </c>
      <c r="V376" s="25" t="e">
        <f>U376*ROUND(Q376,2)</f>
        <v>#DIV/0!</v>
      </c>
    </row>
    <row r="377" spans="1:22" x14ac:dyDescent="0.2">
      <c r="A377" s="92" t="s">
        <v>527</v>
      </c>
      <c r="B377" s="93" t="s">
        <v>47</v>
      </c>
      <c r="C377" s="93" t="s">
        <v>394</v>
      </c>
      <c r="D377" s="93" t="s">
        <v>537</v>
      </c>
      <c r="E377" s="94" t="s">
        <v>459</v>
      </c>
      <c r="F377" s="93" t="s">
        <v>441</v>
      </c>
      <c r="G377" s="93" t="s">
        <v>314</v>
      </c>
      <c r="H377" s="93" t="s">
        <v>13</v>
      </c>
      <c r="I377" s="93" t="s">
        <v>255</v>
      </c>
      <c r="J377" s="93" t="s">
        <v>47</v>
      </c>
      <c r="K377" s="93"/>
      <c r="L377" s="95">
        <v>56.7</v>
      </c>
      <c r="M377" s="95">
        <f>L377*VLOOKUP(H377,dagsoorttabel1,2,FALSE)</f>
        <v>44.470588235294116</v>
      </c>
      <c r="N377" s="96">
        <f>prodnorm88</f>
        <v>0</v>
      </c>
      <c r="O377" s="37">
        <f>dagwerk88</f>
        <v>0</v>
      </c>
      <c r="P377" s="93" t="s">
        <v>105</v>
      </c>
      <c r="Q377" s="24">
        <f>uurtarief88</f>
        <v>0</v>
      </c>
      <c r="R377" s="95" t="e">
        <f>IF(ISBLANK(N377),0,M377/ROUND(N377,4))</f>
        <v>#DIV/0!</v>
      </c>
      <c r="S377" s="95" t="e">
        <f>IF(ISBLANK(N377),0,R377*ROUND(O377,2))</f>
        <v>#DIV/0!</v>
      </c>
      <c r="T377" s="24" t="e">
        <f>ROUND(Q377,2)*R377</f>
        <v>#DIV/0!</v>
      </c>
      <c r="U377" s="95" t="e">
        <f>R377*dagenperjaar1</f>
        <v>#DIV/0!</v>
      </c>
      <c r="V377" s="25" t="e">
        <f>U377*ROUND(Q377,2)</f>
        <v>#DIV/0!</v>
      </c>
    </row>
    <row r="378" spans="1:22" x14ac:dyDescent="0.2">
      <c r="A378" s="92" t="s">
        <v>527</v>
      </c>
      <c r="B378" s="93" t="s">
        <v>47</v>
      </c>
      <c r="C378" s="93" t="s">
        <v>394</v>
      </c>
      <c r="D378" s="93" t="s">
        <v>538</v>
      </c>
      <c r="E378" s="94" t="s">
        <v>532</v>
      </c>
      <c r="F378" s="93" t="s">
        <v>441</v>
      </c>
      <c r="G378" s="93" t="s">
        <v>259</v>
      </c>
      <c r="H378" s="93" t="s">
        <v>13</v>
      </c>
      <c r="I378" s="93" t="s">
        <v>255</v>
      </c>
      <c r="J378" s="93" t="s">
        <v>47</v>
      </c>
      <c r="K378" s="93"/>
      <c r="L378" s="95">
        <v>11.3</v>
      </c>
      <c r="M378" s="95">
        <f>L378*VLOOKUP(H378,dagsoorttabel1,2,FALSE)</f>
        <v>8.8627450980392162</v>
      </c>
      <c r="N378" s="96">
        <f>prodnorm31</f>
        <v>0</v>
      </c>
      <c r="O378" s="37">
        <f>dagwerk31</f>
        <v>0</v>
      </c>
      <c r="P378" s="93" t="s">
        <v>105</v>
      </c>
      <c r="Q378" s="24">
        <f>uurtarief31</f>
        <v>0</v>
      </c>
      <c r="R378" s="95" t="e">
        <f>IF(ISBLANK(N378),0,M378/ROUND(N378,4))</f>
        <v>#DIV/0!</v>
      </c>
      <c r="S378" s="95" t="e">
        <f>IF(ISBLANK(N378),0,R378*ROUND(O378,2))</f>
        <v>#DIV/0!</v>
      </c>
      <c r="T378" s="24" t="e">
        <f>ROUND(Q378,2)*R378</f>
        <v>#DIV/0!</v>
      </c>
      <c r="U378" s="95" t="e">
        <f>R378*dagenperjaar1</f>
        <v>#DIV/0!</v>
      </c>
      <c r="V378" s="25" t="e">
        <f>U378*ROUND(Q378,2)</f>
        <v>#DIV/0!</v>
      </c>
    </row>
    <row r="379" spans="1:22" x14ac:dyDescent="0.2">
      <c r="A379" s="92" t="s">
        <v>527</v>
      </c>
      <c r="B379" s="93" t="s">
        <v>47</v>
      </c>
      <c r="C379" s="93" t="s">
        <v>394</v>
      </c>
      <c r="D379" s="93" t="s">
        <v>539</v>
      </c>
      <c r="E379" s="94" t="s">
        <v>532</v>
      </c>
      <c r="F379" s="93" t="s">
        <v>441</v>
      </c>
      <c r="G379" s="93" t="s">
        <v>259</v>
      </c>
      <c r="H379" s="93" t="s">
        <v>13</v>
      </c>
      <c r="I379" s="93" t="s">
        <v>255</v>
      </c>
      <c r="J379" s="93" t="s">
        <v>47</v>
      </c>
      <c r="K379" s="93"/>
      <c r="L379" s="95">
        <v>10.8</v>
      </c>
      <c r="M379" s="95">
        <f>L379*VLOOKUP(H379,dagsoorttabel1,2,FALSE)</f>
        <v>8.4705882352941178</v>
      </c>
      <c r="N379" s="96">
        <f>prodnorm31</f>
        <v>0</v>
      </c>
      <c r="O379" s="37">
        <f>dagwerk31</f>
        <v>0</v>
      </c>
      <c r="P379" s="93" t="s">
        <v>105</v>
      </c>
      <c r="Q379" s="24">
        <f>uurtarief31</f>
        <v>0</v>
      </c>
      <c r="R379" s="95" t="e">
        <f>IF(ISBLANK(N379),0,M379/ROUND(N379,4))</f>
        <v>#DIV/0!</v>
      </c>
      <c r="S379" s="95" t="e">
        <f>IF(ISBLANK(N379),0,R379*ROUND(O379,2))</f>
        <v>#DIV/0!</v>
      </c>
      <c r="T379" s="24" t="e">
        <f>ROUND(Q379,2)*R379</f>
        <v>#DIV/0!</v>
      </c>
      <c r="U379" s="95" t="e">
        <f>R379*dagenperjaar1</f>
        <v>#DIV/0!</v>
      </c>
      <c r="V379" s="25" t="e">
        <f>U379*ROUND(Q379,2)</f>
        <v>#DIV/0!</v>
      </c>
    </row>
    <row r="380" spans="1:22" x14ac:dyDescent="0.2">
      <c r="A380" s="92" t="s">
        <v>527</v>
      </c>
      <c r="B380" s="93" t="s">
        <v>47</v>
      </c>
      <c r="C380" s="93" t="s">
        <v>394</v>
      </c>
      <c r="D380" s="93" t="s">
        <v>540</v>
      </c>
      <c r="E380" s="94" t="s">
        <v>532</v>
      </c>
      <c r="F380" s="93" t="s">
        <v>441</v>
      </c>
      <c r="G380" s="93" t="s">
        <v>259</v>
      </c>
      <c r="H380" s="93" t="s">
        <v>13</v>
      </c>
      <c r="I380" s="93" t="s">
        <v>255</v>
      </c>
      <c r="J380" s="93" t="s">
        <v>47</v>
      </c>
      <c r="K380" s="93"/>
      <c r="L380" s="95">
        <v>23.3</v>
      </c>
      <c r="M380" s="95">
        <f>L380*VLOOKUP(H380,dagsoorttabel1,2,FALSE)</f>
        <v>18.274509803921568</v>
      </c>
      <c r="N380" s="96">
        <f>prodnorm31</f>
        <v>0</v>
      </c>
      <c r="O380" s="37">
        <f>dagwerk31</f>
        <v>0</v>
      </c>
      <c r="P380" s="93" t="s">
        <v>105</v>
      </c>
      <c r="Q380" s="24">
        <f>uurtarief31</f>
        <v>0</v>
      </c>
      <c r="R380" s="95" t="e">
        <f>IF(ISBLANK(N380),0,M380/ROUND(N380,4))</f>
        <v>#DIV/0!</v>
      </c>
      <c r="S380" s="95" t="e">
        <f>IF(ISBLANK(N380),0,R380*ROUND(O380,2))</f>
        <v>#DIV/0!</v>
      </c>
      <c r="T380" s="24" t="e">
        <f>ROUND(Q380,2)*R380</f>
        <v>#DIV/0!</v>
      </c>
      <c r="U380" s="95" t="e">
        <f>R380*dagenperjaar1</f>
        <v>#DIV/0!</v>
      </c>
      <c r="V380" s="25" t="e">
        <f>U380*ROUND(Q380,2)</f>
        <v>#DIV/0!</v>
      </c>
    </row>
    <row r="381" spans="1:22" x14ac:dyDescent="0.2">
      <c r="A381" s="92" t="s">
        <v>527</v>
      </c>
      <c r="B381" s="93" t="s">
        <v>47</v>
      </c>
      <c r="C381" s="93" t="s">
        <v>394</v>
      </c>
      <c r="D381" s="93" t="s">
        <v>541</v>
      </c>
      <c r="E381" s="94" t="s">
        <v>532</v>
      </c>
      <c r="F381" s="93" t="s">
        <v>441</v>
      </c>
      <c r="G381" s="93" t="s">
        <v>259</v>
      </c>
      <c r="H381" s="93" t="s">
        <v>13</v>
      </c>
      <c r="I381" s="93" t="s">
        <v>255</v>
      </c>
      <c r="J381" s="93" t="s">
        <v>47</v>
      </c>
      <c r="K381" s="93"/>
      <c r="L381" s="95">
        <v>7.4</v>
      </c>
      <c r="M381" s="95">
        <f>L381*VLOOKUP(H381,dagsoorttabel1,2,FALSE)</f>
        <v>5.8039215686274508</v>
      </c>
      <c r="N381" s="96">
        <f>prodnorm31</f>
        <v>0</v>
      </c>
      <c r="O381" s="37">
        <f>dagwerk31</f>
        <v>0</v>
      </c>
      <c r="P381" s="93" t="s">
        <v>105</v>
      </c>
      <c r="Q381" s="24">
        <f>uurtarief31</f>
        <v>0</v>
      </c>
      <c r="R381" s="95" t="e">
        <f>IF(ISBLANK(N381),0,M381/ROUND(N381,4))</f>
        <v>#DIV/0!</v>
      </c>
      <c r="S381" s="95" t="e">
        <f>IF(ISBLANK(N381),0,R381*ROUND(O381,2))</f>
        <v>#DIV/0!</v>
      </c>
      <c r="T381" s="24" t="e">
        <f>ROUND(Q381,2)*R381</f>
        <v>#DIV/0!</v>
      </c>
      <c r="U381" s="95" t="e">
        <f>R381*dagenperjaar1</f>
        <v>#DIV/0!</v>
      </c>
      <c r="V381" s="25" t="e">
        <f>U381*ROUND(Q381,2)</f>
        <v>#DIV/0!</v>
      </c>
    </row>
    <row r="382" spans="1:22" x14ac:dyDescent="0.2">
      <c r="A382" s="92" t="s">
        <v>527</v>
      </c>
      <c r="B382" s="93" t="s">
        <v>47</v>
      </c>
      <c r="C382" s="93" t="s">
        <v>394</v>
      </c>
      <c r="D382" s="93" t="s">
        <v>542</v>
      </c>
      <c r="E382" s="94" t="s">
        <v>531</v>
      </c>
      <c r="F382" s="93" t="s">
        <v>441</v>
      </c>
      <c r="G382" s="93" t="s">
        <v>308</v>
      </c>
      <c r="H382" s="93" t="s">
        <v>13</v>
      </c>
      <c r="I382" s="93" t="s">
        <v>255</v>
      </c>
      <c r="J382" s="93" t="s">
        <v>47</v>
      </c>
      <c r="K382" s="93"/>
      <c r="L382" s="95">
        <v>12.4</v>
      </c>
      <c r="M382" s="95">
        <f>L382*VLOOKUP(H382,dagsoorttabel1,2,FALSE)</f>
        <v>9.7254901960784323</v>
      </c>
      <c r="N382" s="96">
        <f>prodnorm81</f>
        <v>0</v>
      </c>
      <c r="O382" s="37">
        <f>dagwerk81</f>
        <v>0</v>
      </c>
      <c r="P382" s="93" t="s">
        <v>105</v>
      </c>
      <c r="Q382" s="24">
        <f>uurtarief81</f>
        <v>0</v>
      </c>
      <c r="R382" s="95" t="e">
        <f>IF(ISBLANK(N382),0,M382/ROUND(N382,4))</f>
        <v>#DIV/0!</v>
      </c>
      <c r="S382" s="95" t="e">
        <f>IF(ISBLANK(N382),0,R382*ROUND(O382,2))</f>
        <v>#DIV/0!</v>
      </c>
      <c r="T382" s="24" t="e">
        <f>ROUND(Q382,2)*R382</f>
        <v>#DIV/0!</v>
      </c>
      <c r="U382" s="95" t="e">
        <f>R382*dagenperjaar1</f>
        <v>#DIV/0!</v>
      </c>
      <c r="V382" s="25" t="e">
        <f>U382*ROUND(Q382,2)</f>
        <v>#DIV/0!</v>
      </c>
    </row>
    <row r="383" spans="1:22" x14ac:dyDescent="0.2">
      <c r="A383" s="92" t="s">
        <v>527</v>
      </c>
      <c r="B383" s="93" t="s">
        <v>47</v>
      </c>
      <c r="C383" s="93" t="s">
        <v>394</v>
      </c>
      <c r="D383" s="93" t="s">
        <v>543</v>
      </c>
      <c r="E383" s="94" t="s">
        <v>544</v>
      </c>
      <c r="F383" s="93" t="s">
        <v>441</v>
      </c>
      <c r="G383" s="93" t="s">
        <v>294</v>
      </c>
      <c r="H383" s="93" t="s">
        <v>13</v>
      </c>
      <c r="I383" s="93" t="s">
        <v>255</v>
      </c>
      <c r="J383" s="93" t="s">
        <v>47</v>
      </c>
      <c r="K383" s="93"/>
      <c r="L383" s="95">
        <v>9.5</v>
      </c>
      <c r="M383" s="95">
        <f>L383*VLOOKUP(H383,dagsoorttabel1,2,FALSE)</f>
        <v>7.4509803921568629</v>
      </c>
      <c r="N383" s="96">
        <f>prodnorm66</f>
        <v>0</v>
      </c>
      <c r="O383" s="37">
        <f>dagwerk66</f>
        <v>0</v>
      </c>
      <c r="P383" s="93" t="s">
        <v>105</v>
      </c>
      <c r="Q383" s="24">
        <f>uurtarief66</f>
        <v>0</v>
      </c>
      <c r="R383" s="95" t="e">
        <f>IF(ISBLANK(N383),0,M383/ROUND(N383,4))</f>
        <v>#DIV/0!</v>
      </c>
      <c r="S383" s="95" t="e">
        <f>IF(ISBLANK(N383),0,R383*ROUND(O383,2))</f>
        <v>#DIV/0!</v>
      </c>
      <c r="T383" s="24" t="e">
        <f>ROUND(Q383,2)*R383</f>
        <v>#DIV/0!</v>
      </c>
      <c r="U383" s="95" t="e">
        <f>R383*dagenperjaar1</f>
        <v>#DIV/0!</v>
      </c>
      <c r="V383" s="25" t="e">
        <f>U383*ROUND(Q383,2)</f>
        <v>#DIV/0!</v>
      </c>
    </row>
    <row r="384" spans="1:22" x14ac:dyDescent="0.2">
      <c r="A384" s="92" t="s">
        <v>527</v>
      </c>
      <c r="B384" s="93" t="s">
        <v>47</v>
      </c>
      <c r="C384" s="93" t="s">
        <v>394</v>
      </c>
      <c r="D384" s="93" t="s">
        <v>545</v>
      </c>
      <c r="E384" s="94" t="s">
        <v>423</v>
      </c>
      <c r="F384" s="93" t="s">
        <v>442</v>
      </c>
      <c r="G384" s="93" t="s">
        <v>304</v>
      </c>
      <c r="H384" s="93" t="s">
        <v>13</v>
      </c>
      <c r="I384" s="93" t="s">
        <v>255</v>
      </c>
      <c r="J384" s="93" t="s">
        <v>47</v>
      </c>
      <c r="K384" s="93"/>
      <c r="L384" s="95">
        <v>10.1</v>
      </c>
      <c r="M384" s="95">
        <f>L384*VLOOKUP(H384,dagsoorttabel1,2,FALSE)</f>
        <v>7.9215686274509798</v>
      </c>
      <c r="N384" s="96">
        <f>prodnorm74</f>
        <v>0</v>
      </c>
      <c r="O384" s="37">
        <f>dagwerk74</f>
        <v>0</v>
      </c>
      <c r="P384" s="93" t="s">
        <v>105</v>
      </c>
      <c r="Q384" s="24">
        <f>uurtarief74</f>
        <v>0</v>
      </c>
      <c r="R384" s="95" t="e">
        <f>IF(ISBLANK(N384),0,M384/ROUND(N384,4))</f>
        <v>#DIV/0!</v>
      </c>
      <c r="S384" s="95" t="e">
        <f>IF(ISBLANK(N384),0,R384*ROUND(O384,2))</f>
        <v>#DIV/0!</v>
      </c>
      <c r="T384" s="24" t="e">
        <f>ROUND(Q384,2)*R384</f>
        <v>#DIV/0!</v>
      </c>
      <c r="U384" s="95" t="e">
        <f>R384*dagenperjaar1</f>
        <v>#DIV/0!</v>
      </c>
      <c r="V384" s="25" t="e">
        <f>U384*ROUND(Q384,2)</f>
        <v>#DIV/0!</v>
      </c>
    </row>
    <row r="385" spans="1:22" x14ac:dyDescent="0.2">
      <c r="A385" s="92" t="s">
        <v>527</v>
      </c>
      <c r="B385" s="93" t="s">
        <v>47</v>
      </c>
      <c r="C385" s="93" t="s">
        <v>394</v>
      </c>
      <c r="D385" s="93" t="s">
        <v>545</v>
      </c>
      <c r="E385" s="94" t="s">
        <v>423</v>
      </c>
      <c r="F385" s="93" t="s">
        <v>442</v>
      </c>
      <c r="G385" s="93" t="s">
        <v>306</v>
      </c>
      <c r="H385" s="93" t="s">
        <v>13</v>
      </c>
      <c r="I385" s="93" t="s">
        <v>255</v>
      </c>
      <c r="J385" s="93" t="s">
        <v>47</v>
      </c>
      <c r="K385" s="93"/>
      <c r="L385" s="95">
        <v>10.1</v>
      </c>
      <c r="M385" s="95">
        <f>L385*VLOOKUP(H385,dagsoorttabel1,2,FALSE)</f>
        <v>7.9215686274509798</v>
      </c>
      <c r="N385" s="96">
        <f>prodnorm78</f>
        <v>0</v>
      </c>
      <c r="O385" s="37">
        <f>dagwerk78</f>
        <v>0</v>
      </c>
      <c r="P385" s="93" t="s">
        <v>105</v>
      </c>
      <c r="Q385" s="24">
        <f>uurtarief78</f>
        <v>0</v>
      </c>
      <c r="R385" s="95" t="e">
        <f>IF(ISBLANK(N385),0,M385/ROUND(N385,4))</f>
        <v>#DIV/0!</v>
      </c>
      <c r="S385" s="95" t="e">
        <f>IF(ISBLANK(N385),0,R385*ROUND(O385,2))</f>
        <v>#DIV/0!</v>
      </c>
      <c r="T385" s="24" t="e">
        <f>ROUND(Q385,2)*R385</f>
        <v>#DIV/0!</v>
      </c>
      <c r="U385" s="95" t="e">
        <f>R385*dagenperjaar1</f>
        <v>#DIV/0!</v>
      </c>
      <c r="V385" s="25" t="e">
        <f>U385*ROUND(Q385,2)</f>
        <v>#DIV/0!</v>
      </c>
    </row>
    <row r="386" spans="1:22" x14ac:dyDescent="0.2">
      <c r="A386" s="92" t="s">
        <v>527</v>
      </c>
      <c r="B386" s="93" t="s">
        <v>47</v>
      </c>
      <c r="C386" s="93" t="s">
        <v>394</v>
      </c>
      <c r="D386" s="93" t="s">
        <v>546</v>
      </c>
      <c r="E386" s="94" t="s">
        <v>533</v>
      </c>
      <c r="F386" s="93" t="s">
        <v>441</v>
      </c>
      <c r="G386" s="93" t="s">
        <v>300</v>
      </c>
      <c r="H386" s="93" t="s">
        <v>13</v>
      </c>
      <c r="I386" s="93" t="s">
        <v>255</v>
      </c>
      <c r="J386" s="93" t="s">
        <v>47</v>
      </c>
      <c r="K386" s="93"/>
      <c r="L386" s="95">
        <v>48.7</v>
      </c>
      <c r="M386" s="95">
        <f>L386*VLOOKUP(H386,dagsoorttabel1,2,FALSE)</f>
        <v>38.196078431372548</v>
      </c>
      <c r="N386" s="96">
        <f>prodnorm70</f>
        <v>0</v>
      </c>
      <c r="O386" s="37">
        <f>dagwerk70</f>
        <v>0</v>
      </c>
      <c r="P386" s="93" t="s">
        <v>105</v>
      </c>
      <c r="Q386" s="24">
        <f>uurtarief70</f>
        <v>0</v>
      </c>
      <c r="R386" s="95" t="e">
        <f>IF(ISBLANK(N386),0,M386/ROUND(N386,4))</f>
        <v>#DIV/0!</v>
      </c>
      <c r="S386" s="95" t="e">
        <f>IF(ISBLANK(N386),0,R386*ROUND(O386,2))</f>
        <v>#DIV/0!</v>
      </c>
      <c r="T386" s="24" t="e">
        <f>ROUND(Q386,2)*R386</f>
        <v>#DIV/0!</v>
      </c>
      <c r="U386" s="95" t="e">
        <f>R386*dagenperjaar1</f>
        <v>#DIV/0!</v>
      </c>
      <c r="V386" s="25" t="e">
        <f>U386*ROUND(Q386,2)</f>
        <v>#DIV/0!</v>
      </c>
    </row>
    <row r="387" spans="1:22" x14ac:dyDescent="0.2">
      <c r="A387" s="92" t="s">
        <v>527</v>
      </c>
      <c r="B387" s="93" t="s">
        <v>47</v>
      </c>
      <c r="C387" s="93" t="s">
        <v>394</v>
      </c>
      <c r="D387" s="93" t="s">
        <v>547</v>
      </c>
      <c r="E387" s="94" t="s">
        <v>423</v>
      </c>
      <c r="F387" s="93" t="s">
        <v>442</v>
      </c>
      <c r="G387" s="93" t="s">
        <v>304</v>
      </c>
      <c r="H387" s="93" t="s">
        <v>13</v>
      </c>
      <c r="I387" s="93" t="s">
        <v>255</v>
      </c>
      <c r="J387" s="93" t="s">
        <v>47</v>
      </c>
      <c r="K387" s="93"/>
      <c r="L387" s="95">
        <v>23.3</v>
      </c>
      <c r="M387" s="95">
        <f>L387*VLOOKUP(H387,dagsoorttabel1,2,FALSE)</f>
        <v>18.274509803921568</v>
      </c>
      <c r="N387" s="96">
        <f>prodnorm74</f>
        <v>0</v>
      </c>
      <c r="O387" s="37">
        <f>dagwerk74</f>
        <v>0</v>
      </c>
      <c r="P387" s="93" t="s">
        <v>105</v>
      </c>
      <c r="Q387" s="24">
        <f>uurtarief74</f>
        <v>0</v>
      </c>
      <c r="R387" s="95" t="e">
        <f>IF(ISBLANK(N387),0,M387/ROUND(N387,4))</f>
        <v>#DIV/0!</v>
      </c>
      <c r="S387" s="95" t="e">
        <f>IF(ISBLANK(N387),0,R387*ROUND(O387,2))</f>
        <v>#DIV/0!</v>
      </c>
      <c r="T387" s="24" t="e">
        <f>ROUND(Q387,2)*R387</f>
        <v>#DIV/0!</v>
      </c>
      <c r="U387" s="95" t="e">
        <f>R387*dagenperjaar1</f>
        <v>#DIV/0!</v>
      </c>
      <c r="V387" s="25" t="e">
        <f>U387*ROUND(Q387,2)</f>
        <v>#DIV/0!</v>
      </c>
    </row>
    <row r="388" spans="1:22" x14ac:dyDescent="0.2">
      <c r="A388" s="92" t="s">
        <v>527</v>
      </c>
      <c r="B388" s="93" t="s">
        <v>47</v>
      </c>
      <c r="C388" s="93" t="s">
        <v>394</v>
      </c>
      <c r="D388" s="93" t="s">
        <v>547</v>
      </c>
      <c r="E388" s="94" t="s">
        <v>423</v>
      </c>
      <c r="F388" s="93" t="s">
        <v>442</v>
      </c>
      <c r="G388" s="93" t="s">
        <v>306</v>
      </c>
      <c r="H388" s="93" t="s">
        <v>13</v>
      </c>
      <c r="I388" s="93" t="s">
        <v>255</v>
      </c>
      <c r="J388" s="93" t="s">
        <v>47</v>
      </c>
      <c r="K388" s="93"/>
      <c r="L388" s="95">
        <v>23.3</v>
      </c>
      <c r="M388" s="95">
        <f>L388*VLOOKUP(H388,dagsoorttabel1,2,FALSE)</f>
        <v>18.274509803921568</v>
      </c>
      <c r="N388" s="96">
        <f>prodnorm78</f>
        <v>0</v>
      </c>
      <c r="O388" s="37">
        <f>dagwerk78</f>
        <v>0</v>
      </c>
      <c r="P388" s="93" t="s">
        <v>105</v>
      </c>
      <c r="Q388" s="24">
        <f>uurtarief78</f>
        <v>0</v>
      </c>
      <c r="R388" s="95" t="e">
        <f>IF(ISBLANK(N388),0,M388/ROUND(N388,4))</f>
        <v>#DIV/0!</v>
      </c>
      <c r="S388" s="95" t="e">
        <f>IF(ISBLANK(N388),0,R388*ROUND(O388,2))</f>
        <v>#DIV/0!</v>
      </c>
      <c r="T388" s="24" t="e">
        <f>ROUND(Q388,2)*R388</f>
        <v>#DIV/0!</v>
      </c>
      <c r="U388" s="95" t="e">
        <f>R388*dagenperjaar1</f>
        <v>#DIV/0!</v>
      </c>
      <c r="V388" s="25" t="e">
        <f>U388*ROUND(Q388,2)</f>
        <v>#DIV/0!</v>
      </c>
    </row>
    <row r="389" spans="1:22" x14ac:dyDescent="0.2">
      <c r="A389" s="92" t="s">
        <v>527</v>
      </c>
      <c r="B389" s="93" t="s">
        <v>47</v>
      </c>
      <c r="C389" s="93" t="s">
        <v>394</v>
      </c>
      <c r="D389" s="93" t="s">
        <v>548</v>
      </c>
      <c r="E389" s="94" t="s">
        <v>531</v>
      </c>
      <c r="F389" s="93" t="s">
        <v>441</v>
      </c>
      <c r="G389" s="93" t="s">
        <v>308</v>
      </c>
      <c r="H389" s="93" t="s">
        <v>13</v>
      </c>
      <c r="I389" s="93" t="s">
        <v>255</v>
      </c>
      <c r="J389" s="93" t="s">
        <v>47</v>
      </c>
      <c r="K389" s="93"/>
      <c r="L389" s="95">
        <v>12.4</v>
      </c>
      <c r="M389" s="95">
        <f>L389*VLOOKUP(H389,dagsoorttabel1,2,FALSE)</f>
        <v>9.7254901960784323</v>
      </c>
      <c r="N389" s="96">
        <f>prodnorm81</f>
        <v>0</v>
      </c>
      <c r="O389" s="37">
        <f>dagwerk81</f>
        <v>0</v>
      </c>
      <c r="P389" s="93" t="s">
        <v>105</v>
      </c>
      <c r="Q389" s="24">
        <f>uurtarief81</f>
        <v>0</v>
      </c>
      <c r="R389" s="95" t="e">
        <f>IF(ISBLANK(N389),0,M389/ROUND(N389,4))</f>
        <v>#DIV/0!</v>
      </c>
      <c r="S389" s="95" t="e">
        <f>IF(ISBLANK(N389),0,R389*ROUND(O389,2))</f>
        <v>#DIV/0!</v>
      </c>
      <c r="T389" s="24" t="e">
        <f>ROUND(Q389,2)*R389</f>
        <v>#DIV/0!</v>
      </c>
      <c r="U389" s="95" t="e">
        <f>R389*dagenperjaar1</f>
        <v>#DIV/0!</v>
      </c>
      <c r="V389" s="25" t="e">
        <f>U389*ROUND(Q389,2)</f>
        <v>#DIV/0!</v>
      </c>
    </row>
    <row r="390" spans="1:22" x14ac:dyDescent="0.2">
      <c r="A390" s="92" t="s">
        <v>527</v>
      </c>
      <c r="B390" s="93" t="s">
        <v>47</v>
      </c>
      <c r="C390" s="93" t="s">
        <v>394</v>
      </c>
      <c r="D390" s="93" t="s">
        <v>549</v>
      </c>
      <c r="E390" s="94" t="s">
        <v>529</v>
      </c>
      <c r="F390" s="93" t="s">
        <v>441</v>
      </c>
      <c r="G390" s="93" t="s">
        <v>259</v>
      </c>
      <c r="H390" s="93" t="s">
        <v>13</v>
      </c>
      <c r="I390" s="93" t="s">
        <v>255</v>
      </c>
      <c r="J390" s="93" t="s">
        <v>47</v>
      </c>
      <c r="K390" s="93"/>
      <c r="L390" s="95">
        <v>45.8</v>
      </c>
      <c r="M390" s="95">
        <f>L390*VLOOKUP(H390,dagsoorttabel1,2,FALSE)</f>
        <v>35.921568627450981</v>
      </c>
      <c r="N390" s="96">
        <f>prodnorm31</f>
        <v>0</v>
      </c>
      <c r="O390" s="37">
        <f>dagwerk31</f>
        <v>0</v>
      </c>
      <c r="P390" s="93" t="s">
        <v>105</v>
      </c>
      <c r="Q390" s="24">
        <f>uurtarief31</f>
        <v>0</v>
      </c>
      <c r="R390" s="95" t="e">
        <f>IF(ISBLANK(N390),0,M390/ROUND(N390,4))</f>
        <v>#DIV/0!</v>
      </c>
      <c r="S390" s="95" t="e">
        <f>IF(ISBLANK(N390),0,R390*ROUND(O390,2))</f>
        <v>#DIV/0!</v>
      </c>
      <c r="T390" s="24" t="e">
        <f>ROUND(Q390,2)*R390</f>
        <v>#DIV/0!</v>
      </c>
      <c r="U390" s="95" t="e">
        <f>R390*dagenperjaar1</f>
        <v>#DIV/0!</v>
      </c>
      <c r="V390" s="25" t="e">
        <f>U390*ROUND(Q390,2)</f>
        <v>#DIV/0!</v>
      </c>
    </row>
    <row r="391" spans="1:22" x14ac:dyDescent="0.2">
      <c r="A391" s="92" t="s">
        <v>527</v>
      </c>
      <c r="B391" s="93" t="s">
        <v>47</v>
      </c>
      <c r="C391" s="93" t="s">
        <v>394</v>
      </c>
      <c r="D391" s="93" t="s">
        <v>550</v>
      </c>
      <c r="E391" s="94" t="s">
        <v>529</v>
      </c>
      <c r="F391" s="93" t="s">
        <v>441</v>
      </c>
      <c r="G391" s="93" t="s">
        <v>288</v>
      </c>
      <c r="H391" s="93" t="s">
        <v>13</v>
      </c>
      <c r="I391" s="93" t="s">
        <v>255</v>
      </c>
      <c r="J391" s="93" t="s">
        <v>47</v>
      </c>
      <c r="K391" s="93"/>
      <c r="L391" s="95">
        <v>45.5</v>
      </c>
      <c r="M391" s="95">
        <f>L391*VLOOKUP(H391,dagsoorttabel1,2,FALSE)</f>
        <v>35.686274509803923</v>
      </c>
      <c r="N391" s="96">
        <f>prodnorm62</f>
        <v>0</v>
      </c>
      <c r="O391" s="37">
        <f>dagwerk62</f>
        <v>0</v>
      </c>
      <c r="P391" s="93" t="s">
        <v>105</v>
      </c>
      <c r="Q391" s="24">
        <f>uurtarief62</f>
        <v>0</v>
      </c>
      <c r="R391" s="95" t="e">
        <f>IF(ISBLANK(N391),0,M391/ROUND(N391,4))</f>
        <v>#DIV/0!</v>
      </c>
      <c r="S391" s="95" t="e">
        <f>IF(ISBLANK(N391),0,R391*ROUND(O391,2))</f>
        <v>#DIV/0!</v>
      </c>
      <c r="T391" s="24" t="e">
        <f>ROUND(Q391,2)*R391</f>
        <v>#DIV/0!</v>
      </c>
      <c r="U391" s="95" t="e">
        <f>R391*dagenperjaar1</f>
        <v>#DIV/0!</v>
      </c>
      <c r="V391" s="25" t="e">
        <f>U391*ROUND(Q391,2)</f>
        <v>#DIV/0!</v>
      </c>
    </row>
    <row r="392" spans="1:22" x14ac:dyDescent="0.2">
      <c r="A392" s="92" t="s">
        <v>527</v>
      </c>
      <c r="B392" s="93" t="s">
        <v>47</v>
      </c>
      <c r="C392" s="93" t="s">
        <v>394</v>
      </c>
      <c r="D392" s="93" t="s">
        <v>551</v>
      </c>
      <c r="E392" s="94" t="s">
        <v>533</v>
      </c>
      <c r="F392" s="93" t="s">
        <v>441</v>
      </c>
      <c r="G392" s="93" t="s">
        <v>300</v>
      </c>
      <c r="H392" s="93" t="s">
        <v>13</v>
      </c>
      <c r="I392" s="93" t="s">
        <v>255</v>
      </c>
      <c r="J392" s="93" t="s">
        <v>47</v>
      </c>
      <c r="K392" s="93"/>
      <c r="L392" s="95">
        <v>170</v>
      </c>
      <c r="M392" s="95">
        <f>L392*VLOOKUP(H392,dagsoorttabel1,2,FALSE)</f>
        <v>133.33333333333334</v>
      </c>
      <c r="N392" s="96">
        <f>prodnorm70</f>
        <v>0</v>
      </c>
      <c r="O392" s="37">
        <f>dagwerk70</f>
        <v>0</v>
      </c>
      <c r="P392" s="93" t="s">
        <v>105</v>
      </c>
      <c r="Q392" s="24">
        <f>uurtarief70</f>
        <v>0</v>
      </c>
      <c r="R392" s="95" t="e">
        <f>IF(ISBLANK(N392),0,M392/ROUND(N392,4))</f>
        <v>#DIV/0!</v>
      </c>
      <c r="S392" s="95" t="e">
        <f>IF(ISBLANK(N392),0,R392*ROUND(O392,2))</f>
        <v>#DIV/0!</v>
      </c>
      <c r="T392" s="24" t="e">
        <f>ROUND(Q392,2)*R392</f>
        <v>#DIV/0!</v>
      </c>
      <c r="U392" s="95" t="e">
        <f>R392*dagenperjaar1</f>
        <v>#DIV/0!</v>
      </c>
      <c r="V392" s="25" t="e">
        <f>U392*ROUND(Q392,2)</f>
        <v>#DIV/0!</v>
      </c>
    </row>
    <row r="393" spans="1:22" x14ac:dyDescent="0.2">
      <c r="A393" s="92" t="s">
        <v>527</v>
      </c>
      <c r="B393" s="93" t="s">
        <v>47</v>
      </c>
      <c r="C393" s="93" t="s">
        <v>394</v>
      </c>
      <c r="D393" s="93" t="s">
        <v>552</v>
      </c>
      <c r="E393" s="94" t="s">
        <v>459</v>
      </c>
      <c r="F393" s="93" t="s">
        <v>441</v>
      </c>
      <c r="G393" s="93" t="s">
        <v>314</v>
      </c>
      <c r="H393" s="93" t="s">
        <v>13</v>
      </c>
      <c r="I393" s="93" t="s">
        <v>255</v>
      </c>
      <c r="J393" s="93" t="s">
        <v>47</v>
      </c>
      <c r="K393" s="93"/>
      <c r="L393" s="95">
        <v>89.8</v>
      </c>
      <c r="M393" s="95">
        <f>L393*VLOOKUP(H393,dagsoorttabel1,2,FALSE)</f>
        <v>70.431372549019599</v>
      </c>
      <c r="N393" s="96">
        <f>prodnorm88</f>
        <v>0</v>
      </c>
      <c r="O393" s="37">
        <f>dagwerk88</f>
        <v>0</v>
      </c>
      <c r="P393" s="93" t="s">
        <v>105</v>
      </c>
      <c r="Q393" s="24">
        <f>uurtarief88</f>
        <v>0</v>
      </c>
      <c r="R393" s="95" t="e">
        <f>IF(ISBLANK(N393),0,M393/ROUND(N393,4))</f>
        <v>#DIV/0!</v>
      </c>
      <c r="S393" s="95" t="e">
        <f>IF(ISBLANK(N393),0,R393*ROUND(O393,2))</f>
        <v>#DIV/0!</v>
      </c>
      <c r="T393" s="24" t="e">
        <f>ROUND(Q393,2)*R393</f>
        <v>#DIV/0!</v>
      </c>
      <c r="U393" s="95" t="e">
        <f>R393*dagenperjaar1</f>
        <v>#DIV/0!</v>
      </c>
      <c r="V393" s="25" t="e">
        <f>U393*ROUND(Q393,2)</f>
        <v>#DIV/0!</v>
      </c>
    </row>
    <row r="394" spans="1:22" x14ac:dyDescent="0.2">
      <c r="A394" s="92" t="s">
        <v>527</v>
      </c>
      <c r="B394" s="93" t="s">
        <v>47</v>
      </c>
      <c r="C394" s="93" t="s">
        <v>394</v>
      </c>
      <c r="D394" s="93" t="s">
        <v>553</v>
      </c>
      <c r="E394" s="94" t="s">
        <v>459</v>
      </c>
      <c r="F394" s="93" t="s">
        <v>441</v>
      </c>
      <c r="G394" s="93" t="s">
        <v>314</v>
      </c>
      <c r="H394" s="93" t="s">
        <v>13</v>
      </c>
      <c r="I394" s="93" t="s">
        <v>255</v>
      </c>
      <c r="J394" s="93" t="s">
        <v>47</v>
      </c>
      <c r="K394" s="93"/>
      <c r="L394" s="95">
        <v>26.7</v>
      </c>
      <c r="M394" s="95">
        <f>L394*VLOOKUP(H394,dagsoorttabel1,2,FALSE)</f>
        <v>20.941176470588236</v>
      </c>
      <c r="N394" s="96">
        <f>prodnorm88</f>
        <v>0</v>
      </c>
      <c r="O394" s="37">
        <f>dagwerk88</f>
        <v>0</v>
      </c>
      <c r="P394" s="93" t="s">
        <v>105</v>
      </c>
      <c r="Q394" s="24">
        <f>uurtarief88</f>
        <v>0</v>
      </c>
      <c r="R394" s="95" t="e">
        <f>IF(ISBLANK(N394),0,M394/ROUND(N394,4))</f>
        <v>#DIV/0!</v>
      </c>
      <c r="S394" s="95" t="e">
        <f>IF(ISBLANK(N394),0,R394*ROUND(O394,2))</f>
        <v>#DIV/0!</v>
      </c>
      <c r="T394" s="24" t="e">
        <f>ROUND(Q394,2)*R394</f>
        <v>#DIV/0!</v>
      </c>
      <c r="U394" s="95" t="e">
        <f>R394*dagenperjaar1</f>
        <v>#DIV/0!</v>
      </c>
      <c r="V394" s="25" t="e">
        <f>U394*ROUND(Q394,2)</f>
        <v>#DIV/0!</v>
      </c>
    </row>
    <row r="395" spans="1:22" x14ac:dyDescent="0.2">
      <c r="A395" s="92" t="s">
        <v>527</v>
      </c>
      <c r="B395" s="93" t="s">
        <v>47</v>
      </c>
      <c r="C395" s="93" t="s">
        <v>394</v>
      </c>
      <c r="D395" s="93" t="s">
        <v>554</v>
      </c>
      <c r="E395" s="94" t="s">
        <v>532</v>
      </c>
      <c r="F395" s="93" t="s">
        <v>441</v>
      </c>
      <c r="G395" s="93" t="s">
        <v>259</v>
      </c>
      <c r="H395" s="93" t="s">
        <v>13</v>
      </c>
      <c r="I395" s="93" t="s">
        <v>255</v>
      </c>
      <c r="J395" s="93" t="s">
        <v>47</v>
      </c>
      <c r="K395" s="93"/>
      <c r="L395" s="95">
        <v>23.3</v>
      </c>
      <c r="M395" s="95">
        <f>L395*VLOOKUP(H395,dagsoorttabel1,2,FALSE)</f>
        <v>18.274509803921568</v>
      </c>
      <c r="N395" s="96">
        <f>prodnorm31</f>
        <v>0</v>
      </c>
      <c r="O395" s="37">
        <f>dagwerk31</f>
        <v>0</v>
      </c>
      <c r="P395" s="93" t="s">
        <v>105</v>
      </c>
      <c r="Q395" s="24">
        <f>uurtarief31</f>
        <v>0</v>
      </c>
      <c r="R395" s="95" t="e">
        <f>IF(ISBLANK(N395),0,M395/ROUND(N395,4))</f>
        <v>#DIV/0!</v>
      </c>
      <c r="S395" s="95" t="e">
        <f>IF(ISBLANK(N395),0,R395*ROUND(O395,2))</f>
        <v>#DIV/0!</v>
      </c>
      <c r="T395" s="24" t="e">
        <f>ROUND(Q395,2)*R395</f>
        <v>#DIV/0!</v>
      </c>
      <c r="U395" s="95" t="e">
        <f>R395*dagenperjaar1</f>
        <v>#DIV/0!</v>
      </c>
      <c r="V395" s="25" t="e">
        <f>U395*ROUND(Q395,2)</f>
        <v>#DIV/0!</v>
      </c>
    </row>
    <row r="396" spans="1:22" x14ac:dyDescent="0.2">
      <c r="A396" s="92" t="s">
        <v>527</v>
      </c>
      <c r="B396" s="93" t="s">
        <v>47</v>
      </c>
      <c r="C396" s="93" t="s">
        <v>394</v>
      </c>
      <c r="D396" s="93" t="s">
        <v>555</v>
      </c>
      <c r="E396" s="94" t="s">
        <v>532</v>
      </c>
      <c r="F396" s="93" t="s">
        <v>441</v>
      </c>
      <c r="G396" s="93" t="s">
        <v>259</v>
      </c>
      <c r="H396" s="93" t="s">
        <v>13</v>
      </c>
      <c r="I396" s="93" t="s">
        <v>255</v>
      </c>
      <c r="J396" s="93" t="s">
        <v>47</v>
      </c>
      <c r="K396" s="93"/>
      <c r="L396" s="95">
        <v>23.3</v>
      </c>
      <c r="M396" s="95">
        <f>L396*VLOOKUP(H396,dagsoorttabel1,2,FALSE)</f>
        <v>18.274509803921568</v>
      </c>
      <c r="N396" s="96">
        <f>prodnorm31</f>
        <v>0</v>
      </c>
      <c r="O396" s="37">
        <f>dagwerk31</f>
        <v>0</v>
      </c>
      <c r="P396" s="93" t="s">
        <v>105</v>
      </c>
      <c r="Q396" s="24">
        <f>uurtarief31</f>
        <v>0</v>
      </c>
      <c r="R396" s="95" t="e">
        <f>IF(ISBLANK(N396),0,M396/ROUND(N396,4))</f>
        <v>#DIV/0!</v>
      </c>
      <c r="S396" s="95" t="e">
        <f>IF(ISBLANK(N396),0,R396*ROUND(O396,2))</f>
        <v>#DIV/0!</v>
      </c>
      <c r="T396" s="24" t="e">
        <f>ROUND(Q396,2)*R396</f>
        <v>#DIV/0!</v>
      </c>
      <c r="U396" s="95" t="e">
        <f>R396*dagenperjaar1</f>
        <v>#DIV/0!</v>
      </c>
      <c r="V396" s="25" t="e">
        <f>U396*ROUND(Q396,2)</f>
        <v>#DIV/0!</v>
      </c>
    </row>
    <row r="397" spans="1:22" x14ac:dyDescent="0.2">
      <c r="A397" s="92" t="s">
        <v>527</v>
      </c>
      <c r="B397" s="93" t="s">
        <v>47</v>
      </c>
      <c r="C397" s="93" t="s">
        <v>394</v>
      </c>
      <c r="D397" s="93" t="s">
        <v>556</v>
      </c>
      <c r="E397" s="94" t="s">
        <v>531</v>
      </c>
      <c r="F397" s="93" t="s">
        <v>441</v>
      </c>
      <c r="G397" s="93" t="s">
        <v>308</v>
      </c>
      <c r="H397" s="93" t="s">
        <v>13</v>
      </c>
      <c r="I397" s="93" t="s">
        <v>255</v>
      </c>
      <c r="J397" s="93" t="s">
        <v>47</v>
      </c>
      <c r="K397" s="93"/>
      <c r="L397" s="95">
        <v>12.4</v>
      </c>
      <c r="M397" s="95">
        <f>L397*VLOOKUP(H397,dagsoorttabel1,2,FALSE)</f>
        <v>9.7254901960784323</v>
      </c>
      <c r="N397" s="96">
        <f>prodnorm81</f>
        <v>0</v>
      </c>
      <c r="O397" s="37">
        <f>dagwerk81</f>
        <v>0</v>
      </c>
      <c r="P397" s="93" t="s">
        <v>105</v>
      </c>
      <c r="Q397" s="24">
        <f>uurtarief81</f>
        <v>0</v>
      </c>
      <c r="R397" s="95" t="e">
        <f>IF(ISBLANK(N397),0,M397/ROUND(N397,4))</f>
        <v>#DIV/0!</v>
      </c>
      <c r="S397" s="95" t="e">
        <f>IF(ISBLANK(N397),0,R397*ROUND(O397,2))</f>
        <v>#DIV/0!</v>
      </c>
      <c r="T397" s="24" t="e">
        <f>ROUND(Q397,2)*R397</f>
        <v>#DIV/0!</v>
      </c>
      <c r="U397" s="95" t="e">
        <f>R397*dagenperjaar1</f>
        <v>#DIV/0!</v>
      </c>
      <c r="V397" s="25" t="e">
        <f>U397*ROUND(Q397,2)</f>
        <v>#DIV/0!</v>
      </c>
    </row>
    <row r="398" spans="1:22" x14ac:dyDescent="0.2">
      <c r="A398" s="92" t="s">
        <v>527</v>
      </c>
      <c r="B398" s="93" t="s">
        <v>47</v>
      </c>
      <c r="C398" s="93" t="s">
        <v>394</v>
      </c>
      <c r="D398" s="93" t="s">
        <v>557</v>
      </c>
      <c r="E398" s="94" t="s">
        <v>529</v>
      </c>
      <c r="F398" s="93" t="s">
        <v>441</v>
      </c>
      <c r="G398" s="93" t="s">
        <v>288</v>
      </c>
      <c r="H398" s="93" t="s">
        <v>13</v>
      </c>
      <c r="I398" s="93" t="s">
        <v>255</v>
      </c>
      <c r="J398" s="93" t="s">
        <v>47</v>
      </c>
      <c r="K398" s="93"/>
      <c r="L398" s="95">
        <v>45.6</v>
      </c>
      <c r="M398" s="95">
        <f>L398*VLOOKUP(H398,dagsoorttabel1,2,FALSE)</f>
        <v>35.764705882352942</v>
      </c>
      <c r="N398" s="96">
        <f>prodnorm62</f>
        <v>0</v>
      </c>
      <c r="O398" s="37">
        <f>dagwerk62</f>
        <v>0</v>
      </c>
      <c r="P398" s="93" t="s">
        <v>105</v>
      </c>
      <c r="Q398" s="24">
        <f>uurtarief62</f>
        <v>0</v>
      </c>
      <c r="R398" s="95" t="e">
        <f>IF(ISBLANK(N398),0,M398/ROUND(N398,4))</f>
        <v>#DIV/0!</v>
      </c>
      <c r="S398" s="95" t="e">
        <f>IF(ISBLANK(N398),0,R398*ROUND(O398,2))</f>
        <v>#DIV/0!</v>
      </c>
      <c r="T398" s="24" t="e">
        <f>ROUND(Q398,2)*R398</f>
        <v>#DIV/0!</v>
      </c>
      <c r="U398" s="95" t="e">
        <f>R398*dagenperjaar1</f>
        <v>#DIV/0!</v>
      </c>
      <c r="V398" s="25" t="e">
        <f>U398*ROUND(Q398,2)</f>
        <v>#DIV/0!</v>
      </c>
    </row>
    <row r="399" spans="1:22" x14ac:dyDescent="0.2">
      <c r="A399" s="92" t="s">
        <v>527</v>
      </c>
      <c r="B399" s="93" t="s">
        <v>47</v>
      </c>
      <c r="C399" s="93" t="s">
        <v>558</v>
      </c>
      <c r="D399" s="93" t="s">
        <v>559</v>
      </c>
      <c r="E399" s="94" t="s">
        <v>531</v>
      </c>
      <c r="F399" s="93" t="s">
        <v>431</v>
      </c>
      <c r="G399" s="93" t="s">
        <v>308</v>
      </c>
      <c r="H399" s="93" t="s">
        <v>13</v>
      </c>
      <c r="I399" s="93" t="s">
        <v>255</v>
      </c>
      <c r="J399" s="93" t="s">
        <v>47</v>
      </c>
      <c r="K399" s="93"/>
      <c r="L399" s="95">
        <v>23.04</v>
      </c>
      <c r="M399" s="95">
        <f>L399*VLOOKUP(H399,dagsoorttabel1,2,FALSE)</f>
        <v>18.070588235294117</v>
      </c>
      <c r="N399" s="96">
        <f>prodnorm81</f>
        <v>0</v>
      </c>
      <c r="O399" s="37">
        <f>dagwerk81</f>
        <v>0</v>
      </c>
      <c r="P399" s="93" t="s">
        <v>105</v>
      </c>
      <c r="Q399" s="24">
        <f>uurtarief81</f>
        <v>0</v>
      </c>
      <c r="R399" s="95" t="e">
        <f>IF(ISBLANK(N399),0,M399/ROUND(N399,4))</f>
        <v>#DIV/0!</v>
      </c>
      <c r="S399" s="95" t="e">
        <f>IF(ISBLANK(N399),0,R399*ROUND(O399,2))</f>
        <v>#DIV/0!</v>
      </c>
      <c r="T399" s="24" t="e">
        <f>ROUND(Q399,2)*R399</f>
        <v>#DIV/0!</v>
      </c>
      <c r="U399" s="95" t="e">
        <f>R399*dagenperjaar1</f>
        <v>#DIV/0!</v>
      </c>
      <c r="V399" s="25" t="e">
        <f>U399*ROUND(Q399,2)</f>
        <v>#DIV/0!</v>
      </c>
    </row>
    <row r="400" spans="1:22" x14ac:dyDescent="0.2">
      <c r="A400" s="92" t="s">
        <v>527</v>
      </c>
      <c r="B400" s="93" t="s">
        <v>47</v>
      </c>
      <c r="C400" s="93" t="s">
        <v>558</v>
      </c>
      <c r="D400" s="93" t="s">
        <v>560</v>
      </c>
      <c r="E400" s="94" t="s">
        <v>529</v>
      </c>
      <c r="F400" s="93" t="s">
        <v>441</v>
      </c>
      <c r="G400" s="93" t="s">
        <v>288</v>
      </c>
      <c r="H400" s="93" t="s">
        <v>13</v>
      </c>
      <c r="I400" s="93" t="s">
        <v>255</v>
      </c>
      <c r="J400" s="93" t="s">
        <v>47</v>
      </c>
      <c r="K400" s="93"/>
      <c r="L400" s="95">
        <v>15.3</v>
      </c>
      <c r="M400" s="95">
        <f>L400*VLOOKUP(H400,dagsoorttabel1,2,FALSE)</f>
        <v>12</v>
      </c>
      <c r="N400" s="96">
        <f>prodnorm62</f>
        <v>0</v>
      </c>
      <c r="O400" s="37">
        <f>dagwerk62</f>
        <v>0</v>
      </c>
      <c r="P400" s="93" t="s">
        <v>105</v>
      </c>
      <c r="Q400" s="24">
        <f>uurtarief62</f>
        <v>0</v>
      </c>
      <c r="R400" s="95" t="e">
        <f>IF(ISBLANK(N400),0,M400/ROUND(N400,4))</f>
        <v>#DIV/0!</v>
      </c>
      <c r="S400" s="95" t="e">
        <f>IF(ISBLANK(N400),0,R400*ROUND(O400,2))</f>
        <v>#DIV/0!</v>
      </c>
      <c r="T400" s="24" t="e">
        <f>ROUND(Q400,2)*R400</f>
        <v>#DIV/0!</v>
      </c>
      <c r="U400" s="95" t="e">
        <f>R400*dagenperjaar1</f>
        <v>#DIV/0!</v>
      </c>
      <c r="V400" s="25" t="e">
        <f>U400*ROUND(Q400,2)</f>
        <v>#DIV/0!</v>
      </c>
    </row>
    <row r="401" spans="1:22" x14ac:dyDescent="0.2">
      <c r="A401" s="92" t="s">
        <v>527</v>
      </c>
      <c r="B401" s="93" t="s">
        <v>47</v>
      </c>
      <c r="C401" s="93" t="s">
        <v>558</v>
      </c>
      <c r="D401" s="93" t="s">
        <v>561</v>
      </c>
      <c r="E401" s="94" t="s">
        <v>459</v>
      </c>
      <c r="F401" s="93" t="s">
        <v>441</v>
      </c>
      <c r="G401" s="93" t="s">
        <v>314</v>
      </c>
      <c r="H401" s="93" t="s">
        <v>13</v>
      </c>
      <c r="I401" s="93" t="s">
        <v>255</v>
      </c>
      <c r="J401" s="93" t="s">
        <v>47</v>
      </c>
      <c r="K401" s="93"/>
      <c r="L401" s="95">
        <v>57.2</v>
      </c>
      <c r="M401" s="95">
        <f>L401*VLOOKUP(H401,dagsoorttabel1,2,FALSE)</f>
        <v>44.86274509803922</v>
      </c>
      <c r="N401" s="96">
        <f>prodnorm88</f>
        <v>0</v>
      </c>
      <c r="O401" s="37">
        <f>dagwerk88</f>
        <v>0</v>
      </c>
      <c r="P401" s="93" t="s">
        <v>105</v>
      </c>
      <c r="Q401" s="24">
        <f>uurtarief88</f>
        <v>0</v>
      </c>
      <c r="R401" s="95" t="e">
        <f>IF(ISBLANK(N401),0,M401/ROUND(N401,4))</f>
        <v>#DIV/0!</v>
      </c>
      <c r="S401" s="95" t="e">
        <f>IF(ISBLANK(N401),0,R401*ROUND(O401,2))</f>
        <v>#DIV/0!</v>
      </c>
      <c r="T401" s="24" t="e">
        <f>ROUND(Q401,2)*R401</f>
        <v>#DIV/0!</v>
      </c>
      <c r="U401" s="95" t="e">
        <f>R401*dagenperjaar1</f>
        <v>#DIV/0!</v>
      </c>
      <c r="V401" s="25" t="e">
        <f>U401*ROUND(Q401,2)</f>
        <v>#DIV/0!</v>
      </c>
    </row>
    <row r="402" spans="1:22" x14ac:dyDescent="0.2">
      <c r="A402" s="92" t="s">
        <v>527</v>
      </c>
      <c r="B402" s="93" t="s">
        <v>47</v>
      </c>
      <c r="C402" s="93" t="s">
        <v>558</v>
      </c>
      <c r="D402" s="93" t="s">
        <v>562</v>
      </c>
      <c r="E402" s="94" t="s">
        <v>529</v>
      </c>
      <c r="F402" s="93" t="s">
        <v>441</v>
      </c>
      <c r="G402" s="93" t="s">
        <v>288</v>
      </c>
      <c r="H402" s="93" t="s">
        <v>13</v>
      </c>
      <c r="I402" s="93" t="s">
        <v>255</v>
      </c>
      <c r="J402" s="93" t="s">
        <v>47</v>
      </c>
      <c r="K402" s="93"/>
      <c r="L402" s="95">
        <v>14.8</v>
      </c>
      <c r="M402" s="95">
        <f>L402*VLOOKUP(H402,dagsoorttabel1,2,FALSE)</f>
        <v>11.607843137254902</v>
      </c>
      <c r="N402" s="96">
        <f>prodnorm62</f>
        <v>0</v>
      </c>
      <c r="O402" s="37">
        <f>dagwerk62</f>
        <v>0</v>
      </c>
      <c r="P402" s="93" t="s">
        <v>105</v>
      </c>
      <c r="Q402" s="24">
        <f>uurtarief62</f>
        <v>0</v>
      </c>
      <c r="R402" s="95" t="e">
        <f>IF(ISBLANK(N402),0,M402/ROUND(N402,4))</f>
        <v>#DIV/0!</v>
      </c>
      <c r="S402" s="95" t="e">
        <f>IF(ISBLANK(N402),0,R402*ROUND(O402,2))</f>
        <v>#DIV/0!</v>
      </c>
      <c r="T402" s="24" t="e">
        <f>ROUND(Q402,2)*R402</f>
        <v>#DIV/0!</v>
      </c>
      <c r="U402" s="95" t="e">
        <f>R402*dagenperjaar1</f>
        <v>#DIV/0!</v>
      </c>
      <c r="V402" s="25" t="e">
        <f>U402*ROUND(Q402,2)</f>
        <v>#DIV/0!</v>
      </c>
    </row>
    <row r="403" spans="1:22" x14ac:dyDescent="0.2">
      <c r="A403" s="92" t="s">
        <v>527</v>
      </c>
      <c r="B403" s="93" t="s">
        <v>47</v>
      </c>
      <c r="C403" s="93" t="s">
        <v>558</v>
      </c>
      <c r="D403" s="93" t="s">
        <v>563</v>
      </c>
      <c r="E403" s="94" t="s">
        <v>423</v>
      </c>
      <c r="F403" s="93" t="s">
        <v>442</v>
      </c>
      <c r="G403" s="93" t="s">
        <v>304</v>
      </c>
      <c r="H403" s="93" t="s">
        <v>13</v>
      </c>
      <c r="I403" s="93" t="s">
        <v>255</v>
      </c>
      <c r="J403" s="93" t="s">
        <v>47</v>
      </c>
      <c r="K403" s="93"/>
      <c r="L403" s="95">
        <v>23.3</v>
      </c>
      <c r="M403" s="95">
        <f>L403*VLOOKUP(H403,dagsoorttabel1,2,FALSE)</f>
        <v>18.274509803921568</v>
      </c>
      <c r="N403" s="96">
        <f>prodnorm74</f>
        <v>0</v>
      </c>
      <c r="O403" s="37">
        <f>dagwerk74</f>
        <v>0</v>
      </c>
      <c r="P403" s="93" t="s">
        <v>105</v>
      </c>
      <c r="Q403" s="24">
        <f>uurtarief74</f>
        <v>0</v>
      </c>
      <c r="R403" s="95" t="e">
        <f>IF(ISBLANK(N403),0,M403/ROUND(N403,4))</f>
        <v>#DIV/0!</v>
      </c>
      <c r="S403" s="95" t="e">
        <f>IF(ISBLANK(N403),0,R403*ROUND(O403,2))</f>
        <v>#DIV/0!</v>
      </c>
      <c r="T403" s="24" t="e">
        <f>ROUND(Q403,2)*R403</f>
        <v>#DIV/0!</v>
      </c>
      <c r="U403" s="95" t="e">
        <f>R403*dagenperjaar1</f>
        <v>#DIV/0!</v>
      </c>
      <c r="V403" s="25" t="e">
        <f>U403*ROUND(Q403,2)</f>
        <v>#DIV/0!</v>
      </c>
    </row>
    <row r="404" spans="1:22" x14ac:dyDescent="0.2">
      <c r="A404" s="92" t="s">
        <v>527</v>
      </c>
      <c r="B404" s="93" t="s">
        <v>47</v>
      </c>
      <c r="C404" s="93" t="s">
        <v>558</v>
      </c>
      <c r="D404" s="93" t="s">
        <v>563</v>
      </c>
      <c r="E404" s="94" t="s">
        <v>423</v>
      </c>
      <c r="F404" s="93" t="s">
        <v>442</v>
      </c>
      <c r="G404" s="93" t="s">
        <v>306</v>
      </c>
      <c r="H404" s="93" t="s">
        <v>13</v>
      </c>
      <c r="I404" s="93" t="s">
        <v>255</v>
      </c>
      <c r="J404" s="93" t="s">
        <v>47</v>
      </c>
      <c r="K404" s="93"/>
      <c r="L404" s="95">
        <v>23.3</v>
      </c>
      <c r="M404" s="95">
        <f>L404*VLOOKUP(H404,dagsoorttabel1,2,FALSE)</f>
        <v>18.274509803921568</v>
      </c>
      <c r="N404" s="96">
        <f>prodnorm78</f>
        <v>0</v>
      </c>
      <c r="O404" s="37">
        <f>dagwerk78</f>
        <v>0</v>
      </c>
      <c r="P404" s="93" t="s">
        <v>105</v>
      </c>
      <c r="Q404" s="24">
        <f>uurtarief78</f>
        <v>0</v>
      </c>
      <c r="R404" s="95" t="e">
        <f>IF(ISBLANK(N404),0,M404/ROUND(N404,4))</f>
        <v>#DIV/0!</v>
      </c>
      <c r="S404" s="95" t="e">
        <f>IF(ISBLANK(N404),0,R404*ROUND(O404,2))</f>
        <v>#DIV/0!</v>
      </c>
      <c r="T404" s="24" t="e">
        <f>ROUND(Q404,2)*R404</f>
        <v>#DIV/0!</v>
      </c>
      <c r="U404" s="95" t="e">
        <f>R404*dagenperjaar1</f>
        <v>#DIV/0!</v>
      </c>
      <c r="V404" s="25" t="e">
        <f>U404*ROUND(Q404,2)</f>
        <v>#DIV/0!</v>
      </c>
    </row>
    <row r="405" spans="1:22" x14ac:dyDescent="0.2">
      <c r="A405" s="92" t="s">
        <v>527</v>
      </c>
      <c r="B405" s="93" t="s">
        <v>47</v>
      </c>
      <c r="C405" s="93" t="s">
        <v>558</v>
      </c>
      <c r="D405" s="93" t="s">
        <v>564</v>
      </c>
      <c r="E405" s="94" t="s">
        <v>529</v>
      </c>
      <c r="F405" s="93" t="s">
        <v>441</v>
      </c>
      <c r="G405" s="93" t="s">
        <v>288</v>
      </c>
      <c r="H405" s="93" t="s">
        <v>13</v>
      </c>
      <c r="I405" s="93" t="s">
        <v>255</v>
      </c>
      <c r="J405" s="93" t="s">
        <v>47</v>
      </c>
      <c r="K405" s="93"/>
      <c r="L405" s="95">
        <v>45.6</v>
      </c>
      <c r="M405" s="95">
        <f>L405*VLOOKUP(H405,dagsoorttabel1,2,FALSE)</f>
        <v>35.764705882352942</v>
      </c>
      <c r="N405" s="96">
        <f>prodnorm62</f>
        <v>0</v>
      </c>
      <c r="O405" s="37">
        <f>dagwerk62</f>
        <v>0</v>
      </c>
      <c r="P405" s="93" t="s">
        <v>105</v>
      </c>
      <c r="Q405" s="24">
        <f>uurtarief62</f>
        <v>0</v>
      </c>
      <c r="R405" s="95" t="e">
        <f>IF(ISBLANK(N405),0,M405/ROUND(N405,4))</f>
        <v>#DIV/0!</v>
      </c>
      <c r="S405" s="95" t="e">
        <f>IF(ISBLANK(N405),0,R405*ROUND(O405,2))</f>
        <v>#DIV/0!</v>
      </c>
      <c r="T405" s="24" t="e">
        <f>ROUND(Q405,2)*R405</f>
        <v>#DIV/0!</v>
      </c>
      <c r="U405" s="95" t="e">
        <f>R405*dagenperjaar1</f>
        <v>#DIV/0!</v>
      </c>
      <c r="V405" s="25" t="e">
        <f>U405*ROUND(Q405,2)</f>
        <v>#DIV/0!</v>
      </c>
    </row>
    <row r="406" spans="1:22" x14ac:dyDescent="0.2">
      <c r="A406" s="92" t="s">
        <v>527</v>
      </c>
      <c r="B406" s="93" t="s">
        <v>47</v>
      </c>
      <c r="C406" s="93" t="s">
        <v>558</v>
      </c>
      <c r="D406" s="93" t="s">
        <v>565</v>
      </c>
      <c r="E406" s="94" t="s">
        <v>529</v>
      </c>
      <c r="F406" s="93" t="s">
        <v>441</v>
      </c>
      <c r="G406" s="93" t="s">
        <v>288</v>
      </c>
      <c r="H406" s="93" t="s">
        <v>13</v>
      </c>
      <c r="I406" s="93" t="s">
        <v>255</v>
      </c>
      <c r="J406" s="93" t="s">
        <v>47</v>
      </c>
      <c r="K406" s="93"/>
      <c r="L406" s="95">
        <v>45.6</v>
      </c>
      <c r="M406" s="95">
        <f>L406*VLOOKUP(H406,dagsoorttabel1,2,FALSE)</f>
        <v>35.764705882352942</v>
      </c>
      <c r="N406" s="96">
        <f>prodnorm62</f>
        <v>0</v>
      </c>
      <c r="O406" s="37">
        <f>dagwerk62</f>
        <v>0</v>
      </c>
      <c r="P406" s="93" t="s">
        <v>105</v>
      </c>
      <c r="Q406" s="24">
        <f>uurtarief62</f>
        <v>0</v>
      </c>
      <c r="R406" s="95" t="e">
        <f>IF(ISBLANK(N406),0,M406/ROUND(N406,4))</f>
        <v>#DIV/0!</v>
      </c>
      <c r="S406" s="95" t="e">
        <f>IF(ISBLANK(N406),0,R406*ROUND(O406,2))</f>
        <v>#DIV/0!</v>
      </c>
      <c r="T406" s="24" t="e">
        <f>ROUND(Q406,2)*R406</f>
        <v>#DIV/0!</v>
      </c>
      <c r="U406" s="95" t="e">
        <f>R406*dagenperjaar1</f>
        <v>#DIV/0!</v>
      </c>
      <c r="V406" s="25" t="e">
        <f>U406*ROUND(Q406,2)</f>
        <v>#DIV/0!</v>
      </c>
    </row>
    <row r="407" spans="1:22" x14ac:dyDescent="0.2">
      <c r="A407" s="92" t="s">
        <v>527</v>
      </c>
      <c r="B407" s="93" t="s">
        <v>47</v>
      </c>
      <c r="C407" s="93" t="s">
        <v>558</v>
      </c>
      <c r="D407" s="93" t="s">
        <v>566</v>
      </c>
      <c r="E407" s="94" t="s">
        <v>531</v>
      </c>
      <c r="F407" s="93" t="s">
        <v>441</v>
      </c>
      <c r="G407" s="93" t="s">
        <v>308</v>
      </c>
      <c r="H407" s="93" t="s">
        <v>13</v>
      </c>
      <c r="I407" s="93" t="s">
        <v>255</v>
      </c>
      <c r="J407" s="93" t="s">
        <v>47</v>
      </c>
      <c r="K407" s="93"/>
      <c r="L407" s="95">
        <v>13.32</v>
      </c>
      <c r="M407" s="95">
        <f>L407*VLOOKUP(H407,dagsoorttabel1,2,FALSE)</f>
        <v>10.447058823529412</v>
      </c>
      <c r="N407" s="96">
        <f>prodnorm81</f>
        <v>0</v>
      </c>
      <c r="O407" s="37">
        <f>dagwerk81</f>
        <v>0</v>
      </c>
      <c r="P407" s="93" t="s">
        <v>105</v>
      </c>
      <c r="Q407" s="24">
        <f>uurtarief81</f>
        <v>0</v>
      </c>
      <c r="R407" s="95" t="e">
        <f>IF(ISBLANK(N407),0,M407/ROUND(N407,4))</f>
        <v>#DIV/0!</v>
      </c>
      <c r="S407" s="95" t="e">
        <f>IF(ISBLANK(N407),0,R407*ROUND(O407,2))</f>
        <v>#DIV/0!</v>
      </c>
      <c r="T407" s="24" t="e">
        <f>ROUND(Q407,2)*R407</f>
        <v>#DIV/0!</v>
      </c>
      <c r="U407" s="95" t="e">
        <f>R407*dagenperjaar1</f>
        <v>#DIV/0!</v>
      </c>
      <c r="V407" s="25" t="e">
        <f>U407*ROUND(Q407,2)</f>
        <v>#DIV/0!</v>
      </c>
    </row>
    <row r="408" spans="1:22" x14ac:dyDescent="0.2">
      <c r="A408" s="92" t="s">
        <v>527</v>
      </c>
      <c r="B408" s="93" t="s">
        <v>47</v>
      </c>
      <c r="C408" s="93" t="s">
        <v>558</v>
      </c>
      <c r="D408" s="93" t="s">
        <v>567</v>
      </c>
      <c r="E408" s="94" t="s">
        <v>529</v>
      </c>
      <c r="F408" s="93" t="s">
        <v>441</v>
      </c>
      <c r="G408" s="93" t="s">
        <v>288</v>
      </c>
      <c r="H408" s="93" t="s">
        <v>13</v>
      </c>
      <c r="I408" s="93" t="s">
        <v>255</v>
      </c>
      <c r="J408" s="93" t="s">
        <v>47</v>
      </c>
      <c r="K408" s="93"/>
      <c r="L408" s="95">
        <v>45.6</v>
      </c>
      <c r="M408" s="95">
        <f>L408*VLOOKUP(H408,dagsoorttabel1,2,FALSE)</f>
        <v>35.764705882352942</v>
      </c>
      <c r="N408" s="96">
        <f>prodnorm62</f>
        <v>0</v>
      </c>
      <c r="O408" s="37">
        <f>dagwerk62</f>
        <v>0</v>
      </c>
      <c r="P408" s="93" t="s">
        <v>105</v>
      </c>
      <c r="Q408" s="24">
        <f>uurtarief62</f>
        <v>0</v>
      </c>
      <c r="R408" s="95" t="e">
        <f>IF(ISBLANK(N408),0,M408/ROUND(N408,4))</f>
        <v>#DIV/0!</v>
      </c>
      <c r="S408" s="95" t="e">
        <f>IF(ISBLANK(N408),0,R408*ROUND(O408,2))</f>
        <v>#DIV/0!</v>
      </c>
      <c r="T408" s="24" t="e">
        <f>ROUND(Q408,2)*R408</f>
        <v>#DIV/0!</v>
      </c>
      <c r="U408" s="95" t="e">
        <f>R408*dagenperjaar1</f>
        <v>#DIV/0!</v>
      </c>
      <c r="V408" s="25" t="e">
        <f>U408*ROUND(Q408,2)</f>
        <v>#DIV/0!</v>
      </c>
    </row>
    <row r="409" spans="1:22" x14ac:dyDescent="0.2">
      <c r="A409" s="92" t="s">
        <v>527</v>
      </c>
      <c r="B409" s="93" t="s">
        <v>47</v>
      </c>
      <c r="C409" s="93" t="s">
        <v>558</v>
      </c>
      <c r="D409" s="93" t="s">
        <v>568</v>
      </c>
      <c r="E409" s="94" t="s">
        <v>529</v>
      </c>
      <c r="F409" s="93" t="s">
        <v>441</v>
      </c>
      <c r="G409" s="93" t="s">
        <v>288</v>
      </c>
      <c r="H409" s="93" t="s">
        <v>13</v>
      </c>
      <c r="I409" s="93" t="s">
        <v>255</v>
      </c>
      <c r="J409" s="93" t="s">
        <v>47</v>
      </c>
      <c r="K409" s="93"/>
      <c r="L409" s="95">
        <v>45.6</v>
      </c>
      <c r="M409" s="95">
        <f>L409*VLOOKUP(H409,dagsoorttabel1,2,FALSE)</f>
        <v>35.764705882352942</v>
      </c>
      <c r="N409" s="96">
        <f>prodnorm62</f>
        <v>0</v>
      </c>
      <c r="O409" s="37">
        <f>dagwerk62</f>
        <v>0</v>
      </c>
      <c r="P409" s="93" t="s">
        <v>105</v>
      </c>
      <c r="Q409" s="24">
        <f>uurtarief62</f>
        <v>0</v>
      </c>
      <c r="R409" s="95" t="e">
        <f>IF(ISBLANK(N409),0,M409/ROUND(N409,4))</f>
        <v>#DIV/0!</v>
      </c>
      <c r="S409" s="95" t="e">
        <f>IF(ISBLANK(N409),0,R409*ROUND(O409,2))</f>
        <v>#DIV/0!</v>
      </c>
      <c r="T409" s="24" t="e">
        <f>ROUND(Q409,2)*R409</f>
        <v>#DIV/0!</v>
      </c>
      <c r="U409" s="95" t="e">
        <f>R409*dagenperjaar1</f>
        <v>#DIV/0!</v>
      </c>
      <c r="V409" s="25" t="e">
        <f>U409*ROUND(Q409,2)</f>
        <v>#DIV/0!</v>
      </c>
    </row>
    <row r="410" spans="1:22" x14ac:dyDescent="0.2">
      <c r="A410" s="92" t="s">
        <v>527</v>
      </c>
      <c r="B410" s="93" t="s">
        <v>47</v>
      </c>
      <c r="C410" s="93" t="s">
        <v>558</v>
      </c>
      <c r="D410" s="93" t="s">
        <v>569</v>
      </c>
      <c r="E410" s="94" t="s">
        <v>529</v>
      </c>
      <c r="F410" s="93" t="s">
        <v>441</v>
      </c>
      <c r="G410" s="93" t="s">
        <v>288</v>
      </c>
      <c r="H410" s="93" t="s">
        <v>13</v>
      </c>
      <c r="I410" s="93" t="s">
        <v>255</v>
      </c>
      <c r="J410" s="93" t="s">
        <v>47</v>
      </c>
      <c r="K410" s="93"/>
      <c r="L410" s="95">
        <v>45.6</v>
      </c>
      <c r="M410" s="95">
        <f>L410*VLOOKUP(H410,dagsoorttabel1,2,FALSE)</f>
        <v>35.764705882352942</v>
      </c>
      <c r="N410" s="96">
        <f>prodnorm62</f>
        <v>0</v>
      </c>
      <c r="O410" s="37">
        <f>dagwerk62</f>
        <v>0</v>
      </c>
      <c r="P410" s="93" t="s">
        <v>105</v>
      </c>
      <c r="Q410" s="24">
        <f>uurtarief62</f>
        <v>0</v>
      </c>
      <c r="R410" s="95" t="e">
        <f>IF(ISBLANK(N410),0,M410/ROUND(N410,4))</f>
        <v>#DIV/0!</v>
      </c>
      <c r="S410" s="95" t="e">
        <f>IF(ISBLANK(N410),0,R410*ROUND(O410,2))</f>
        <v>#DIV/0!</v>
      </c>
      <c r="T410" s="24" t="e">
        <f>ROUND(Q410,2)*R410</f>
        <v>#DIV/0!</v>
      </c>
      <c r="U410" s="95" t="e">
        <f>R410*dagenperjaar1</f>
        <v>#DIV/0!</v>
      </c>
      <c r="V410" s="25" t="e">
        <f>U410*ROUND(Q410,2)</f>
        <v>#DIV/0!</v>
      </c>
    </row>
    <row r="411" spans="1:22" x14ac:dyDescent="0.2">
      <c r="A411" s="92" t="s">
        <v>527</v>
      </c>
      <c r="B411" s="93" t="s">
        <v>47</v>
      </c>
      <c r="C411" s="93" t="s">
        <v>558</v>
      </c>
      <c r="D411" s="93" t="s">
        <v>570</v>
      </c>
      <c r="E411" s="94" t="s">
        <v>423</v>
      </c>
      <c r="F411" s="93" t="s">
        <v>442</v>
      </c>
      <c r="G411" s="93" t="s">
        <v>304</v>
      </c>
      <c r="H411" s="93" t="s">
        <v>13</v>
      </c>
      <c r="I411" s="93" t="s">
        <v>255</v>
      </c>
      <c r="J411" s="93" t="s">
        <v>47</v>
      </c>
      <c r="K411" s="93"/>
      <c r="L411" s="95">
        <v>8</v>
      </c>
      <c r="M411" s="95">
        <f>L411*VLOOKUP(H411,dagsoorttabel1,2,FALSE)</f>
        <v>6.2745098039215685</v>
      </c>
      <c r="N411" s="96">
        <f>prodnorm74</f>
        <v>0</v>
      </c>
      <c r="O411" s="37">
        <f>dagwerk74</f>
        <v>0</v>
      </c>
      <c r="P411" s="93" t="s">
        <v>105</v>
      </c>
      <c r="Q411" s="24">
        <f>uurtarief74</f>
        <v>0</v>
      </c>
      <c r="R411" s="95" t="e">
        <f>IF(ISBLANK(N411),0,M411/ROUND(N411,4))</f>
        <v>#DIV/0!</v>
      </c>
      <c r="S411" s="95" t="e">
        <f>IF(ISBLANK(N411),0,R411*ROUND(O411,2))</f>
        <v>#DIV/0!</v>
      </c>
      <c r="T411" s="24" t="e">
        <f>ROUND(Q411,2)*R411</f>
        <v>#DIV/0!</v>
      </c>
      <c r="U411" s="95" t="e">
        <f>R411*dagenperjaar1</f>
        <v>#DIV/0!</v>
      </c>
      <c r="V411" s="25" t="e">
        <f>U411*ROUND(Q411,2)</f>
        <v>#DIV/0!</v>
      </c>
    </row>
    <row r="412" spans="1:22" x14ac:dyDescent="0.2">
      <c r="A412" s="92" t="s">
        <v>527</v>
      </c>
      <c r="B412" s="93" t="s">
        <v>47</v>
      </c>
      <c r="C412" s="93" t="s">
        <v>558</v>
      </c>
      <c r="D412" s="93" t="s">
        <v>570</v>
      </c>
      <c r="E412" s="94" t="s">
        <v>423</v>
      </c>
      <c r="F412" s="93" t="s">
        <v>442</v>
      </c>
      <c r="G412" s="93" t="s">
        <v>306</v>
      </c>
      <c r="H412" s="93" t="s">
        <v>13</v>
      </c>
      <c r="I412" s="93" t="s">
        <v>255</v>
      </c>
      <c r="J412" s="93" t="s">
        <v>47</v>
      </c>
      <c r="K412" s="93"/>
      <c r="L412" s="95">
        <v>8</v>
      </c>
      <c r="M412" s="95">
        <f>L412*VLOOKUP(H412,dagsoorttabel1,2,FALSE)</f>
        <v>6.2745098039215685</v>
      </c>
      <c r="N412" s="96">
        <f>prodnorm78</f>
        <v>0</v>
      </c>
      <c r="O412" s="37">
        <f>dagwerk78</f>
        <v>0</v>
      </c>
      <c r="P412" s="93" t="s">
        <v>105</v>
      </c>
      <c r="Q412" s="24">
        <f>uurtarief78</f>
        <v>0</v>
      </c>
      <c r="R412" s="95" t="e">
        <f>IF(ISBLANK(N412),0,M412/ROUND(N412,4))</f>
        <v>#DIV/0!</v>
      </c>
      <c r="S412" s="95" t="e">
        <f>IF(ISBLANK(N412),0,R412*ROUND(O412,2))</f>
        <v>#DIV/0!</v>
      </c>
      <c r="T412" s="24" t="e">
        <f>ROUND(Q412,2)*R412</f>
        <v>#DIV/0!</v>
      </c>
      <c r="U412" s="95" t="e">
        <f>R412*dagenperjaar1</f>
        <v>#DIV/0!</v>
      </c>
      <c r="V412" s="25" t="e">
        <f>U412*ROUND(Q412,2)</f>
        <v>#DIV/0!</v>
      </c>
    </row>
    <row r="413" spans="1:22" x14ac:dyDescent="0.2">
      <c r="A413" s="92" t="s">
        <v>527</v>
      </c>
      <c r="B413" s="93" t="s">
        <v>47</v>
      </c>
      <c r="C413" s="93" t="s">
        <v>558</v>
      </c>
      <c r="D413" s="93" t="s">
        <v>571</v>
      </c>
      <c r="E413" s="94" t="s">
        <v>459</v>
      </c>
      <c r="F413" s="93" t="s">
        <v>441</v>
      </c>
      <c r="G413" s="93" t="s">
        <v>314</v>
      </c>
      <c r="H413" s="93" t="s">
        <v>13</v>
      </c>
      <c r="I413" s="93" t="s">
        <v>255</v>
      </c>
      <c r="J413" s="93" t="s">
        <v>47</v>
      </c>
      <c r="K413" s="93"/>
      <c r="L413" s="95">
        <v>7.2</v>
      </c>
      <c r="M413" s="95">
        <f>L413*VLOOKUP(H413,dagsoorttabel1,2,FALSE)</f>
        <v>5.6470588235294121</v>
      </c>
      <c r="N413" s="96">
        <f>prodnorm88</f>
        <v>0</v>
      </c>
      <c r="O413" s="37">
        <f>dagwerk88</f>
        <v>0</v>
      </c>
      <c r="P413" s="93" t="s">
        <v>105</v>
      </c>
      <c r="Q413" s="24">
        <f>uurtarief88</f>
        <v>0</v>
      </c>
      <c r="R413" s="95" t="e">
        <f>IF(ISBLANK(N413),0,M413/ROUND(N413,4))</f>
        <v>#DIV/0!</v>
      </c>
      <c r="S413" s="95" t="e">
        <f>IF(ISBLANK(N413),0,R413*ROUND(O413,2))</f>
        <v>#DIV/0!</v>
      </c>
      <c r="T413" s="24" t="e">
        <f>ROUND(Q413,2)*R413</f>
        <v>#DIV/0!</v>
      </c>
      <c r="U413" s="95" t="e">
        <f>R413*dagenperjaar1</f>
        <v>#DIV/0!</v>
      </c>
      <c r="V413" s="25" t="e">
        <f>U413*ROUND(Q413,2)</f>
        <v>#DIV/0!</v>
      </c>
    </row>
    <row r="414" spans="1:22" x14ac:dyDescent="0.2">
      <c r="A414" s="92" t="s">
        <v>527</v>
      </c>
      <c r="B414" s="93" t="s">
        <v>47</v>
      </c>
      <c r="C414" s="93" t="s">
        <v>558</v>
      </c>
      <c r="D414" s="93" t="s">
        <v>572</v>
      </c>
      <c r="E414" s="94" t="s">
        <v>573</v>
      </c>
      <c r="F414" s="93" t="s">
        <v>442</v>
      </c>
      <c r="G414" s="93" t="s">
        <v>304</v>
      </c>
      <c r="H414" s="93" t="s">
        <v>13</v>
      </c>
      <c r="I414" s="93" t="s">
        <v>255</v>
      </c>
      <c r="J414" s="93" t="s">
        <v>47</v>
      </c>
      <c r="K414" s="93"/>
      <c r="L414" s="95">
        <v>9.6</v>
      </c>
      <c r="M414" s="95">
        <f>L414*VLOOKUP(H414,dagsoorttabel1,2,FALSE)</f>
        <v>7.5294117647058822</v>
      </c>
      <c r="N414" s="96">
        <f>prodnorm74</f>
        <v>0</v>
      </c>
      <c r="O414" s="37">
        <f>dagwerk74</f>
        <v>0</v>
      </c>
      <c r="P414" s="93" t="s">
        <v>105</v>
      </c>
      <c r="Q414" s="24">
        <f>uurtarief74</f>
        <v>0</v>
      </c>
      <c r="R414" s="95" t="e">
        <f>IF(ISBLANK(N414),0,M414/ROUND(N414,4))</f>
        <v>#DIV/0!</v>
      </c>
      <c r="S414" s="95" t="e">
        <f>IF(ISBLANK(N414),0,R414*ROUND(O414,2))</f>
        <v>#DIV/0!</v>
      </c>
      <c r="T414" s="24" t="e">
        <f>ROUND(Q414,2)*R414</f>
        <v>#DIV/0!</v>
      </c>
      <c r="U414" s="95" t="e">
        <f>R414*dagenperjaar1</f>
        <v>#DIV/0!</v>
      </c>
      <c r="V414" s="25" t="e">
        <f>U414*ROUND(Q414,2)</f>
        <v>#DIV/0!</v>
      </c>
    </row>
    <row r="415" spans="1:22" x14ac:dyDescent="0.2">
      <c r="A415" s="92" t="s">
        <v>527</v>
      </c>
      <c r="B415" s="93" t="s">
        <v>47</v>
      </c>
      <c r="C415" s="93" t="s">
        <v>558</v>
      </c>
      <c r="D415" s="93" t="s">
        <v>572</v>
      </c>
      <c r="E415" s="94" t="s">
        <v>573</v>
      </c>
      <c r="F415" s="93" t="s">
        <v>442</v>
      </c>
      <c r="G415" s="93" t="s">
        <v>306</v>
      </c>
      <c r="H415" s="93" t="s">
        <v>13</v>
      </c>
      <c r="I415" s="93" t="s">
        <v>255</v>
      </c>
      <c r="J415" s="93" t="s">
        <v>47</v>
      </c>
      <c r="K415" s="93"/>
      <c r="L415" s="95">
        <v>9.6</v>
      </c>
      <c r="M415" s="95">
        <f>L415*VLOOKUP(H415,dagsoorttabel1,2,FALSE)</f>
        <v>7.5294117647058822</v>
      </c>
      <c r="N415" s="96">
        <f>prodnorm78</f>
        <v>0</v>
      </c>
      <c r="O415" s="37">
        <f>dagwerk78</f>
        <v>0</v>
      </c>
      <c r="P415" s="93" t="s">
        <v>105</v>
      </c>
      <c r="Q415" s="24">
        <f>uurtarief78</f>
        <v>0</v>
      </c>
      <c r="R415" s="95" t="e">
        <f>IF(ISBLANK(N415),0,M415/ROUND(N415,4))</f>
        <v>#DIV/0!</v>
      </c>
      <c r="S415" s="95" t="e">
        <f>IF(ISBLANK(N415),0,R415*ROUND(O415,2))</f>
        <v>#DIV/0!</v>
      </c>
      <c r="T415" s="24" t="e">
        <f>ROUND(Q415,2)*R415</f>
        <v>#DIV/0!</v>
      </c>
      <c r="U415" s="95" t="e">
        <f>R415*dagenperjaar1</f>
        <v>#DIV/0!</v>
      </c>
      <c r="V415" s="25" t="e">
        <f>U415*ROUND(Q415,2)</f>
        <v>#DIV/0!</v>
      </c>
    </row>
    <row r="416" spans="1:22" x14ac:dyDescent="0.2">
      <c r="A416" s="92" t="s">
        <v>527</v>
      </c>
      <c r="B416" s="93" t="s">
        <v>47</v>
      </c>
      <c r="C416" s="93" t="s">
        <v>558</v>
      </c>
      <c r="D416" s="93" t="s">
        <v>574</v>
      </c>
      <c r="E416" s="94" t="s">
        <v>529</v>
      </c>
      <c r="F416" s="93" t="s">
        <v>441</v>
      </c>
      <c r="G416" s="93" t="s">
        <v>300</v>
      </c>
      <c r="H416" s="93" t="s">
        <v>13</v>
      </c>
      <c r="I416" s="93" t="s">
        <v>255</v>
      </c>
      <c r="J416" s="93" t="s">
        <v>47</v>
      </c>
      <c r="K416" s="93"/>
      <c r="L416" s="95">
        <v>48.8</v>
      </c>
      <c r="M416" s="95">
        <f>L416*VLOOKUP(H416,dagsoorttabel1,2,FALSE)</f>
        <v>38.274509803921568</v>
      </c>
      <c r="N416" s="96">
        <f>prodnorm70</f>
        <v>0</v>
      </c>
      <c r="O416" s="37">
        <f>dagwerk70</f>
        <v>0</v>
      </c>
      <c r="P416" s="93" t="s">
        <v>105</v>
      </c>
      <c r="Q416" s="24">
        <f>uurtarief70</f>
        <v>0</v>
      </c>
      <c r="R416" s="95" t="e">
        <f>IF(ISBLANK(N416),0,M416/ROUND(N416,4))</f>
        <v>#DIV/0!</v>
      </c>
      <c r="S416" s="95" t="e">
        <f>IF(ISBLANK(N416),0,R416*ROUND(O416,2))</f>
        <v>#DIV/0!</v>
      </c>
      <c r="T416" s="24" t="e">
        <f>ROUND(Q416,2)*R416</f>
        <v>#DIV/0!</v>
      </c>
      <c r="U416" s="95" t="e">
        <f>R416*dagenperjaar1</f>
        <v>#DIV/0!</v>
      </c>
      <c r="V416" s="25" t="e">
        <f>U416*ROUND(Q416,2)</f>
        <v>#DIV/0!</v>
      </c>
    </row>
    <row r="417" spans="1:22" x14ac:dyDescent="0.2">
      <c r="A417" s="92" t="s">
        <v>527</v>
      </c>
      <c r="B417" s="93" t="s">
        <v>47</v>
      </c>
      <c r="C417" s="93" t="s">
        <v>558</v>
      </c>
      <c r="D417" s="93" t="s">
        <v>575</v>
      </c>
      <c r="E417" s="94" t="s">
        <v>544</v>
      </c>
      <c r="F417" s="93" t="s">
        <v>441</v>
      </c>
      <c r="G417" s="93" t="s">
        <v>294</v>
      </c>
      <c r="H417" s="93" t="s">
        <v>13</v>
      </c>
      <c r="I417" s="93" t="s">
        <v>255</v>
      </c>
      <c r="J417" s="93" t="s">
        <v>47</v>
      </c>
      <c r="K417" s="93"/>
      <c r="L417" s="95">
        <v>10</v>
      </c>
      <c r="M417" s="95">
        <f>L417*VLOOKUP(H417,dagsoorttabel1,2,FALSE)</f>
        <v>7.8431372549019605</v>
      </c>
      <c r="N417" s="96">
        <f>prodnorm66</f>
        <v>0</v>
      </c>
      <c r="O417" s="37">
        <f>dagwerk66</f>
        <v>0</v>
      </c>
      <c r="P417" s="93" t="s">
        <v>105</v>
      </c>
      <c r="Q417" s="24">
        <f>uurtarief66</f>
        <v>0</v>
      </c>
      <c r="R417" s="95" t="e">
        <f>IF(ISBLANK(N417),0,M417/ROUND(N417,4))</f>
        <v>#DIV/0!</v>
      </c>
      <c r="S417" s="95" t="e">
        <f>IF(ISBLANK(N417),0,R417*ROUND(O417,2))</f>
        <v>#DIV/0!</v>
      </c>
      <c r="T417" s="24" t="e">
        <f>ROUND(Q417,2)*R417</f>
        <v>#DIV/0!</v>
      </c>
      <c r="U417" s="95" t="e">
        <f>R417*dagenperjaar1</f>
        <v>#DIV/0!</v>
      </c>
      <c r="V417" s="25" t="e">
        <f>U417*ROUND(Q417,2)</f>
        <v>#DIV/0!</v>
      </c>
    </row>
    <row r="418" spans="1:22" x14ac:dyDescent="0.2">
      <c r="A418" s="92" t="s">
        <v>527</v>
      </c>
      <c r="B418" s="93" t="s">
        <v>47</v>
      </c>
      <c r="C418" s="93" t="s">
        <v>558</v>
      </c>
      <c r="D418" s="93" t="s">
        <v>576</v>
      </c>
      <c r="E418" s="94" t="s">
        <v>531</v>
      </c>
      <c r="F418" s="93" t="s">
        <v>441</v>
      </c>
      <c r="G418" s="93" t="s">
        <v>308</v>
      </c>
      <c r="H418" s="93" t="s">
        <v>13</v>
      </c>
      <c r="I418" s="93" t="s">
        <v>255</v>
      </c>
      <c r="J418" s="93" t="s">
        <v>47</v>
      </c>
      <c r="K418" s="93"/>
      <c r="L418" s="95">
        <v>21.4</v>
      </c>
      <c r="M418" s="95">
        <f>L418*VLOOKUP(H418,dagsoorttabel1,2,FALSE)</f>
        <v>16.784313725490193</v>
      </c>
      <c r="N418" s="96">
        <f>prodnorm81</f>
        <v>0</v>
      </c>
      <c r="O418" s="37">
        <f>dagwerk81</f>
        <v>0</v>
      </c>
      <c r="P418" s="93" t="s">
        <v>105</v>
      </c>
      <c r="Q418" s="24">
        <f>uurtarief81</f>
        <v>0</v>
      </c>
      <c r="R418" s="95" t="e">
        <f>IF(ISBLANK(N418),0,M418/ROUND(N418,4))</f>
        <v>#DIV/0!</v>
      </c>
      <c r="S418" s="95" t="e">
        <f>IF(ISBLANK(N418),0,R418*ROUND(O418,2))</f>
        <v>#DIV/0!</v>
      </c>
      <c r="T418" s="24" t="e">
        <f>ROUND(Q418,2)*R418</f>
        <v>#DIV/0!</v>
      </c>
      <c r="U418" s="95" t="e">
        <f>R418*dagenperjaar1</f>
        <v>#DIV/0!</v>
      </c>
      <c r="V418" s="25" t="e">
        <f>U418*ROUND(Q418,2)</f>
        <v>#DIV/0!</v>
      </c>
    </row>
    <row r="419" spans="1:22" x14ac:dyDescent="0.2">
      <c r="A419" s="92" t="s">
        <v>527</v>
      </c>
      <c r="B419" s="93" t="s">
        <v>47</v>
      </c>
      <c r="C419" s="93" t="s">
        <v>558</v>
      </c>
      <c r="D419" s="93" t="s">
        <v>577</v>
      </c>
      <c r="E419" s="94" t="s">
        <v>533</v>
      </c>
      <c r="F419" s="93" t="s">
        <v>441</v>
      </c>
      <c r="G419" s="93" t="s">
        <v>300</v>
      </c>
      <c r="H419" s="93" t="s">
        <v>13</v>
      </c>
      <c r="I419" s="93" t="s">
        <v>255</v>
      </c>
      <c r="J419" s="93" t="s">
        <v>47</v>
      </c>
      <c r="K419" s="93"/>
      <c r="L419" s="95">
        <v>60.3</v>
      </c>
      <c r="M419" s="95">
        <f>L419*VLOOKUP(H419,dagsoorttabel1,2,FALSE)</f>
        <v>47.294117647058819</v>
      </c>
      <c r="N419" s="96">
        <f>prodnorm70</f>
        <v>0</v>
      </c>
      <c r="O419" s="37">
        <f>dagwerk70</f>
        <v>0</v>
      </c>
      <c r="P419" s="93" t="s">
        <v>105</v>
      </c>
      <c r="Q419" s="24">
        <f>uurtarief70</f>
        <v>0</v>
      </c>
      <c r="R419" s="95" t="e">
        <f>IF(ISBLANK(N419),0,M419/ROUND(N419,4))</f>
        <v>#DIV/0!</v>
      </c>
      <c r="S419" s="95" t="e">
        <f>IF(ISBLANK(N419),0,R419*ROUND(O419,2))</f>
        <v>#DIV/0!</v>
      </c>
      <c r="T419" s="24" t="e">
        <f>ROUND(Q419,2)*R419</f>
        <v>#DIV/0!</v>
      </c>
      <c r="U419" s="95" t="e">
        <f>R419*dagenperjaar1</f>
        <v>#DIV/0!</v>
      </c>
      <c r="V419" s="25" t="e">
        <f>U419*ROUND(Q419,2)</f>
        <v>#DIV/0!</v>
      </c>
    </row>
    <row r="420" spans="1:22" x14ac:dyDescent="0.2">
      <c r="A420" s="92" t="s">
        <v>527</v>
      </c>
      <c r="B420" s="93" t="s">
        <v>47</v>
      </c>
      <c r="C420" s="93" t="s">
        <v>558</v>
      </c>
      <c r="D420" s="93" t="s">
        <v>578</v>
      </c>
      <c r="E420" s="94" t="s">
        <v>531</v>
      </c>
      <c r="F420" s="93" t="s">
        <v>441</v>
      </c>
      <c r="G420" s="93" t="s">
        <v>308</v>
      </c>
      <c r="H420" s="93" t="s">
        <v>13</v>
      </c>
      <c r="I420" s="93" t="s">
        <v>255</v>
      </c>
      <c r="J420" s="93" t="s">
        <v>47</v>
      </c>
      <c r="K420" s="93"/>
      <c r="L420" s="95">
        <v>10.7</v>
      </c>
      <c r="M420" s="95">
        <f>L420*VLOOKUP(H420,dagsoorttabel1,2,FALSE)</f>
        <v>8.3921568627450966</v>
      </c>
      <c r="N420" s="96">
        <f>prodnorm81</f>
        <v>0</v>
      </c>
      <c r="O420" s="37">
        <f>dagwerk81</f>
        <v>0</v>
      </c>
      <c r="P420" s="93" t="s">
        <v>105</v>
      </c>
      <c r="Q420" s="24">
        <f>uurtarief81</f>
        <v>0</v>
      </c>
      <c r="R420" s="95" t="e">
        <f>IF(ISBLANK(N420),0,M420/ROUND(N420,4))</f>
        <v>#DIV/0!</v>
      </c>
      <c r="S420" s="95" t="e">
        <f>IF(ISBLANK(N420),0,R420*ROUND(O420,2))</f>
        <v>#DIV/0!</v>
      </c>
      <c r="T420" s="24" t="e">
        <f>ROUND(Q420,2)*R420</f>
        <v>#DIV/0!</v>
      </c>
      <c r="U420" s="95" t="e">
        <f>R420*dagenperjaar1</f>
        <v>#DIV/0!</v>
      </c>
      <c r="V420" s="25" t="e">
        <f>U420*ROUND(Q420,2)</f>
        <v>#DIV/0!</v>
      </c>
    </row>
    <row r="421" spans="1:22" x14ac:dyDescent="0.2">
      <c r="A421" s="92" t="s">
        <v>527</v>
      </c>
      <c r="B421" s="93" t="s">
        <v>47</v>
      </c>
      <c r="C421" s="93" t="s">
        <v>558</v>
      </c>
      <c r="D421" s="93" t="s">
        <v>579</v>
      </c>
      <c r="E421" s="94" t="s">
        <v>531</v>
      </c>
      <c r="F421" s="93" t="s">
        <v>441</v>
      </c>
      <c r="G421" s="93" t="s">
        <v>308</v>
      </c>
      <c r="H421" s="93" t="s">
        <v>13</v>
      </c>
      <c r="I421" s="93" t="s">
        <v>255</v>
      </c>
      <c r="J421" s="93" t="s">
        <v>47</v>
      </c>
      <c r="K421" s="93"/>
      <c r="L421" s="95">
        <v>15.9</v>
      </c>
      <c r="M421" s="95">
        <f>L421*VLOOKUP(H421,dagsoorttabel1,2,FALSE)</f>
        <v>12.470588235294118</v>
      </c>
      <c r="N421" s="96">
        <f>prodnorm81</f>
        <v>0</v>
      </c>
      <c r="O421" s="37">
        <f>dagwerk81</f>
        <v>0</v>
      </c>
      <c r="P421" s="93" t="s">
        <v>105</v>
      </c>
      <c r="Q421" s="24">
        <f>uurtarief81</f>
        <v>0</v>
      </c>
      <c r="R421" s="95" t="e">
        <f>IF(ISBLANK(N421),0,M421/ROUND(N421,4))</f>
        <v>#DIV/0!</v>
      </c>
      <c r="S421" s="95" t="e">
        <f>IF(ISBLANK(N421),0,R421*ROUND(O421,2))</f>
        <v>#DIV/0!</v>
      </c>
      <c r="T421" s="24" t="e">
        <f>ROUND(Q421,2)*R421</f>
        <v>#DIV/0!</v>
      </c>
      <c r="U421" s="95" t="e">
        <f>R421*dagenperjaar1</f>
        <v>#DIV/0!</v>
      </c>
      <c r="V421" s="25" t="e">
        <f>U421*ROUND(Q421,2)</f>
        <v>#DIV/0!</v>
      </c>
    </row>
    <row r="422" spans="1:22" x14ac:dyDescent="0.2">
      <c r="A422" s="92" t="s">
        <v>527</v>
      </c>
      <c r="B422" s="93" t="s">
        <v>47</v>
      </c>
      <c r="C422" s="93" t="s">
        <v>558</v>
      </c>
      <c r="D422" s="93" t="s">
        <v>580</v>
      </c>
      <c r="E422" s="94" t="s">
        <v>459</v>
      </c>
      <c r="F422" s="93" t="s">
        <v>441</v>
      </c>
      <c r="G422" s="93" t="s">
        <v>314</v>
      </c>
      <c r="H422" s="93" t="s">
        <v>13</v>
      </c>
      <c r="I422" s="93" t="s">
        <v>255</v>
      </c>
      <c r="J422" s="93" t="s">
        <v>47</v>
      </c>
      <c r="K422" s="93"/>
      <c r="L422" s="95">
        <v>66.599999999999994</v>
      </c>
      <c r="M422" s="95">
        <f>L422*VLOOKUP(H422,dagsoorttabel1,2,FALSE)</f>
        <v>52.235294117647051</v>
      </c>
      <c r="N422" s="96">
        <f>prodnorm88</f>
        <v>0</v>
      </c>
      <c r="O422" s="37">
        <f>dagwerk88</f>
        <v>0</v>
      </c>
      <c r="P422" s="93" t="s">
        <v>105</v>
      </c>
      <c r="Q422" s="24">
        <f>uurtarief88</f>
        <v>0</v>
      </c>
      <c r="R422" s="95" t="e">
        <f>IF(ISBLANK(N422),0,M422/ROUND(N422,4))</f>
        <v>#DIV/0!</v>
      </c>
      <c r="S422" s="95" t="e">
        <f>IF(ISBLANK(N422),0,R422*ROUND(O422,2))</f>
        <v>#DIV/0!</v>
      </c>
      <c r="T422" s="24" t="e">
        <f>ROUND(Q422,2)*R422</f>
        <v>#DIV/0!</v>
      </c>
      <c r="U422" s="95" t="e">
        <f>R422*dagenperjaar1</f>
        <v>#DIV/0!</v>
      </c>
      <c r="V422" s="25" t="e">
        <f>U422*ROUND(Q422,2)</f>
        <v>#DIV/0!</v>
      </c>
    </row>
    <row r="423" spans="1:22" x14ac:dyDescent="0.2">
      <c r="A423" s="92" t="s">
        <v>527</v>
      </c>
      <c r="B423" s="93" t="s">
        <v>47</v>
      </c>
      <c r="C423" s="93" t="s">
        <v>558</v>
      </c>
      <c r="D423" s="93" t="s">
        <v>581</v>
      </c>
      <c r="E423" s="94" t="s">
        <v>529</v>
      </c>
      <c r="F423" s="93" t="s">
        <v>441</v>
      </c>
      <c r="G423" s="93" t="s">
        <v>288</v>
      </c>
      <c r="H423" s="93" t="s">
        <v>13</v>
      </c>
      <c r="I423" s="93" t="s">
        <v>255</v>
      </c>
      <c r="J423" s="93" t="s">
        <v>47</v>
      </c>
      <c r="K423" s="93"/>
      <c r="L423" s="95">
        <v>40.299999999999997</v>
      </c>
      <c r="M423" s="95">
        <f>L423*VLOOKUP(H423,dagsoorttabel1,2,FALSE)</f>
        <v>31.6078431372549</v>
      </c>
      <c r="N423" s="96">
        <f>prodnorm62</f>
        <v>0</v>
      </c>
      <c r="O423" s="37">
        <f>dagwerk62</f>
        <v>0</v>
      </c>
      <c r="P423" s="93" t="s">
        <v>105</v>
      </c>
      <c r="Q423" s="24">
        <f>uurtarief62</f>
        <v>0</v>
      </c>
      <c r="R423" s="95" t="e">
        <f>IF(ISBLANK(N423),0,M423/ROUND(N423,4))</f>
        <v>#DIV/0!</v>
      </c>
      <c r="S423" s="95" t="e">
        <f>IF(ISBLANK(N423),0,R423*ROUND(O423,2))</f>
        <v>#DIV/0!</v>
      </c>
      <c r="T423" s="24" t="e">
        <f>ROUND(Q423,2)*R423</f>
        <v>#DIV/0!</v>
      </c>
      <c r="U423" s="95" t="e">
        <f>R423*dagenperjaar1</f>
        <v>#DIV/0!</v>
      </c>
      <c r="V423" s="25" t="e">
        <f>U423*ROUND(Q423,2)</f>
        <v>#DIV/0!</v>
      </c>
    </row>
    <row r="424" spans="1:22" x14ac:dyDescent="0.2">
      <c r="A424" s="92" t="s">
        <v>527</v>
      </c>
      <c r="B424" s="93" t="s">
        <v>47</v>
      </c>
      <c r="C424" s="93" t="s">
        <v>558</v>
      </c>
      <c r="D424" s="93" t="s">
        <v>582</v>
      </c>
      <c r="E424" s="94" t="s">
        <v>529</v>
      </c>
      <c r="F424" s="93" t="s">
        <v>441</v>
      </c>
      <c r="G424" s="93" t="s">
        <v>288</v>
      </c>
      <c r="H424" s="93" t="s">
        <v>13</v>
      </c>
      <c r="I424" s="93" t="s">
        <v>255</v>
      </c>
      <c r="J424" s="93" t="s">
        <v>47</v>
      </c>
      <c r="K424" s="93"/>
      <c r="L424" s="95">
        <v>45.6</v>
      </c>
      <c r="M424" s="95">
        <f>L424*VLOOKUP(H424,dagsoorttabel1,2,FALSE)</f>
        <v>35.764705882352942</v>
      </c>
      <c r="N424" s="96">
        <f>prodnorm62</f>
        <v>0</v>
      </c>
      <c r="O424" s="37">
        <f>dagwerk62</f>
        <v>0</v>
      </c>
      <c r="P424" s="93" t="s">
        <v>105</v>
      </c>
      <c r="Q424" s="24">
        <f>uurtarief62</f>
        <v>0</v>
      </c>
      <c r="R424" s="95" t="e">
        <f>IF(ISBLANK(N424),0,M424/ROUND(N424,4))</f>
        <v>#DIV/0!</v>
      </c>
      <c r="S424" s="95" t="e">
        <f>IF(ISBLANK(N424),0,R424*ROUND(O424,2))</f>
        <v>#DIV/0!</v>
      </c>
      <c r="T424" s="24" t="e">
        <f>ROUND(Q424,2)*R424</f>
        <v>#DIV/0!</v>
      </c>
      <c r="U424" s="95" t="e">
        <f>R424*dagenperjaar1</f>
        <v>#DIV/0!</v>
      </c>
      <c r="V424" s="25" t="e">
        <f>U424*ROUND(Q424,2)</f>
        <v>#DIV/0!</v>
      </c>
    </row>
    <row r="425" spans="1:22" x14ac:dyDescent="0.2">
      <c r="A425" s="92" t="s">
        <v>527</v>
      </c>
      <c r="B425" s="93" t="s">
        <v>47</v>
      </c>
      <c r="C425" s="93" t="s">
        <v>558</v>
      </c>
      <c r="D425" s="93" t="s">
        <v>583</v>
      </c>
      <c r="E425" s="94" t="s">
        <v>423</v>
      </c>
      <c r="F425" s="93" t="s">
        <v>442</v>
      </c>
      <c r="G425" s="93" t="s">
        <v>304</v>
      </c>
      <c r="H425" s="93" t="s">
        <v>13</v>
      </c>
      <c r="I425" s="93" t="s">
        <v>255</v>
      </c>
      <c r="J425" s="93" t="s">
        <v>47</v>
      </c>
      <c r="K425" s="93"/>
      <c r="L425" s="95">
        <v>23.3</v>
      </c>
      <c r="M425" s="95">
        <f>L425*VLOOKUP(H425,dagsoorttabel1,2,FALSE)</f>
        <v>18.274509803921568</v>
      </c>
      <c r="N425" s="96">
        <f>prodnorm74</f>
        <v>0</v>
      </c>
      <c r="O425" s="37">
        <f>dagwerk74</f>
        <v>0</v>
      </c>
      <c r="P425" s="93" t="s">
        <v>105</v>
      </c>
      <c r="Q425" s="24">
        <f>uurtarief74</f>
        <v>0</v>
      </c>
      <c r="R425" s="95" t="e">
        <f>IF(ISBLANK(N425),0,M425/ROUND(N425,4))</f>
        <v>#DIV/0!</v>
      </c>
      <c r="S425" s="95" t="e">
        <f>IF(ISBLANK(N425),0,R425*ROUND(O425,2))</f>
        <v>#DIV/0!</v>
      </c>
      <c r="T425" s="24" t="e">
        <f>ROUND(Q425,2)*R425</f>
        <v>#DIV/0!</v>
      </c>
      <c r="U425" s="95" t="e">
        <f>R425*dagenperjaar1</f>
        <v>#DIV/0!</v>
      </c>
      <c r="V425" s="25" t="e">
        <f>U425*ROUND(Q425,2)</f>
        <v>#DIV/0!</v>
      </c>
    </row>
    <row r="426" spans="1:22" x14ac:dyDescent="0.2">
      <c r="A426" s="92" t="s">
        <v>527</v>
      </c>
      <c r="B426" s="93" t="s">
        <v>47</v>
      </c>
      <c r="C426" s="93" t="s">
        <v>558</v>
      </c>
      <c r="D426" s="93" t="s">
        <v>583</v>
      </c>
      <c r="E426" s="94" t="s">
        <v>423</v>
      </c>
      <c r="F426" s="93" t="s">
        <v>442</v>
      </c>
      <c r="G426" s="93" t="s">
        <v>306</v>
      </c>
      <c r="H426" s="93" t="s">
        <v>13</v>
      </c>
      <c r="I426" s="93" t="s">
        <v>255</v>
      </c>
      <c r="J426" s="93" t="s">
        <v>47</v>
      </c>
      <c r="K426" s="93"/>
      <c r="L426" s="95">
        <v>23.3</v>
      </c>
      <c r="M426" s="95">
        <f>L426*VLOOKUP(H426,dagsoorttabel1,2,FALSE)</f>
        <v>18.274509803921568</v>
      </c>
      <c r="N426" s="96">
        <f>prodnorm78</f>
        <v>0</v>
      </c>
      <c r="O426" s="37">
        <f>dagwerk78</f>
        <v>0</v>
      </c>
      <c r="P426" s="93" t="s">
        <v>105</v>
      </c>
      <c r="Q426" s="24">
        <f>uurtarief78</f>
        <v>0</v>
      </c>
      <c r="R426" s="95" t="e">
        <f>IF(ISBLANK(N426),0,M426/ROUND(N426,4))</f>
        <v>#DIV/0!</v>
      </c>
      <c r="S426" s="95" t="e">
        <f>IF(ISBLANK(N426),0,R426*ROUND(O426,2))</f>
        <v>#DIV/0!</v>
      </c>
      <c r="T426" s="24" t="e">
        <f>ROUND(Q426,2)*R426</f>
        <v>#DIV/0!</v>
      </c>
      <c r="U426" s="95" t="e">
        <f>R426*dagenperjaar1</f>
        <v>#DIV/0!</v>
      </c>
      <c r="V426" s="25" t="e">
        <f>U426*ROUND(Q426,2)</f>
        <v>#DIV/0!</v>
      </c>
    </row>
    <row r="427" spans="1:22" x14ac:dyDescent="0.2">
      <c r="A427" s="92" t="s">
        <v>527</v>
      </c>
      <c r="B427" s="93" t="s">
        <v>47</v>
      </c>
      <c r="C427" s="93" t="s">
        <v>558</v>
      </c>
      <c r="D427" s="93" t="s">
        <v>584</v>
      </c>
      <c r="E427" s="94" t="s">
        <v>531</v>
      </c>
      <c r="F427" s="93" t="s">
        <v>441</v>
      </c>
      <c r="G427" s="93" t="s">
        <v>308</v>
      </c>
      <c r="H427" s="93" t="s">
        <v>13</v>
      </c>
      <c r="I427" s="93" t="s">
        <v>255</v>
      </c>
      <c r="J427" s="93" t="s">
        <v>47</v>
      </c>
      <c r="K427" s="93"/>
      <c r="L427" s="95">
        <v>12.5</v>
      </c>
      <c r="M427" s="95">
        <f>L427*VLOOKUP(H427,dagsoorttabel1,2,FALSE)</f>
        <v>9.8039215686274517</v>
      </c>
      <c r="N427" s="96">
        <f>prodnorm81</f>
        <v>0</v>
      </c>
      <c r="O427" s="37">
        <f>dagwerk81</f>
        <v>0</v>
      </c>
      <c r="P427" s="93" t="s">
        <v>105</v>
      </c>
      <c r="Q427" s="24">
        <f>uurtarief81</f>
        <v>0</v>
      </c>
      <c r="R427" s="95" t="e">
        <f>IF(ISBLANK(N427),0,M427/ROUND(N427,4))</f>
        <v>#DIV/0!</v>
      </c>
      <c r="S427" s="95" t="e">
        <f>IF(ISBLANK(N427),0,R427*ROUND(O427,2))</f>
        <v>#DIV/0!</v>
      </c>
      <c r="T427" s="24" t="e">
        <f>ROUND(Q427,2)*R427</f>
        <v>#DIV/0!</v>
      </c>
      <c r="U427" s="95" t="e">
        <f>R427*dagenperjaar1</f>
        <v>#DIV/0!</v>
      </c>
      <c r="V427" s="25" t="e">
        <f>U427*ROUND(Q427,2)</f>
        <v>#DIV/0!</v>
      </c>
    </row>
    <row r="428" spans="1:22" x14ac:dyDescent="0.2">
      <c r="A428" s="92" t="s">
        <v>527</v>
      </c>
      <c r="B428" s="93" t="s">
        <v>47</v>
      </c>
      <c r="C428" s="93" t="s">
        <v>558</v>
      </c>
      <c r="D428" s="93" t="s">
        <v>585</v>
      </c>
      <c r="E428" s="94" t="s">
        <v>529</v>
      </c>
      <c r="F428" s="93" t="s">
        <v>441</v>
      </c>
      <c r="G428" s="93" t="s">
        <v>288</v>
      </c>
      <c r="H428" s="93" t="s">
        <v>13</v>
      </c>
      <c r="I428" s="93" t="s">
        <v>255</v>
      </c>
      <c r="J428" s="93" t="s">
        <v>47</v>
      </c>
      <c r="K428" s="93"/>
      <c r="L428" s="95">
        <v>45.6</v>
      </c>
      <c r="M428" s="95">
        <f>L428*VLOOKUP(H428,dagsoorttabel1,2,FALSE)</f>
        <v>35.764705882352942</v>
      </c>
      <c r="N428" s="96">
        <f>prodnorm62</f>
        <v>0</v>
      </c>
      <c r="O428" s="37">
        <f>dagwerk62</f>
        <v>0</v>
      </c>
      <c r="P428" s="93" t="s">
        <v>105</v>
      </c>
      <c r="Q428" s="24">
        <f>uurtarief62</f>
        <v>0</v>
      </c>
      <c r="R428" s="95" t="e">
        <f>IF(ISBLANK(N428),0,M428/ROUND(N428,4))</f>
        <v>#DIV/0!</v>
      </c>
      <c r="S428" s="95" t="e">
        <f>IF(ISBLANK(N428),0,R428*ROUND(O428,2))</f>
        <v>#DIV/0!</v>
      </c>
      <c r="T428" s="24" t="e">
        <f>ROUND(Q428,2)*R428</f>
        <v>#DIV/0!</v>
      </c>
      <c r="U428" s="95" t="e">
        <f>R428*dagenperjaar1</f>
        <v>#DIV/0!</v>
      </c>
      <c r="V428" s="25" t="e">
        <f>U428*ROUND(Q428,2)</f>
        <v>#DIV/0!</v>
      </c>
    </row>
    <row r="429" spans="1:22" x14ac:dyDescent="0.2">
      <c r="A429" s="92" t="s">
        <v>527</v>
      </c>
      <c r="B429" s="93" t="s">
        <v>47</v>
      </c>
      <c r="C429" s="93" t="s">
        <v>558</v>
      </c>
      <c r="D429" s="93" t="s">
        <v>586</v>
      </c>
      <c r="E429" s="94" t="s">
        <v>529</v>
      </c>
      <c r="F429" s="93" t="s">
        <v>441</v>
      </c>
      <c r="G429" s="93" t="s">
        <v>288</v>
      </c>
      <c r="H429" s="93" t="s">
        <v>13</v>
      </c>
      <c r="I429" s="93" t="s">
        <v>255</v>
      </c>
      <c r="J429" s="93" t="s">
        <v>47</v>
      </c>
      <c r="K429" s="93"/>
      <c r="L429" s="95">
        <v>24.1</v>
      </c>
      <c r="M429" s="95">
        <f>L429*VLOOKUP(H429,dagsoorttabel1,2,FALSE)</f>
        <v>18.901960784313726</v>
      </c>
      <c r="N429" s="96">
        <f>prodnorm62</f>
        <v>0</v>
      </c>
      <c r="O429" s="37">
        <f>dagwerk62</f>
        <v>0</v>
      </c>
      <c r="P429" s="93" t="s">
        <v>105</v>
      </c>
      <c r="Q429" s="24">
        <f>uurtarief62</f>
        <v>0</v>
      </c>
      <c r="R429" s="95" t="e">
        <f>IF(ISBLANK(N429),0,M429/ROUND(N429,4))</f>
        <v>#DIV/0!</v>
      </c>
      <c r="S429" s="95" t="e">
        <f>IF(ISBLANK(N429),0,R429*ROUND(O429,2))</f>
        <v>#DIV/0!</v>
      </c>
      <c r="T429" s="24" t="e">
        <f>ROUND(Q429,2)*R429</f>
        <v>#DIV/0!</v>
      </c>
      <c r="U429" s="95" t="e">
        <f>R429*dagenperjaar1</f>
        <v>#DIV/0!</v>
      </c>
      <c r="V429" s="25" t="e">
        <f>U429*ROUND(Q429,2)</f>
        <v>#DIV/0!</v>
      </c>
    </row>
    <row r="430" spans="1:22" x14ac:dyDescent="0.2">
      <c r="A430" s="92" t="s">
        <v>527</v>
      </c>
      <c r="B430" s="93" t="s">
        <v>47</v>
      </c>
      <c r="C430" s="93" t="s">
        <v>558</v>
      </c>
      <c r="D430" s="93" t="s">
        <v>587</v>
      </c>
      <c r="E430" s="94" t="s">
        <v>529</v>
      </c>
      <c r="F430" s="93" t="s">
        <v>441</v>
      </c>
      <c r="G430" s="93" t="s">
        <v>288</v>
      </c>
      <c r="H430" s="93" t="s">
        <v>13</v>
      </c>
      <c r="I430" s="93" t="s">
        <v>255</v>
      </c>
      <c r="J430" s="93" t="s">
        <v>47</v>
      </c>
      <c r="K430" s="93"/>
      <c r="L430" s="95">
        <v>17.3</v>
      </c>
      <c r="M430" s="95">
        <f>L430*VLOOKUP(H430,dagsoorttabel1,2,FALSE)</f>
        <v>13.568627450980392</v>
      </c>
      <c r="N430" s="96">
        <f>prodnorm62</f>
        <v>0</v>
      </c>
      <c r="O430" s="37">
        <f>dagwerk62</f>
        <v>0</v>
      </c>
      <c r="P430" s="93" t="s">
        <v>105</v>
      </c>
      <c r="Q430" s="24">
        <f>uurtarief62</f>
        <v>0</v>
      </c>
      <c r="R430" s="95" t="e">
        <f>IF(ISBLANK(N430),0,M430/ROUND(N430,4))</f>
        <v>#DIV/0!</v>
      </c>
      <c r="S430" s="95" t="e">
        <f>IF(ISBLANK(N430),0,R430*ROUND(O430,2))</f>
        <v>#DIV/0!</v>
      </c>
      <c r="T430" s="24" t="e">
        <f>ROUND(Q430,2)*R430</f>
        <v>#DIV/0!</v>
      </c>
      <c r="U430" s="95" t="e">
        <f>R430*dagenperjaar1</f>
        <v>#DIV/0!</v>
      </c>
      <c r="V430" s="25" t="e">
        <f>U430*ROUND(Q430,2)</f>
        <v>#DIV/0!</v>
      </c>
    </row>
    <row r="431" spans="1:22" x14ac:dyDescent="0.2">
      <c r="A431" s="92" t="s">
        <v>527</v>
      </c>
      <c r="B431" s="93" t="s">
        <v>47</v>
      </c>
      <c r="C431" s="93" t="s">
        <v>588</v>
      </c>
      <c r="D431" s="93" t="s">
        <v>589</v>
      </c>
      <c r="E431" s="94" t="s">
        <v>531</v>
      </c>
      <c r="F431" s="93" t="s">
        <v>441</v>
      </c>
      <c r="G431" s="93" t="s">
        <v>308</v>
      </c>
      <c r="H431" s="93" t="s">
        <v>13</v>
      </c>
      <c r="I431" s="93" t="s">
        <v>255</v>
      </c>
      <c r="J431" s="93" t="s">
        <v>47</v>
      </c>
      <c r="K431" s="93"/>
      <c r="L431" s="95">
        <v>23.04</v>
      </c>
      <c r="M431" s="95">
        <f>L431*VLOOKUP(H431,dagsoorttabel1,2,FALSE)</f>
        <v>18.070588235294117</v>
      </c>
      <c r="N431" s="96">
        <f>prodnorm81</f>
        <v>0</v>
      </c>
      <c r="O431" s="37">
        <f>dagwerk81</f>
        <v>0</v>
      </c>
      <c r="P431" s="93" t="s">
        <v>105</v>
      </c>
      <c r="Q431" s="24">
        <f>uurtarief81</f>
        <v>0</v>
      </c>
      <c r="R431" s="95" t="e">
        <f>IF(ISBLANK(N431),0,M431/ROUND(N431,4))</f>
        <v>#DIV/0!</v>
      </c>
      <c r="S431" s="95" t="e">
        <f>IF(ISBLANK(N431),0,R431*ROUND(O431,2))</f>
        <v>#DIV/0!</v>
      </c>
      <c r="T431" s="24" t="e">
        <f>ROUND(Q431,2)*R431</f>
        <v>#DIV/0!</v>
      </c>
      <c r="U431" s="95" t="e">
        <f>R431*dagenperjaar1</f>
        <v>#DIV/0!</v>
      </c>
      <c r="V431" s="25" t="e">
        <f>U431*ROUND(Q431,2)</f>
        <v>#DIV/0!</v>
      </c>
    </row>
    <row r="432" spans="1:22" x14ac:dyDescent="0.2">
      <c r="A432" s="92" t="s">
        <v>527</v>
      </c>
      <c r="B432" s="93" t="s">
        <v>47</v>
      </c>
      <c r="C432" s="93" t="s">
        <v>588</v>
      </c>
      <c r="D432" s="93" t="s">
        <v>589</v>
      </c>
      <c r="E432" s="94" t="s">
        <v>531</v>
      </c>
      <c r="F432" s="93" t="s">
        <v>441</v>
      </c>
      <c r="G432" s="93" t="s">
        <v>310</v>
      </c>
      <c r="H432" s="93" t="s">
        <v>13</v>
      </c>
      <c r="I432" s="93" t="s">
        <v>255</v>
      </c>
      <c r="J432" s="93" t="s">
        <v>47</v>
      </c>
      <c r="K432" s="93"/>
      <c r="L432" s="95">
        <v>23.04</v>
      </c>
      <c r="M432" s="95">
        <f>L432*VLOOKUP(H432,dagsoorttabel1,2,FALSE)</f>
        <v>18.070588235294117</v>
      </c>
      <c r="N432" s="96">
        <f>prodnorm85</f>
        <v>0</v>
      </c>
      <c r="O432" s="37">
        <f>dagwerk85</f>
        <v>0</v>
      </c>
      <c r="P432" s="93" t="s">
        <v>105</v>
      </c>
      <c r="Q432" s="24">
        <f>uurtarief85</f>
        <v>0</v>
      </c>
      <c r="R432" s="95" t="e">
        <f>IF(ISBLANK(N432),0,M432/ROUND(N432,4))</f>
        <v>#DIV/0!</v>
      </c>
      <c r="S432" s="95" t="e">
        <f>IF(ISBLANK(N432),0,R432*ROUND(O432,2))</f>
        <v>#DIV/0!</v>
      </c>
      <c r="T432" s="24" t="e">
        <f>ROUND(Q432,2)*R432</f>
        <v>#DIV/0!</v>
      </c>
      <c r="U432" s="95" t="e">
        <f>R432*dagenperjaar1</f>
        <v>#DIV/0!</v>
      </c>
      <c r="V432" s="25" t="e">
        <f>U432*ROUND(Q432,2)</f>
        <v>#DIV/0!</v>
      </c>
    </row>
    <row r="433" spans="1:22" x14ac:dyDescent="0.2">
      <c r="A433" s="92" t="s">
        <v>527</v>
      </c>
      <c r="B433" s="93" t="s">
        <v>47</v>
      </c>
      <c r="C433" s="93" t="s">
        <v>588</v>
      </c>
      <c r="D433" s="93" t="s">
        <v>590</v>
      </c>
      <c r="E433" s="94" t="s">
        <v>459</v>
      </c>
      <c r="F433" s="93" t="s">
        <v>441</v>
      </c>
      <c r="G433" s="93" t="s">
        <v>314</v>
      </c>
      <c r="H433" s="93" t="s">
        <v>13</v>
      </c>
      <c r="I433" s="93" t="s">
        <v>255</v>
      </c>
      <c r="J433" s="93" t="s">
        <v>47</v>
      </c>
      <c r="K433" s="93"/>
      <c r="L433" s="95">
        <v>57.2</v>
      </c>
      <c r="M433" s="95">
        <f>L433*VLOOKUP(H433,dagsoorttabel1,2,FALSE)</f>
        <v>44.86274509803922</v>
      </c>
      <c r="N433" s="96">
        <f>prodnorm88</f>
        <v>0</v>
      </c>
      <c r="O433" s="37">
        <f>dagwerk88</f>
        <v>0</v>
      </c>
      <c r="P433" s="93" t="s">
        <v>105</v>
      </c>
      <c r="Q433" s="24">
        <f>uurtarief88</f>
        <v>0</v>
      </c>
      <c r="R433" s="95" t="e">
        <f>IF(ISBLANK(N433),0,M433/ROUND(N433,4))</f>
        <v>#DIV/0!</v>
      </c>
      <c r="S433" s="95" t="e">
        <f>IF(ISBLANK(N433),0,R433*ROUND(O433,2))</f>
        <v>#DIV/0!</v>
      </c>
      <c r="T433" s="24" t="e">
        <f>ROUND(Q433,2)*R433</f>
        <v>#DIV/0!</v>
      </c>
      <c r="U433" s="95" t="e">
        <f>R433*dagenperjaar1</f>
        <v>#DIV/0!</v>
      </c>
      <c r="V433" s="25" t="e">
        <f>U433*ROUND(Q433,2)</f>
        <v>#DIV/0!</v>
      </c>
    </row>
    <row r="434" spans="1:22" x14ac:dyDescent="0.2">
      <c r="A434" s="92" t="s">
        <v>527</v>
      </c>
      <c r="B434" s="93" t="s">
        <v>47</v>
      </c>
      <c r="C434" s="93" t="s">
        <v>588</v>
      </c>
      <c r="D434" s="93" t="s">
        <v>591</v>
      </c>
      <c r="E434" s="94" t="s">
        <v>529</v>
      </c>
      <c r="F434" s="93" t="s">
        <v>441</v>
      </c>
      <c r="G434" s="93" t="s">
        <v>288</v>
      </c>
      <c r="H434" s="93" t="s">
        <v>13</v>
      </c>
      <c r="I434" s="93" t="s">
        <v>255</v>
      </c>
      <c r="J434" s="93" t="s">
        <v>47</v>
      </c>
      <c r="K434" s="93"/>
      <c r="L434" s="95">
        <v>15.3</v>
      </c>
      <c r="M434" s="95">
        <f>L434*VLOOKUP(H434,dagsoorttabel1,2,FALSE)</f>
        <v>12</v>
      </c>
      <c r="N434" s="96">
        <f>prodnorm62</f>
        <v>0</v>
      </c>
      <c r="O434" s="37">
        <f>dagwerk62</f>
        <v>0</v>
      </c>
      <c r="P434" s="93" t="s">
        <v>105</v>
      </c>
      <c r="Q434" s="24">
        <f>uurtarief62</f>
        <v>0</v>
      </c>
      <c r="R434" s="95" t="e">
        <f>IF(ISBLANK(N434),0,M434/ROUND(N434,4))</f>
        <v>#DIV/0!</v>
      </c>
      <c r="S434" s="95" t="e">
        <f>IF(ISBLANK(N434),0,R434*ROUND(O434,2))</f>
        <v>#DIV/0!</v>
      </c>
      <c r="T434" s="24" t="e">
        <f>ROUND(Q434,2)*R434</f>
        <v>#DIV/0!</v>
      </c>
      <c r="U434" s="95" t="e">
        <f>R434*dagenperjaar1</f>
        <v>#DIV/0!</v>
      </c>
      <c r="V434" s="25" t="e">
        <f>U434*ROUND(Q434,2)</f>
        <v>#DIV/0!</v>
      </c>
    </row>
    <row r="435" spans="1:22" x14ac:dyDescent="0.2">
      <c r="A435" s="92" t="s">
        <v>527</v>
      </c>
      <c r="B435" s="93" t="s">
        <v>47</v>
      </c>
      <c r="C435" s="93" t="s">
        <v>588</v>
      </c>
      <c r="D435" s="93" t="s">
        <v>592</v>
      </c>
      <c r="E435" s="94" t="s">
        <v>529</v>
      </c>
      <c r="F435" s="93" t="s">
        <v>441</v>
      </c>
      <c r="G435" s="93" t="s">
        <v>288</v>
      </c>
      <c r="H435" s="93" t="s">
        <v>13</v>
      </c>
      <c r="I435" s="93" t="s">
        <v>255</v>
      </c>
      <c r="J435" s="93" t="s">
        <v>47</v>
      </c>
      <c r="K435" s="93"/>
      <c r="L435" s="95">
        <v>14.8</v>
      </c>
      <c r="M435" s="95">
        <f>L435*VLOOKUP(H435,dagsoorttabel1,2,FALSE)</f>
        <v>11.607843137254902</v>
      </c>
      <c r="N435" s="96">
        <f>prodnorm62</f>
        <v>0</v>
      </c>
      <c r="O435" s="37">
        <f>dagwerk62</f>
        <v>0</v>
      </c>
      <c r="P435" s="93" t="s">
        <v>105</v>
      </c>
      <c r="Q435" s="24">
        <f>uurtarief62</f>
        <v>0</v>
      </c>
      <c r="R435" s="95" t="e">
        <f>IF(ISBLANK(N435),0,M435/ROUND(N435,4))</f>
        <v>#DIV/0!</v>
      </c>
      <c r="S435" s="95" t="e">
        <f>IF(ISBLANK(N435),0,R435*ROUND(O435,2))</f>
        <v>#DIV/0!</v>
      </c>
      <c r="T435" s="24" t="e">
        <f>ROUND(Q435,2)*R435</f>
        <v>#DIV/0!</v>
      </c>
      <c r="U435" s="95" t="e">
        <f>R435*dagenperjaar1</f>
        <v>#DIV/0!</v>
      </c>
      <c r="V435" s="25" t="e">
        <f>U435*ROUND(Q435,2)</f>
        <v>#DIV/0!</v>
      </c>
    </row>
    <row r="436" spans="1:22" x14ac:dyDescent="0.2">
      <c r="A436" s="92" t="s">
        <v>527</v>
      </c>
      <c r="B436" s="93" t="s">
        <v>47</v>
      </c>
      <c r="C436" s="93" t="s">
        <v>588</v>
      </c>
      <c r="D436" s="93" t="s">
        <v>593</v>
      </c>
      <c r="E436" s="94" t="s">
        <v>459</v>
      </c>
      <c r="F436" s="93" t="s">
        <v>441</v>
      </c>
      <c r="G436" s="93" t="s">
        <v>314</v>
      </c>
      <c r="H436" s="93" t="s">
        <v>13</v>
      </c>
      <c r="I436" s="93" t="s">
        <v>255</v>
      </c>
      <c r="J436" s="93" t="s">
        <v>47</v>
      </c>
      <c r="K436" s="93"/>
      <c r="L436" s="95">
        <v>57.5</v>
      </c>
      <c r="M436" s="95">
        <f>L436*VLOOKUP(H436,dagsoorttabel1,2,FALSE)</f>
        <v>45.098039215686271</v>
      </c>
      <c r="N436" s="96">
        <f>prodnorm88</f>
        <v>0</v>
      </c>
      <c r="O436" s="37">
        <f>dagwerk88</f>
        <v>0</v>
      </c>
      <c r="P436" s="93" t="s">
        <v>105</v>
      </c>
      <c r="Q436" s="24">
        <f>uurtarief88</f>
        <v>0</v>
      </c>
      <c r="R436" s="95" t="e">
        <f>IF(ISBLANK(N436),0,M436/ROUND(N436,4))</f>
        <v>#DIV/0!</v>
      </c>
      <c r="S436" s="95" t="e">
        <f>IF(ISBLANK(N436),0,R436*ROUND(O436,2))</f>
        <v>#DIV/0!</v>
      </c>
      <c r="T436" s="24" t="e">
        <f>ROUND(Q436,2)*R436</f>
        <v>#DIV/0!</v>
      </c>
      <c r="U436" s="95" t="e">
        <f>R436*dagenperjaar1</f>
        <v>#DIV/0!</v>
      </c>
      <c r="V436" s="25" t="e">
        <f>U436*ROUND(Q436,2)</f>
        <v>#DIV/0!</v>
      </c>
    </row>
    <row r="437" spans="1:22" x14ac:dyDescent="0.2">
      <c r="A437" s="92" t="s">
        <v>527</v>
      </c>
      <c r="B437" s="93" t="s">
        <v>47</v>
      </c>
      <c r="C437" s="93" t="s">
        <v>588</v>
      </c>
      <c r="D437" s="93" t="s">
        <v>594</v>
      </c>
      <c r="E437" s="94" t="s">
        <v>423</v>
      </c>
      <c r="F437" s="93" t="s">
        <v>442</v>
      </c>
      <c r="G437" s="93" t="s">
        <v>304</v>
      </c>
      <c r="H437" s="93" t="s">
        <v>13</v>
      </c>
      <c r="I437" s="93" t="s">
        <v>255</v>
      </c>
      <c r="J437" s="93" t="s">
        <v>47</v>
      </c>
      <c r="K437" s="93"/>
      <c r="L437" s="95">
        <v>23.3</v>
      </c>
      <c r="M437" s="95">
        <f>L437*VLOOKUP(H437,dagsoorttabel1,2,FALSE)</f>
        <v>18.274509803921568</v>
      </c>
      <c r="N437" s="96">
        <f>prodnorm74</f>
        <v>0</v>
      </c>
      <c r="O437" s="37">
        <f>dagwerk74</f>
        <v>0</v>
      </c>
      <c r="P437" s="93" t="s">
        <v>105</v>
      </c>
      <c r="Q437" s="24">
        <f>uurtarief74</f>
        <v>0</v>
      </c>
      <c r="R437" s="95" t="e">
        <f>IF(ISBLANK(N437),0,M437/ROUND(N437,4))</f>
        <v>#DIV/0!</v>
      </c>
      <c r="S437" s="95" t="e">
        <f>IF(ISBLANK(N437),0,R437*ROUND(O437,2))</f>
        <v>#DIV/0!</v>
      </c>
      <c r="T437" s="24" t="e">
        <f>ROUND(Q437,2)*R437</f>
        <v>#DIV/0!</v>
      </c>
      <c r="U437" s="95" t="e">
        <f>R437*dagenperjaar1</f>
        <v>#DIV/0!</v>
      </c>
      <c r="V437" s="25" t="e">
        <f>U437*ROUND(Q437,2)</f>
        <v>#DIV/0!</v>
      </c>
    </row>
    <row r="438" spans="1:22" x14ac:dyDescent="0.2">
      <c r="A438" s="92" t="s">
        <v>527</v>
      </c>
      <c r="B438" s="93" t="s">
        <v>47</v>
      </c>
      <c r="C438" s="93" t="s">
        <v>588</v>
      </c>
      <c r="D438" s="93" t="s">
        <v>594</v>
      </c>
      <c r="E438" s="94" t="s">
        <v>423</v>
      </c>
      <c r="F438" s="93" t="s">
        <v>442</v>
      </c>
      <c r="G438" s="93" t="s">
        <v>306</v>
      </c>
      <c r="H438" s="93" t="s">
        <v>13</v>
      </c>
      <c r="I438" s="93" t="s">
        <v>255</v>
      </c>
      <c r="J438" s="93" t="s">
        <v>47</v>
      </c>
      <c r="K438" s="93"/>
      <c r="L438" s="95">
        <v>23.3</v>
      </c>
      <c r="M438" s="95">
        <f>L438*VLOOKUP(H438,dagsoorttabel1,2,FALSE)</f>
        <v>18.274509803921568</v>
      </c>
      <c r="N438" s="96">
        <f>prodnorm78</f>
        <v>0</v>
      </c>
      <c r="O438" s="37">
        <f>dagwerk78</f>
        <v>0</v>
      </c>
      <c r="P438" s="93" t="s">
        <v>105</v>
      </c>
      <c r="Q438" s="24">
        <f>uurtarief78</f>
        <v>0</v>
      </c>
      <c r="R438" s="95" t="e">
        <f>IF(ISBLANK(N438),0,M438/ROUND(N438,4))</f>
        <v>#DIV/0!</v>
      </c>
      <c r="S438" s="95" t="e">
        <f>IF(ISBLANK(N438),0,R438*ROUND(O438,2))</f>
        <v>#DIV/0!</v>
      </c>
      <c r="T438" s="24" t="e">
        <f>ROUND(Q438,2)*R438</f>
        <v>#DIV/0!</v>
      </c>
      <c r="U438" s="95" t="e">
        <f>R438*dagenperjaar1</f>
        <v>#DIV/0!</v>
      </c>
      <c r="V438" s="25" t="e">
        <f>U438*ROUND(Q438,2)</f>
        <v>#DIV/0!</v>
      </c>
    </row>
    <row r="439" spans="1:22" x14ac:dyDescent="0.2">
      <c r="A439" s="92" t="s">
        <v>527</v>
      </c>
      <c r="B439" s="93" t="s">
        <v>47</v>
      </c>
      <c r="C439" s="93" t="s">
        <v>588</v>
      </c>
      <c r="D439" s="93" t="s">
        <v>595</v>
      </c>
      <c r="E439" s="94" t="s">
        <v>529</v>
      </c>
      <c r="F439" s="93" t="s">
        <v>441</v>
      </c>
      <c r="G439" s="93" t="s">
        <v>288</v>
      </c>
      <c r="H439" s="93" t="s">
        <v>13</v>
      </c>
      <c r="I439" s="93" t="s">
        <v>255</v>
      </c>
      <c r="J439" s="93" t="s">
        <v>47</v>
      </c>
      <c r="K439" s="93"/>
      <c r="L439" s="95">
        <v>45.6</v>
      </c>
      <c r="M439" s="95">
        <f>L439*VLOOKUP(H439,dagsoorttabel1,2,FALSE)</f>
        <v>35.764705882352942</v>
      </c>
      <c r="N439" s="96">
        <f>prodnorm62</f>
        <v>0</v>
      </c>
      <c r="O439" s="37">
        <f>dagwerk62</f>
        <v>0</v>
      </c>
      <c r="P439" s="93" t="s">
        <v>105</v>
      </c>
      <c r="Q439" s="24">
        <f>uurtarief62</f>
        <v>0</v>
      </c>
      <c r="R439" s="95" t="e">
        <f>IF(ISBLANK(N439),0,M439/ROUND(N439,4))</f>
        <v>#DIV/0!</v>
      </c>
      <c r="S439" s="95" t="e">
        <f>IF(ISBLANK(N439),0,R439*ROUND(O439,2))</f>
        <v>#DIV/0!</v>
      </c>
      <c r="T439" s="24" t="e">
        <f>ROUND(Q439,2)*R439</f>
        <v>#DIV/0!</v>
      </c>
      <c r="U439" s="95" t="e">
        <f>R439*dagenperjaar1</f>
        <v>#DIV/0!</v>
      </c>
      <c r="V439" s="25" t="e">
        <f>U439*ROUND(Q439,2)</f>
        <v>#DIV/0!</v>
      </c>
    </row>
    <row r="440" spans="1:22" x14ac:dyDescent="0.2">
      <c r="A440" s="92" t="s">
        <v>527</v>
      </c>
      <c r="B440" s="93" t="s">
        <v>47</v>
      </c>
      <c r="C440" s="93" t="s">
        <v>588</v>
      </c>
      <c r="D440" s="93" t="s">
        <v>596</v>
      </c>
      <c r="E440" s="94" t="s">
        <v>529</v>
      </c>
      <c r="F440" s="93" t="s">
        <v>441</v>
      </c>
      <c r="G440" s="93" t="s">
        <v>288</v>
      </c>
      <c r="H440" s="93" t="s">
        <v>13</v>
      </c>
      <c r="I440" s="93" t="s">
        <v>255</v>
      </c>
      <c r="J440" s="93" t="s">
        <v>47</v>
      </c>
      <c r="K440" s="93"/>
      <c r="L440" s="95">
        <v>45.6</v>
      </c>
      <c r="M440" s="95">
        <f>L440*VLOOKUP(H440,dagsoorttabel1,2,FALSE)</f>
        <v>35.764705882352942</v>
      </c>
      <c r="N440" s="96">
        <f>prodnorm62</f>
        <v>0</v>
      </c>
      <c r="O440" s="37">
        <f>dagwerk62</f>
        <v>0</v>
      </c>
      <c r="P440" s="93" t="s">
        <v>105</v>
      </c>
      <c r="Q440" s="24">
        <f>uurtarief62</f>
        <v>0</v>
      </c>
      <c r="R440" s="95" t="e">
        <f>IF(ISBLANK(N440),0,M440/ROUND(N440,4))</f>
        <v>#DIV/0!</v>
      </c>
      <c r="S440" s="95" t="e">
        <f>IF(ISBLANK(N440),0,R440*ROUND(O440,2))</f>
        <v>#DIV/0!</v>
      </c>
      <c r="T440" s="24" t="e">
        <f>ROUND(Q440,2)*R440</f>
        <v>#DIV/0!</v>
      </c>
      <c r="U440" s="95" t="e">
        <f>R440*dagenperjaar1</f>
        <v>#DIV/0!</v>
      </c>
      <c r="V440" s="25" t="e">
        <f>U440*ROUND(Q440,2)</f>
        <v>#DIV/0!</v>
      </c>
    </row>
    <row r="441" spans="1:22" x14ac:dyDescent="0.2">
      <c r="A441" s="92" t="s">
        <v>527</v>
      </c>
      <c r="B441" s="93" t="s">
        <v>47</v>
      </c>
      <c r="C441" s="93" t="s">
        <v>588</v>
      </c>
      <c r="D441" s="93" t="s">
        <v>597</v>
      </c>
      <c r="E441" s="94" t="s">
        <v>531</v>
      </c>
      <c r="F441" s="93" t="s">
        <v>441</v>
      </c>
      <c r="G441" s="93" t="s">
        <v>308</v>
      </c>
      <c r="H441" s="93" t="s">
        <v>13</v>
      </c>
      <c r="I441" s="93" t="s">
        <v>255</v>
      </c>
      <c r="J441" s="93" t="s">
        <v>47</v>
      </c>
      <c r="K441" s="93"/>
      <c r="L441" s="95">
        <v>13.32</v>
      </c>
      <c r="M441" s="95">
        <f>L441*VLOOKUP(H441,dagsoorttabel1,2,FALSE)</f>
        <v>10.447058823529412</v>
      </c>
      <c r="N441" s="96">
        <f>prodnorm81</f>
        <v>0</v>
      </c>
      <c r="O441" s="37">
        <f>dagwerk81</f>
        <v>0</v>
      </c>
      <c r="P441" s="93" t="s">
        <v>105</v>
      </c>
      <c r="Q441" s="24">
        <f>uurtarief81</f>
        <v>0</v>
      </c>
      <c r="R441" s="95" t="e">
        <f>IF(ISBLANK(N441),0,M441/ROUND(N441,4))</f>
        <v>#DIV/0!</v>
      </c>
      <c r="S441" s="95" t="e">
        <f>IF(ISBLANK(N441),0,R441*ROUND(O441,2))</f>
        <v>#DIV/0!</v>
      </c>
      <c r="T441" s="24" t="e">
        <f>ROUND(Q441,2)*R441</f>
        <v>#DIV/0!</v>
      </c>
      <c r="U441" s="95" t="e">
        <f>R441*dagenperjaar1</f>
        <v>#DIV/0!</v>
      </c>
      <c r="V441" s="25" t="e">
        <f>U441*ROUND(Q441,2)</f>
        <v>#DIV/0!</v>
      </c>
    </row>
    <row r="442" spans="1:22" x14ac:dyDescent="0.2">
      <c r="A442" s="92" t="s">
        <v>527</v>
      </c>
      <c r="B442" s="93" t="s">
        <v>47</v>
      </c>
      <c r="C442" s="93" t="s">
        <v>588</v>
      </c>
      <c r="D442" s="93" t="s">
        <v>598</v>
      </c>
      <c r="E442" s="94" t="s">
        <v>529</v>
      </c>
      <c r="F442" s="93" t="s">
        <v>441</v>
      </c>
      <c r="G442" s="93" t="s">
        <v>288</v>
      </c>
      <c r="H442" s="93" t="s">
        <v>13</v>
      </c>
      <c r="I442" s="93" t="s">
        <v>255</v>
      </c>
      <c r="J442" s="93" t="s">
        <v>47</v>
      </c>
      <c r="K442" s="93"/>
      <c r="L442" s="95">
        <v>45.6</v>
      </c>
      <c r="M442" s="95">
        <f>L442*VLOOKUP(H442,dagsoorttabel1,2,FALSE)</f>
        <v>35.764705882352942</v>
      </c>
      <c r="N442" s="96">
        <f>prodnorm62</f>
        <v>0</v>
      </c>
      <c r="O442" s="37">
        <f>dagwerk62</f>
        <v>0</v>
      </c>
      <c r="P442" s="93" t="s">
        <v>105</v>
      </c>
      <c r="Q442" s="24">
        <f>uurtarief62</f>
        <v>0</v>
      </c>
      <c r="R442" s="95" t="e">
        <f>IF(ISBLANK(N442),0,M442/ROUND(N442,4))</f>
        <v>#DIV/0!</v>
      </c>
      <c r="S442" s="95" t="e">
        <f>IF(ISBLANK(N442),0,R442*ROUND(O442,2))</f>
        <v>#DIV/0!</v>
      </c>
      <c r="T442" s="24" t="e">
        <f>ROUND(Q442,2)*R442</f>
        <v>#DIV/0!</v>
      </c>
      <c r="U442" s="95" t="e">
        <f>R442*dagenperjaar1</f>
        <v>#DIV/0!</v>
      </c>
      <c r="V442" s="25" t="e">
        <f>U442*ROUND(Q442,2)</f>
        <v>#DIV/0!</v>
      </c>
    </row>
    <row r="443" spans="1:22" x14ac:dyDescent="0.2">
      <c r="A443" s="92" t="s">
        <v>527</v>
      </c>
      <c r="B443" s="93" t="s">
        <v>47</v>
      </c>
      <c r="C443" s="93" t="s">
        <v>588</v>
      </c>
      <c r="D443" s="93" t="s">
        <v>599</v>
      </c>
      <c r="E443" s="94" t="s">
        <v>529</v>
      </c>
      <c r="F443" s="93" t="s">
        <v>441</v>
      </c>
      <c r="G443" s="93" t="s">
        <v>288</v>
      </c>
      <c r="H443" s="93" t="s">
        <v>13</v>
      </c>
      <c r="I443" s="93" t="s">
        <v>255</v>
      </c>
      <c r="J443" s="93" t="s">
        <v>47</v>
      </c>
      <c r="K443" s="93"/>
      <c r="L443" s="95">
        <v>45.6</v>
      </c>
      <c r="M443" s="95">
        <f>L443*VLOOKUP(H443,dagsoorttabel1,2,FALSE)</f>
        <v>35.764705882352942</v>
      </c>
      <c r="N443" s="96">
        <f>prodnorm62</f>
        <v>0</v>
      </c>
      <c r="O443" s="37">
        <f>dagwerk62</f>
        <v>0</v>
      </c>
      <c r="P443" s="93" t="s">
        <v>105</v>
      </c>
      <c r="Q443" s="24">
        <f>uurtarief62</f>
        <v>0</v>
      </c>
      <c r="R443" s="95" t="e">
        <f>IF(ISBLANK(N443),0,M443/ROUND(N443,4))</f>
        <v>#DIV/0!</v>
      </c>
      <c r="S443" s="95" t="e">
        <f>IF(ISBLANK(N443),0,R443*ROUND(O443,2))</f>
        <v>#DIV/0!</v>
      </c>
      <c r="T443" s="24" t="e">
        <f>ROUND(Q443,2)*R443</f>
        <v>#DIV/0!</v>
      </c>
      <c r="U443" s="95" t="e">
        <f>R443*dagenperjaar1</f>
        <v>#DIV/0!</v>
      </c>
      <c r="V443" s="25" t="e">
        <f>U443*ROUND(Q443,2)</f>
        <v>#DIV/0!</v>
      </c>
    </row>
    <row r="444" spans="1:22" x14ac:dyDescent="0.2">
      <c r="A444" s="92" t="s">
        <v>527</v>
      </c>
      <c r="B444" s="93" t="s">
        <v>47</v>
      </c>
      <c r="C444" s="93" t="s">
        <v>588</v>
      </c>
      <c r="D444" s="93" t="s">
        <v>600</v>
      </c>
      <c r="E444" s="94" t="s">
        <v>529</v>
      </c>
      <c r="F444" s="93" t="s">
        <v>441</v>
      </c>
      <c r="G444" s="93" t="s">
        <v>288</v>
      </c>
      <c r="H444" s="93" t="s">
        <v>13</v>
      </c>
      <c r="I444" s="93" t="s">
        <v>255</v>
      </c>
      <c r="J444" s="93" t="s">
        <v>47</v>
      </c>
      <c r="K444" s="93"/>
      <c r="L444" s="95">
        <v>45.6</v>
      </c>
      <c r="M444" s="95">
        <f>L444*VLOOKUP(H444,dagsoorttabel1,2,FALSE)</f>
        <v>35.764705882352942</v>
      </c>
      <c r="N444" s="96">
        <f>prodnorm62</f>
        <v>0</v>
      </c>
      <c r="O444" s="37">
        <f>dagwerk62</f>
        <v>0</v>
      </c>
      <c r="P444" s="93" t="s">
        <v>105</v>
      </c>
      <c r="Q444" s="24">
        <f>uurtarief62</f>
        <v>0</v>
      </c>
      <c r="R444" s="95" t="e">
        <f>IF(ISBLANK(N444),0,M444/ROUND(N444,4))</f>
        <v>#DIV/0!</v>
      </c>
      <c r="S444" s="95" t="e">
        <f>IF(ISBLANK(N444),0,R444*ROUND(O444,2))</f>
        <v>#DIV/0!</v>
      </c>
      <c r="T444" s="24" t="e">
        <f>ROUND(Q444,2)*R444</f>
        <v>#DIV/0!</v>
      </c>
      <c r="U444" s="95" t="e">
        <f>R444*dagenperjaar1</f>
        <v>#DIV/0!</v>
      </c>
      <c r="V444" s="25" t="e">
        <f>U444*ROUND(Q444,2)</f>
        <v>#DIV/0!</v>
      </c>
    </row>
    <row r="445" spans="1:22" x14ac:dyDescent="0.2">
      <c r="A445" s="92" t="s">
        <v>527</v>
      </c>
      <c r="B445" s="93" t="s">
        <v>47</v>
      </c>
      <c r="C445" s="93" t="s">
        <v>588</v>
      </c>
      <c r="D445" s="93" t="s">
        <v>601</v>
      </c>
      <c r="E445" s="94" t="s">
        <v>423</v>
      </c>
      <c r="F445" s="93" t="s">
        <v>442</v>
      </c>
      <c r="G445" s="93" t="s">
        <v>304</v>
      </c>
      <c r="H445" s="93" t="s">
        <v>13</v>
      </c>
      <c r="I445" s="93" t="s">
        <v>255</v>
      </c>
      <c r="J445" s="93" t="s">
        <v>47</v>
      </c>
      <c r="K445" s="93"/>
      <c r="L445" s="95">
        <v>23.3</v>
      </c>
      <c r="M445" s="95">
        <f>L445*VLOOKUP(H445,dagsoorttabel1,2,FALSE)</f>
        <v>18.274509803921568</v>
      </c>
      <c r="N445" s="96">
        <f>prodnorm74</f>
        <v>0</v>
      </c>
      <c r="O445" s="37">
        <f>dagwerk74</f>
        <v>0</v>
      </c>
      <c r="P445" s="93" t="s">
        <v>105</v>
      </c>
      <c r="Q445" s="24">
        <f>uurtarief74</f>
        <v>0</v>
      </c>
      <c r="R445" s="95" t="e">
        <f>IF(ISBLANK(N445),0,M445/ROUND(N445,4))</f>
        <v>#DIV/0!</v>
      </c>
      <c r="S445" s="95" t="e">
        <f>IF(ISBLANK(N445),0,R445*ROUND(O445,2))</f>
        <v>#DIV/0!</v>
      </c>
      <c r="T445" s="24" t="e">
        <f>ROUND(Q445,2)*R445</f>
        <v>#DIV/0!</v>
      </c>
      <c r="U445" s="95" t="e">
        <f>R445*dagenperjaar1</f>
        <v>#DIV/0!</v>
      </c>
      <c r="V445" s="25" t="e">
        <f>U445*ROUND(Q445,2)</f>
        <v>#DIV/0!</v>
      </c>
    </row>
    <row r="446" spans="1:22" x14ac:dyDescent="0.2">
      <c r="A446" s="92" t="s">
        <v>527</v>
      </c>
      <c r="B446" s="93" t="s">
        <v>47</v>
      </c>
      <c r="C446" s="93" t="s">
        <v>588</v>
      </c>
      <c r="D446" s="93" t="s">
        <v>601</v>
      </c>
      <c r="E446" s="94" t="s">
        <v>423</v>
      </c>
      <c r="F446" s="93" t="s">
        <v>442</v>
      </c>
      <c r="G446" s="93" t="s">
        <v>306</v>
      </c>
      <c r="H446" s="93" t="s">
        <v>13</v>
      </c>
      <c r="I446" s="93" t="s">
        <v>255</v>
      </c>
      <c r="J446" s="93" t="s">
        <v>47</v>
      </c>
      <c r="K446" s="93"/>
      <c r="L446" s="95">
        <v>23.3</v>
      </c>
      <c r="M446" s="95">
        <f>L446*VLOOKUP(H446,dagsoorttabel1,2,FALSE)</f>
        <v>18.274509803921568</v>
      </c>
      <c r="N446" s="96">
        <f>prodnorm78</f>
        <v>0</v>
      </c>
      <c r="O446" s="37">
        <f>dagwerk78</f>
        <v>0</v>
      </c>
      <c r="P446" s="93" t="s">
        <v>105</v>
      </c>
      <c r="Q446" s="24">
        <f>uurtarief78</f>
        <v>0</v>
      </c>
      <c r="R446" s="95" t="e">
        <f>IF(ISBLANK(N446),0,M446/ROUND(N446,4))</f>
        <v>#DIV/0!</v>
      </c>
      <c r="S446" s="95" t="e">
        <f>IF(ISBLANK(N446),0,R446*ROUND(O446,2))</f>
        <v>#DIV/0!</v>
      </c>
      <c r="T446" s="24" t="e">
        <f>ROUND(Q446,2)*R446</f>
        <v>#DIV/0!</v>
      </c>
      <c r="U446" s="95" t="e">
        <f>R446*dagenperjaar1</f>
        <v>#DIV/0!</v>
      </c>
      <c r="V446" s="25" t="e">
        <f>U446*ROUND(Q446,2)</f>
        <v>#DIV/0!</v>
      </c>
    </row>
    <row r="447" spans="1:22" x14ac:dyDescent="0.2">
      <c r="A447" s="92" t="s">
        <v>527</v>
      </c>
      <c r="B447" s="93" t="s">
        <v>47</v>
      </c>
      <c r="C447" s="93" t="s">
        <v>588</v>
      </c>
      <c r="D447" s="93" t="s">
        <v>602</v>
      </c>
      <c r="E447" s="94" t="s">
        <v>423</v>
      </c>
      <c r="F447" s="93" t="s">
        <v>442</v>
      </c>
      <c r="G447" s="93" t="s">
        <v>304</v>
      </c>
      <c r="H447" s="93" t="s">
        <v>13</v>
      </c>
      <c r="I447" s="93" t="s">
        <v>255</v>
      </c>
      <c r="J447" s="93" t="s">
        <v>47</v>
      </c>
      <c r="K447" s="93"/>
      <c r="L447" s="95">
        <v>23.3</v>
      </c>
      <c r="M447" s="95">
        <f>L447*VLOOKUP(H447,dagsoorttabel1,2,FALSE)</f>
        <v>18.274509803921568</v>
      </c>
      <c r="N447" s="96">
        <f>prodnorm74</f>
        <v>0</v>
      </c>
      <c r="O447" s="37">
        <f>dagwerk74</f>
        <v>0</v>
      </c>
      <c r="P447" s="93" t="s">
        <v>105</v>
      </c>
      <c r="Q447" s="24">
        <f>uurtarief74</f>
        <v>0</v>
      </c>
      <c r="R447" s="95" t="e">
        <f>IF(ISBLANK(N447),0,M447/ROUND(N447,4))</f>
        <v>#DIV/0!</v>
      </c>
      <c r="S447" s="95" t="e">
        <f>IF(ISBLANK(N447),0,R447*ROUND(O447,2))</f>
        <v>#DIV/0!</v>
      </c>
      <c r="T447" s="24" t="e">
        <f>ROUND(Q447,2)*R447</f>
        <v>#DIV/0!</v>
      </c>
      <c r="U447" s="95" t="e">
        <f>R447*dagenperjaar1</f>
        <v>#DIV/0!</v>
      </c>
      <c r="V447" s="25" t="e">
        <f>U447*ROUND(Q447,2)</f>
        <v>#DIV/0!</v>
      </c>
    </row>
    <row r="448" spans="1:22" x14ac:dyDescent="0.2">
      <c r="A448" s="92" t="s">
        <v>527</v>
      </c>
      <c r="B448" s="93" t="s">
        <v>47</v>
      </c>
      <c r="C448" s="93" t="s">
        <v>588</v>
      </c>
      <c r="D448" s="93" t="s">
        <v>602</v>
      </c>
      <c r="E448" s="94" t="s">
        <v>423</v>
      </c>
      <c r="F448" s="93" t="s">
        <v>442</v>
      </c>
      <c r="G448" s="93" t="s">
        <v>306</v>
      </c>
      <c r="H448" s="93" t="s">
        <v>13</v>
      </c>
      <c r="I448" s="93" t="s">
        <v>255</v>
      </c>
      <c r="J448" s="93" t="s">
        <v>47</v>
      </c>
      <c r="K448" s="93"/>
      <c r="L448" s="95">
        <v>23.3</v>
      </c>
      <c r="M448" s="95">
        <f>L448*VLOOKUP(H448,dagsoorttabel1,2,FALSE)</f>
        <v>18.274509803921568</v>
      </c>
      <c r="N448" s="96">
        <f>prodnorm78</f>
        <v>0</v>
      </c>
      <c r="O448" s="37">
        <f>dagwerk78</f>
        <v>0</v>
      </c>
      <c r="P448" s="93" t="s">
        <v>105</v>
      </c>
      <c r="Q448" s="24">
        <f>uurtarief78</f>
        <v>0</v>
      </c>
      <c r="R448" s="95" t="e">
        <f>IF(ISBLANK(N448),0,M448/ROUND(N448,4))</f>
        <v>#DIV/0!</v>
      </c>
      <c r="S448" s="95" t="e">
        <f>IF(ISBLANK(N448),0,R448*ROUND(O448,2))</f>
        <v>#DIV/0!</v>
      </c>
      <c r="T448" s="24" t="e">
        <f>ROUND(Q448,2)*R448</f>
        <v>#DIV/0!</v>
      </c>
      <c r="U448" s="95" t="e">
        <f>R448*dagenperjaar1</f>
        <v>#DIV/0!</v>
      </c>
      <c r="V448" s="25" t="e">
        <f>U448*ROUND(Q448,2)</f>
        <v>#DIV/0!</v>
      </c>
    </row>
    <row r="449" spans="1:22" x14ac:dyDescent="0.2">
      <c r="A449" s="92" t="s">
        <v>527</v>
      </c>
      <c r="B449" s="93" t="s">
        <v>47</v>
      </c>
      <c r="C449" s="93" t="s">
        <v>588</v>
      </c>
      <c r="D449" s="93" t="s">
        <v>603</v>
      </c>
      <c r="E449" s="94" t="s">
        <v>532</v>
      </c>
      <c r="F449" s="93" t="s">
        <v>441</v>
      </c>
      <c r="G449" s="93" t="s">
        <v>259</v>
      </c>
      <c r="H449" s="93" t="s">
        <v>13</v>
      </c>
      <c r="I449" s="93" t="s">
        <v>255</v>
      </c>
      <c r="J449" s="93" t="s">
        <v>47</v>
      </c>
      <c r="K449" s="93"/>
      <c r="L449" s="95">
        <v>22.4</v>
      </c>
      <c r="M449" s="95">
        <f>L449*VLOOKUP(H449,dagsoorttabel1,2,FALSE)</f>
        <v>17.56862745098039</v>
      </c>
      <c r="N449" s="96">
        <f>prodnorm31</f>
        <v>0</v>
      </c>
      <c r="O449" s="37">
        <f>dagwerk31</f>
        <v>0</v>
      </c>
      <c r="P449" s="93" t="s">
        <v>105</v>
      </c>
      <c r="Q449" s="24">
        <f>uurtarief31</f>
        <v>0</v>
      </c>
      <c r="R449" s="95" t="e">
        <f>IF(ISBLANK(N449),0,M449/ROUND(N449,4))</f>
        <v>#DIV/0!</v>
      </c>
      <c r="S449" s="95" t="e">
        <f>IF(ISBLANK(N449),0,R449*ROUND(O449,2))</f>
        <v>#DIV/0!</v>
      </c>
      <c r="T449" s="24" t="e">
        <f>ROUND(Q449,2)*R449</f>
        <v>#DIV/0!</v>
      </c>
      <c r="U449" s="95" t="e">
        <f>R449*dagenperjaar1</f>
        <v>#DIV/0!</v>
      </c>
      <c r="V449" s="25" t="e">
        <f>U449*ROUND(Q449,2)</f>
        <v>#DIV/0!</v>
      </c>
    </row>
    <row r="450" spans="1:22" x14ac:dyDescent="0.2">
      <c r="A450" s="92" t="s">
        <v>527</v>
      </c>
      <c r="B450" s="93" t="s">
        <v>47</v>
      </c>
      <c r="C450" s="93" t="s">
        <v>588</v>
      </c>
      <c r="D450" s="93" t="s">
        <v>604</v>
      </c>
      <c r="E450" s="94" t="s">
        <v>532</v>
      </c>
      <c r="F450" s="93" t="s">
        <v>441</v>
      </c>
      <c r="G450" s="93" t="s">
        <v>259</v>
      </c>
      <c r="H450" s="93" t="s">
        <v>13</v>
      </c>
      <c r="I450" s="93" t="s">
        <v>255</v>
      </c>
      <c r="J450" s="93" t="s">
        <v>47</v>
      </c>
      <c r="K450" s="93"/>
      <c r="L450" s="95">
        <v>10</v>
      </c>
      <c r="M450" s="95">
        <f>L450*VLOOKUP(H450,dagsoorttabel1,2,FALSE)</f>
        <v>7.8431372549019605</v>
      </c>
      <c r="N450" s="96">
        <f>prodnorm31</f>
        <v>0</v>
      </c>
      <c r="O450" s="37">
        <f>dagwerk31</f>
        <v>0</v>
      </c>
      <c r="P450" s="93" t="s">
        <v>105</v>
      </c>
      <c r="Q450" s="24">
        <f>uurtarief31</f>
        <v>0</v>
      </c>
      <c r="R450" s="95" t="e">
        <f>IF(ISBLANK(N450),0,M450/ROUND(N450,4))</f>
        <v>#DIV/0!</v>
      </c>
      <c r="S450" s="95" t="e">
        <f>IF(ISBLANK(N450),0,R450*ROUND(O450,2))</f>
        <v>#DIV/0!</v>
      </c>
      <c r="T450" s="24" t="e">
        <f>ROUND(Q450,2)*R450</f>
        <v>#DIV/0!</v>
      </c>
      <c r="U450" s="95" t="e">
        <f>R450*dagenperjaar1</f>
        <v>#DIV/0!</v>
      </c>
      <c r="V450" s="25" t="e">
        <f>U450*ROUND(Q450,2)</f>
        <v>#DIV/0!</v>
      </c>
    </row>
    <row r="451" spans="1:22" x14ac:dyDescent="0.2">
      <c r="A451" s="92" t="s">
        <v>527</v>
      </c>
      <c r="B451" s="93" t="s">
        <v>47</v>
      </c>
      <c r="C451" s="93" t="s">
        <v>588</v>
      </c>
      <c r="D451" s="93" t="s">
        <v>605</v>
      </c>
      <c r="E451" s="94" t="s">
        <v>531</v>
      </c>
      <c r="F451" s="93" t="s">
        <v>441</v>
      </c>
      <c r="G451" s="93" t="s">
        <v>308</v>
      </c>
      <c r="H451" s="93" t="s">
        <v>13</v>
      </c>
      <c r="I451" s="93" t="s">
        <v>255</v>
      </c>
      <c r="J451" s="93" t="s">
        <v>47</v>
      </c>
      <c r="K451" s="93"/>
      <c r="L451" s="95">
        <v>12.4</v>
      </c>
      <c r="M451" s="95">
        <f>L451*VLOOKUP(H451,dagsoorttabel1,2,FALSE)</f>
        <v>9.7254901960784323</v>
      </c>
      <c r="N451" s="96">
        <f>prodnorm81</f>
        <v>0</v>
      </c>
      <c r="O451" s="37">
        <f>dagwerk81</f>
        <v>0</v>
      </c>
      <c r="P451" s="93" t="s">
        <v>105</v>
      </c>
      <c r="Q451" s="24">
        <f>uurtarief81</f>
        <v>0</v>
      </c>
      <c r="R451" s="95" t="e">
        <f>IF(ISBLANK(N451),0,M451/ROUND(N451,4))</f>
        <v>#DIV/0!</v>
      </c>
      <c r="S451" s="95" t="e">
        <f>IF(ISBLANK(N451),0,R451*ROUND(O451,2))</f>
        <v>#DIV/0!</v>
      </c>
      <c r="T451" s="24" t="e">
        <f>ROUND(Q451,2)*R451</f>
        <v>#DIV/0!</v>
      </c>
      <c r="U451" s="95" t="e">
        <f>R451*dagenperjaar1</f>
        <v>#DIV/0!</v>
      </c>
      <c r="V451" s="25" t="e">
        <f>U451*ROUND(Q451,2)</f>
        <v>#DIV/0!</v>
      </c>
    </row>
    <row r="452" spans="1:22" x14ac:dyDescent="0.2">
      <c r="A452" s="92" t="s">
        <v>527</v>
      </c>
      <c r="B452" s="93" t="s">
        <v>47</v>
      </c>
      <c r="C452" s="93" t="s">
        <v>588</v>
      </c>
      <c r="D452" s="93" t="s">
        <v>606</v>
      </c>
      <c r="E452" s="94" t="s">
        <v>532</v>
      </c>
      <c r="F452" s="93" t="s">
        <v>441</v>
      </c>
      <c r="G452" s="93" t="s">
        <v>288</v>
      </c>
      <c r="H452" s="93" t="s">
        <v>13</v>
      </c>
      <c r="I452" s="93" t="s">
        <v>255</v>
      </c>
      <c r="J452" s="93" t="s">
        <v>47</v>
      </c>
      <c r="K452" s="93"/>
      <c r="L452" s="95">
        <v>23.3</v>
      </c>
      <c r="M452" s="95">
        <f>L452*VLOOKUP(H452,dagsoorttabel1,2,FALSE)</f>
        <v>18.274509803921568</v>
      </c>
      <c r="N452" s="96">
        <f>prodnorm62</f>
        <v>0</v>
      </c>
      <c r="O452" s="37">
        <f>dagwerk62</f>
        <v>0</v>
      </c>
      <c r="P452" s="93" t="s">
        <v>105</v>
      </c>
      <c r="Q452" s="24">
        <f>uurtarief62</f>
        <v>0</v>
      </c>
      <c r="R452" s="95" t="e">
        <f>IF(ISBLANK(N452),0,M452/ROUND(N452,4))</f>
        <v>#DIV/0!</v>
      </c>
      <c r="S452" s="95" t="e">
        <f>IF(ISBLANK(N452),0,R452*ROUND(O452,2))</f>
        <v>#DIV/0!</v>
      </c>
      <c r="T452" s="24" t="e">
        <f>ROUND(Q452,2)*R452</f>
        <v>#DIV/0!</v>
      </c>
      <c r="U452" s="95" t="e">
        <f>R452*dagenperjaar1</f>
        <v>#DIV/0!</v>
      </c>
      <c r="V452" s="25" t="e">
        <f>U452*ROUND(Q452,2)</f>
        <v>#DIV/0!</v>
      </c>
    </row>
    <row r="453" spans="1:22" x14ac:dyDescent="0.2">
      <c r="A453" s="92" t="s">
        <v>527</v>
      </c>
      <c r="B453" s="93" t="s">
        <v>47</v>
      </c>
      <c r="C453" s="93" t="s">
        <v>588</v>
      </c>
      <c r="D453" s="93" t="s">
        <v>607</v>
      </c>
      <c r="E453" s="94" t="s">
        <v>532</v>
      </c>
      <c r="F453" s="93" t="s">
        <v>441</v>
      </c>
      <c r="G453" s="93" t="s">
        <v>288</v>
      </c>
      <c r="H453" s="93" t="s">
        <v>13</v>
      </c>
      <c r="I453" s="93" t="s">
        <v>255</v>
      </c>
      <c r="J453" s="93" t="s">
        <v>47</v>
      </c>
      <c r="K453" s="93"/>
      <c r="L453" s="95">
        <v>10.9</v>
      </c>
      <c r="M453" s="95">
        <f>L453*VLOOKUP(H453,dagsoorttabel1,2,FALSE)</f>
        <v>8.5490196078431371</v>
      </c>
      <c r="N453" s="96">
        <f>prodnorm62</f>
        <v>0</v>
      </c>
      <c r="O453" s="37">
        <f>dagwerk62</f>
        <v>0</v>
      </c>
      <c r="P453" s="93" t="s">
        <v>105</v>
      </c>
      <c r="Q453" s="24">
        <f>uurtarief62</f>
        <v>0</v>
      </c>
      <c r="R453" s="95" t="e">
        <f>IF(ISBLANK(N453),0,M453/ROUND(N453,4))</f>
        <v>#DIV/0!</v>
      </c>
      <c r="S453" s="95" t="e">
        <f>IF(ISBLANK(N453),0,R453*ROUND(O453,2))</f>
        <v>#DIV/0!</v>
      </c>
      <c r="T453" s="24" t="e">
        <f>ROUND(Q453,2)*R453</f>
        <v>#DIV/0!</v>
      </c>
      <c r="U453" s="95" t="e">
        <f>R453*dagenperjaar1</f>
        <v>#DIV/0!</v>
      </c>
      <c r="V453" s="25" t="e">
        <f>U453*ROUND(Q453,2)</f>
        <v>#DIV/0!</v>
      </c>
    </row>
    <row r="454" spans="1:22" x14ac:dyDescent="0.2">
      <c r="A454" s="92" t="s">
        <v>527</v>
      </c>
      <c r="B454" s="93" t="s">
        <v>47</v>
      </c>
      <c r="C454" s="93" t="s">
        <v>588</v>
      </c>
      <c r="D454" s="93" t="s">
        <v>608</v>
      </c>
      <c r="E454" s="94" t="s">
        <v>609</v>
      </c>
      <c r="F454" s="93" t="s">
        <v>441</v>
      </c>
      <c r="G454" s="93" t="s">
        <v>314</v>
      </c>
      <c r="H454" s="93" t="s">
        <v>13</v>
      </c>
      <c r="I454" s="93" t="s">
        <v>255</v>
      </c>
      <c r="J454" s="93" t="s">
        <v>47</v>
      </c>
      <c r="K454" s="93"/>
      <c r="L454" s="95">
        <v>11.2</v>
      </c>
      <c r="M454" s="95">
        <f>L454*VLOOKUP(H454,dagsoorttabel1,2,FALSE)</f>
        <v>8.7843137254901951</v>
      </c>
      <c r="N454" s="96">
        <f>prodnorm88</f>
        <v>0</v>
      </c>
      <c r="O454" s="37">
        <f>dagwerk88</f>
        <v>0</v>
      </c>
      <c r="P454" s="93" t="s">
        <v>105</v>
      </c>
      <c r="Q454" s="24">
        <f>uurtarief88</f>
        <v>0</v>
      </c>
      <c r="R454" s="95" t="e">
        <f>IF(ISBLANK(N454),0,M454/ROUND(N454,4))</f>
        <v>#DIV/0!</v>
      </c>
      <c r="S454" s="95" t="e">
        <f>IF(ISBLANK(N454),0,R454*ROUND(O454,2))</f>
        <v>#DIV/0!</v>
      </c>
      <c r="T454" s="24" t="e">
        <f>ROUND(Q454,2)*R454</f>
        <v>#DIV/0!</v>
      </c>
      <c r="U454" s="95" t="e">
        <f>R454*dagenperjaar1</f>
        <v>#DIV/0!</v>
      </c>
      <c r="V454" s="25" t="e">
        <f>U454*ROUND(Q454,2)</f>
        <v>#DIV/0!</v>
      </c>
    </row>
    <row r="455" spans="1:22" x14ac:dyDescent="0.2">
      <c r="A455" s="92" t="s">
        <v>527</v>
      </c>
      <c r="B455" s="93" t="s">
        <v>47</v>
      </c>
      <c r="C455" s="93" t="s">
        <v>588</v>
      </c>
      <c r="D455" s="93" t="s">
        <v>610</v>
      </c>
      <c r="E455" s="94" t="s">
        <v>459</v>
      </c>
      <c r="F455" s="93" t="s">
        <v>441</v>
      </c>
      <c r="G455" s="93" t="s">
        <v>314</v>
      </c>
      <c r="H455" s="93" t="s">
        <v>13</v>
      </c>
      <c r="I455" s="93" t="s">
        <v>255</v>
      </c>
      <c r="J455" s="93" t="s">
        <v>47</v>
      </c>
      <c r="K455" s="93"/>
      <c r="L455" s="95">
        <v>45.8</v>
      </c>
      <c r="M455" s="95">
        <f>L455*VLOOKUP(H455,dagsoorttabel1,2,FALSE)</f>
        <v>35.921568627450981</v>
      </c>
      <c r="N455" s="96">
        <f>prodnorm88</f>
        <v>0</v>
      </c>
      <c r="O455" s="37">
        <f>dagwerk88</f>
        <v>0</v>
      </c>
      <c r="P455" s="93" t="s">
        <v>105</v>
      </c>
      <c r="Q455" s="24">
        <f>uurtarief88</f>
        <v>0</v>
      </c>
      <c r="R455" s="95" t="e">
        <f>IF(ISBLANK(N455),0,M455/ROUND(N455,4))</f>
        <v>#DIV/0!</v>
      </c>
      <c r="S455" s="95" t="e">
        <f>IF(ISBLANK(N455),0,R455*ROUND(O455,2))</f>
        <v>#DIV/0!</v>
      </c>
      <c r="T455" s="24" t="e">
        <f>ROUND(Q455,2)*R455</f>
        <v>#DIV/0!</v>
      </c>
      <c r="U455" s="95" t="e">
        <f>R455*dagenperjaar1</f>
        <v>#DIV/0!</v>
      </c>
      <c r="V455" s="25" t="e">
        <f>U455*ROUND(Q455,2)</f>
        <v>#DIV/0!</v>
      </c>
    </row>
    <row r="456" spans="1:22" x14ac:dyDescent="0.2">
      <c r="A456" s="92" t="s">
        <v>527</v>
      </c>
      <c r="B456" s="93" t="s">
        <v>47</v>
      </c>
      <c r="C456" s="93" t="s">
        <v>588</v>
      </c>
      <c r="D456" s="93" t="s">
        <v>611</v>
      </c>
      <c r="E456" s="94" t="s">
        <v>529</v>
      </c>
      <c r="F456" s="93" t="s">
        <v>441</v>
      </c>
      <c r="G456" s="93" t="s">
        <v>288</v>
      </c>
      <c r="H456" s="93" t="s">
        <v>13</v>
      </c>
      <c r="I456" s="93" t="s">
        <v>255</v>
      </c>
      <c r="J456" s="93" t="s">
        <v>47</v>
      </c>
      <c r="K456" s="93"/>
      <c r="L456" s="95">
        <v>46.6</v>
      </c>
      <c r="M456" s="95">
        <f>L456*VLOOKUP(H456,dagsoorttabel1,2,FALSE)</f>
        <v>36.549019607843135</v>
      </c>
      <c r="N456" s="96">
        <f>prodnorm62</f>
        <v>0</v>
      </c>
      <c r="O456" s="37">
        <f>dagwerk62</f>
        <v>0</v>
      </c>
      <c r="P456" s="93" t="s">
        <v>105</v>
      </c>
      <c r="Q456" s="24">
        <f>uurtarief62</f>
        <v>0</v>
      </c>
      <c r="R456" s="95" t="e">
        <f>IF(ISBLANK(N456),0,M456/ROUND(N456,4))</f>
        <v>#DIV/0!</v>
      </c>
      <c r="S456" s="95" t="e">
        <f>IF(ISBLANK(N456),0,R456*ROUND(O456,2))</f>
        <v>#DIV/0!</v>
      </c>
      <c r="T456" s="24" t="e">
        <f>ROUND(Q456,2)*R456</f>
        <v>#DIV/0!</v>
      </c>
      <c r="U456" s="95" t="e">
        <f>R456*dagenperjaar1</f>
        <v>#DIV/0!</v>
      </c>
      <c r="V456" s="25" t="e">
        <f>U456*ROUND(Q456,2)</f>
        <v>#DIV/0!</v>
      </c>
    </row>
    <row r="457" spans="1:22" x14ac:dyDescent="0.2">
      <c r="A457" s="92" t="s">
        <v>527</v>
      </c>
      <c r="B457" s="93" t="s">
        <v>47</v>
      </c>
      <c r="C457" s="93" t="s">
        <v>588</v>
      </c>
      <c r="D457" s="93" t="s">
        <v>612</v>
      </c>
      <c r="E457" s="94" t="s">
        <v>529</v>
      </c>
      <c r="F457" s="93" t="s">
        <v>441</v>
      </c>
      <c r="G457" s="93" t="s">
        <v>288</v>
      </c>
      <c r="H457" s="93" t="s">
        <v>13</v>
      </c>
      <c r="I457" s="93" t="s">
        <v>255</v>
      </c>
      <c r="J457" s="93" t="s">
        <v>47</v>
      </c>
      <c r="K457" s="93"/>
      <c r="L457" s="95">
        <v>46.6</v>
      </c>
      <c r="M457" s="95">
        <f>L457*VLOOKUP(H457,dagsoorttabel1,2,FALSE)</f>
        <v>36.549019607843135</v>
      </c>
      <c r="N457" s="96">
        <f>prodnorm62</f>
        <v>0</v>
      </c>
      <c r="O457" s="37">
        <f>dagwerk62</f>
        <v>0</v>
      </c>
      <c r="P457" s="93" t="s">
        <v>105</v>
      </c>
      <c r="Q457" s="24">
        <f>uurtarief62</f>
        <v>0</v>
      </c>
      <c r="R457" s="95" t="e">
        <f>IF(ISBLANK(N457),0,M457/ROUND(N457,4))</f>
        <v>#DIV/0!</v>
      </c>
      <c r="S457" s="95" t="e">
        <f>IF(ISBLANK(N457),0,R457*ROUND(O457,2))</f>
        <v>#DIV/0!</v>
      </c>
      <c r="T457" s="24" t="e">
        <f>ROUND(Q457,2)*R457</f>
        <v>#DIV/0!</v>
      </c>
      <c r="U457" s="95" t="e">
        <f>R457*dagenperjaar1</f>
        <v>#DIV/0!</v>
      </c>
      <c r="V457" s="25" t="e">
        <f>U457*ROUND(Q457,2)</f>
        <v>#DIV/0!</v>
      </c>
    </row>
    <row r="458" spans="1:22" x14ac:dyDescent="0.2">
      <c r="A458" s="92" t="s">
        <v>527</v>
      </c>
      <c r="B458" s="93" t="s">
        <v>47</v>
      </c>
      <c r="C458" s="93" t="s">
        <v>588</v>
      </c>
      <c r="D458" s="93" t="s">
        <v>613</v>
      </c>
      <c r="E458" s="94" t="s">
        <v>531</v>
      </c>
      <c r="F458" s="93" t="s">
        <v>441</v>
      </c>
      <c r="G458" s="93" t="s">
        <v>308</v>
      </c>
      <c r="H458" s="93" t="s">
        <v>13</v>
      </c>
      <c r="I458" s="93" t="s">
        <v>255</v>
      </c>
      <c r="J458" s="93" t="s">
        <v>47</v>
      </c>
      <c r="K458" s="93"/>
      <c r="L458" s="95">
        <v>23.04</v>
      </c>
      <c r="M458" s="95">
        <f>L458*VLOOKUP(H458,dagsoorttabel1,2,FALSE)</f>
        <v>18.070588235294117</v>
      </c>
      <c r="N458" s="96">
        <f>prodnorm81</f>
        <v>0</v>
      </c>
      <c r="O458" s="37">
        <f>dagwerk81</f>
        <v>0</v>
      </c>
      <c r="P458" s="93" t="s">
        <v>105</v>
      </c>
      <c r="Q458" s="24">
        <f>uurtarief81</f>
        <v>0</v>
      </c>
      <c r="R458" s="95" t="e">
        <f>IF(ISBLANK(N458),0,M458/ROUND(N458,4))</f>
        <v>#DIV/0!</v>
      </c>
      <c r="S458" s="95" t="e">
        <f>IF(ISBLANK(N458),0,R458*ROUND(O458,2))</f>
        <v>#DIV/0!</v>
      </c>
      <c r="T458" s="24" t="e">
        <f>ROUND(Q458,2)*R458</f>
        <v>#DIV/0!</v>
      </c>
      <c r="U458" s="95" t="e">
        <f>R458*dagenperjaar1</f>
        <v>#DIV/0!</v>
      </c>
      <c r="V458" s="25" t="e">
        <f>U458*ROUND(Q458,2)</f>
        <v>#DIV/0!</v>
      </c>
    </row>
    <row r="459" spans="1:22" x14ac:dyDescent="0.2">
      <c r="A459" s="92" t="s">
        <v>527</v>
      </c>
      <c r="B459" s="93" t="s">
        <v>47</v>
      </c>
      <c r="C459" s="93" t="s">
        <v>588</v>
      </c>
      <c r="D459" s="93" t="s">
        <v>614</v>
      </c>
      <c r="E459" s="94" t="s">
        <v>529</v>
      </c>
      <c r="F459" s="93" t="s">
        <v>441</v>
      </c>
      <c r="G459" s="93" t="s">
        <v>288</v>
      </c>
      <c r="H459" s="93" t="s">
        <v>13</v>
      </c>
      <c r="I459" s="93" t="s">
        <v>255</v>
      </c>
      <c r="J459" s="93" t="s">
        <v>47</v>
      </c>
      <c r="K459" s="93"/>
      <c r="L459" s="95">
        <v>45.6</v>
      </c>
      <c r="M459" s="95">
        <f>L459*VLOOKUP(H459,dagsoorttabel1,2,FALSE)</f>
        <v>35.764705882352942</v>
      </c>
      <c r="N459" s="96">
        <f>prodnorm62</f>
        <v>0</v>
      </c>
      <c r="O459" s="37">
        <f>dagwerk62</f>
        <v>0</v>
      </c>
      <c r="P459" s="93" t="s">
        <v>105</v>
      </c>
      <c r="Q459" s="24">
        <f>uurtarief62</f>
        <v>0</v>
      </c>
      <c r="R459" s="95" t="e">
        <f>IF(ISBLANK(N459),0,M459/ROUND(N459,4))</f>
        <v>#DIV/0!</v>
      </c>
      <c r="S459" s="95" t="e">
        <f>IF(ISBLANK(N459),0,R459*ROUND(O459,2))</f>
        <v>#DIV/0!</v>
      </c>
      <c r="T459" s="24" t="e">
        <f>ROUND(Q459,2)*R459</f>
        <v>#DIV/0!</v>
      </c>
      <c r="U459" s="95" t="e">
        <f>R459*dagenperjaar1</f>
        <v>#DIV/0!</v>
      </c>
      <c r="V459" s="25" t="e">
        <f>U459*ROUND(Q459,2)</f>
        <v>#DIV/0!</v>
      </c>
    </row>
    <row r="460" spans="1:22" x14ac:dyDescent="0.2">
      <c r="A460" s="92" t="s">
        <v>527</v>
      </c>
      <c r="B460" s="93" t="s">
        <v>47</v>
      </c>
      <c r="C460" s="93" t="s">
        <v>588</v>
      </c>
      <c r="D460" s="93" t="s">
        <v>615</v>
      </c>
      <c r="E460" s="94" t="s">
        <v>531</v>
      </c>
      <c r="F460" s="93" t="s">
        <v>441</v>
      </c>
      <c r="G460" s="93" t="s">
        <v>308</v>
      </c>
      <c r="H460" s="93" t="s">
        <v>13</v>
      </c>
      <c r="I460" s="93" t="s">
        <v>255</v>
      </c>
      <c r="J460" s="93" t="s">
        <v>47</v>
      </c>
      <c r="K460" s="93"/>
      <c r="L460" s="95">
        <v>15.9</v>
      </c>
      <c r="M460" s="95">
        <f>L460*VLOOKUP(H460,dagsoorttabel1,2,FALSE)</f>
        <v>12.470588235294118</v>
      </c>
      <c r="N460" s="96">
        <f>prodnorm81</f>
        <v>0</v>
      </c>
      <c r="O460" s="37">
        <f>dagwerk81</f>
        <v>0</v>
      </c>
      <c r="P460" s="93" t="s">
        <v>105</v>
      </c>
      <c r="Q460" s="24">
        <f>uurtarief81</f>
        <v>0</v>
      </c>
      <c r="R460" s="95" t="e">
        <f>IF(ISBLANK(N460),0,M460/ROUND(N460,4))</f>
        <v>#DIV/0!</v>
      </c>
      <c r="S460" s="95" t="e">
        <f>IF(ISBLANK(N460),0,R460*ROUND(O460,2))</f>
        <v>#DIV/0!</v>
      </c>
      <c r="T460" s="24" t="e">
        <f>ROUND(Q460,2)*R460</f>
        <v>#DIV/0!</v>
      </c>
      <c r="U460" s="95" t="e">
        <f>R460*dagenperjaar1</f>
        <v>#DIV/0!</v>
      </c>
      <c r="V460" s="25" t="e">
        <f>U460*ROUND(Q460,2)</f>
        <v>#DIV/0!</v>
      </c>
    </row>
    <row r="461" spans="1:22" x14ac:dyDescent="0.2">
      <c r="A461" s="92" t="s">
        <v>527</v>
      </c>
      <c r="B461" s="93" t="s">
        <v>47</v>
      </c>
      <c r="C461" s="93" t="s">
        <v>588</v>
      </c>
      <c r="D461" s="93" t="s">
        <v>616</v>
      </c>
      <c r="E461" s="94" t="s">
        <v>529</v>
      </c>
      <c r="F461" s="93" t="s">
        <v>441</v>
      </c>
      <c r="G461" s="93" t="s">
        <v>288</v>
      </c>
      <c r="H461" s="93" t="s">
        <v>13</v>
      </c>
      <c r="I461" s="93" t="s">
        <v>255</v>
      </c>
      <c r="J461" s="93" t="s">
        <v>47</v>
      </c>
      <c r="K461" s="93"/>
      <c r="L461" s="95">
        <v>14</v>
      </c>
      <c r="M461" s="95">
        <f>L461*VLOOKUP(H461,dagsoorttabel1,2,FALSE)</f>
        <v>10.980392156862745</v>
      </c>
      <c r="N461" s="96">
        <f>prodnorm62</f>
        <v>0</v>
      </c>
      <c r="O461" s="37">
        <f>dagwerk62</f>
        <v>0</v>
      </c>
      <c r="P461" s="93" t="s">
        <v>105</v>
      </c>
      <c r="Q461" s="24">
        <f>uurtarief62</f>
        <v>0</v>
      </c>
      <c r="R461" s="95" t="e">
        <f>IF(ISBLANK(N461),0,M461/ROUND(N461,4))</f>
        <v>#DIV/0!</v>
      </c>
      <c r="S461" s="95" t="e">
        <f>IF(ISBLANK(N461),0,R461*ROUND(O461,2))</f>
        <v>#DIV/0!</v>
      </c>
      <c r="T461" s="24" t="e">
        <f>ROUND(Q461,2)*R461</f>
        <v>#DIV/0!</v>
      </c>
      <c r="U461" s="95" t="e">
        <f>R461*dagenperjaar1</f>
        <v>#DIV/0!</v>
      </c>
      <c r="V461" s="25" t="e">
        <f>U461*ROUND(Q461,2)</f>
        <v>#DIV/0!</v>
      </c>
    </row>
    <row r="462" spans="1:22" x14ac:dyDescent="0.2">
      <c r="A462" s="92" t="s">
        <v>527</v>
      </c>
      <c r="B462" s="93" t="s">
        <v>47</v>
      </c>
      <c r="C462" s="93" t="s">
        <v>588</v>
      </c>
      <c r="D462" s="93" t="s">
        <v>617</v>
      </c>
      <c r="E462" s="94" t="s">
        <v>459</v>
      </c>
      <c r="F462" s="93" t="s">
        <v>441</v>
      </c>
      <c r="G462" s="93" t="s">
        <v>314</v>
      </c>
      <c r="H462" s="93" t="s">
        <v>13</v>
      </c>
      <c r="I462" s="93" t="s">
        <v>255</v>
      </c>
      <c r="J462" s="93" t="s">
        <v>47</v>
      </c>
      <c r="K462" s="93"/>
      <c r="L462" s="95">
        <v>70.8</v>
      </c>
      <c r="M462" s="95">
        <f>L462*VLOOKUP(H462,dagsoorttabel1,2,FALSE)</f>
        <v>55.529411764705877</v>
      </c>
      <c r="N462" s="96">
        <f>prodnorm88</f>
        <v>0</v>
      </c>
      <c r="O462" s="37">
        <f>dagwerk88</f>
        <v>0</v>
      </c>
      <c r="P462" s="93" t="s">
        <v>105</v>
      </c>
      <c r="Q462" s="24">
        <f>uurtarief88</f>
        <v>0</v>
      </c>
      <c r="R462" s="95" t="e">
        <f>IF(ISBLANK(N462),0,M462/ROUND(N462,4))</f>
        <v>#DIV/0!</v>
      </c>
      <c r="S462" s="95" t="e">
        <f>IF(ISBLANK(N462),0,R462*ROUND(O462,2))</f>
        <v>#DIV/0!</v>
      </c>
      <c r="T462" s="24" t="e">
        <f>ROUND(Q462,2)*R462</f>
        <v>#DIV/0!</v>
      </c>
      <c r="U462" s="95" t="e">
        <f>R462*dagenperjaar1</f>
        <v>#DIV/0!</v>
      </c>
      <c r="V462" s="25" t="e">
        <f>U462*ROUND(Q462,2)</f>
        <v>#DIV/0!</v>
      </c>
    </row>
    <row r="463" spans="1:22" x14ac:dyDescent="0.2">
      <c r="A463" s="92" t="s">
        <v>527</v>
      </c>
      <c r="B463" s="93" t="s">
        <v>47</v>
      </c>
      <c r="C463" s="93" t="s">
        <v>588</v>
      </c>
      <c r="D463" s="93" t="s">
        <v>618</v>
      </c>
      <c r="E463" s="94" t="s">
        <v>529</v>
      </c>
      <c r="F463" s="93" t="s">
        <v>441</v>
      </c>
      <c r="G463" s="93" t="s">
        <v>288</v>
      </c>
      <c r="H463" s="93" t="s">
        <v>13</v>
      </c>
      <c r="I463" s="93" t="s">
        <v>255</v>
      </c>
      <c r="J463" s="93" t="s">
        <v>47</v>
      </c>
      <c r="K463" s="93"/>
      <c r="L463" s="95">
        <v>22.8</v>
      </c>
      <c r="M463" s="95">
        <f>L463*VLOOKUP(H463,dagsoorttabel1,2,FALSE)</f>
        <v>17.882352941176471</v>
      </c>
      <c r="N463" s="96">
        <f>prodnorm62</f>
        <v>0</v>
      </c>
      <c r="O463" s="37">
        <f>dagwerk62</f>
        <v>0</v>
      </c>
      <c r="P463" s="93" t="s">
        <v>105</v>
      </c>
      <c r="Q463" s="24">
        <f>uurtarief62</f>
        <v>0</v>
      </c>
      <c r="R463" s="95" t="e">
        <f>IF(ISBLANK(N463),0,M463/ROUND(N463,4))</f>
        <v>#DIV/0!</v>
      </c>
      <c r="S463" s="95" t="e">
        <f>IF(ISBLANK(N463),0,R463*ROUND(O463,2))</f>
        <v>#DIV/0!</v>
      </c>
      <c r="T463" s="24" t="e">
        <f>ROUND(Q463,2)*R463</f>
        <v>#DIV/0!</v>
      </c>
      <c r="U463" s="95" t="e">
        <f>R463*dagenperjaar1</f>
        <v>#DIV/0!</v>
      </c>
      <c r="V463" s="25" t="e">
        <f>U463*ROUND(Q463,2)</f>
        <v>#DIV/0!</v>
      </c>
    </row>
    <row r="464" spans="1:22" x14ac:dyDescent="0.2">
      <c r="A464" s="92" t="s">
        <v>527</v>
      </c>
      <c r="B464" s="93" t="s">
        <v>47</v>
      </c>
      <c r="C464" s="93" t="s">
        <v>588</v>
      </c>
      <c r="D464" s="93" t="s">
        <v>619</v>
      </c>
      <c r="E464" s="94" t="s">
        <v>531</v>
      </c>
      <c r="F464" s="93" t="s">
        <v>441</v>
      </c>
      <c r="G464" s="93" t="s">
        <v>308</v>
      </c>
      <c r="H464" s="93" t="s">
        <v>13</v>
      </c>
      <c r="I464" s="93" t="s">
        <v>255</v>
      </c>
      <c r="J464" s="93" t="s">
        <v>47</v>
      </c>
      <c r="K464" s="93"/>
      <c r="L464" s="95">
        <v>12.2</v>
      </c>
      <c r="M464" s="95">
        <f>L464*VLOOKUP(H464,dagsoorttabel1,2,FALSE)</f>
        <v>9.5686274509803919</v>
      </c>
      <c r="N464" s="96">
        <f>prodnorm81</f>
        <v>0</v>
      </c>
      <c r="O464" s="37">
        <f>dagwerk81</f>
        <v>0</v>
      </c>
      <c r="P464" s="93" t="s">
        <v>105</v>
      </c>
      <c r="Q464" s="24">
        <f>uurtarief81</f>
        <v>0</v>
      </c>
      <c r="R464" s="95" t="e">
        <f>IF(ISBLANK(N464),0,M464/ROUND(N464,4))</f>
        <v>#DIV/0!</v>
      </c>
      <c r="S464" s="95" t="e">
        <f>IF(ISBLANK(N464),0,R464*ROUND(O464,2))</f>
        <v>#DIV/0!</v>
      </c>
      <c r="T464" s="24" t="e">
        <f>ROUND(Q464,2)*R464</f>
        <v>#DIV/0!</v>
      </c>
      <c r="U464" s="95" t="e">
        <f>R464*dagenperjaar1</f>
        <v>#DIV/0!</v>
      </c>
      <c r="V464" s="25" t="e">
        <f>U464*ROUND(Q464,2)</f>
        <v>#DIV/0!</v>
      </c>
    </row>
    <row r="465" spans="1:22" x14ac:dyDescent="0.2">
      <c r="A465" s="92" t="s">
        <v>527</v>
      </c>
      <c r="B465" s="93" t="s">
        <v>47</v>
      </c>
      <c r="C465" s="93" t="s">
        <v>588</v>
      </c>
      <c r="D465" s="93" t="s">
        <v>620</v>
      </c>
      <c r="E465" s="94" t="s">
        <v>529</v>
      </c>
      <c r="F465" s="93" t="s">
        <v>441</v>
      </c>
      <c r="G465" s="93" t="s">
        <v>288</v>
      </c>
      <c r="H465" s="93" t="s">
        <v>13</v>
      </c>
      <c r="I465" s="93" t="s">
        <v>255</v>
      </c>
      <c r="J465" s="93" t="s">
        <v>47</v>
      </c>
      <c r="K465" s="93"/>
      <c r="L465" s="95">
        <v>45.5</v>
      </c>
      <c r="M465" s="95">
        <f>L465*VLOOKUP(H465,dagsoorttabel1,2,FALSE)</f>
        <v>35.686274509803923</v>
      </c>
      <c r="N465" s="96">
        <f>prodnorm62</f>
        <v>0</v>
      </c>
      <c r="O465" s="37">
        <f>dagwerk62</f>
        <v>0</v>
      </c>
      <c r="P465" s="93" t="s">
        <v>105</v>
      </c>
      <c r="Q465" s="24">
        <f>uurtarief62</f>
        <v>0</v>
      </c>
      <c r="R465" s="95" t="e">
        <f>IF(ISBLANK(N465),0,M465/ROUND(N465,4))</f>
        <v>#DIV/0!</v>
      </c>
      <c r="S465" s="95" t="e">
        <f>IF(ISBLANK(N465),0,R465*ROUND(O465,2))</f>
        <v>#DIV/0!</v>
      </c>
      <c r="T465" s="24" t="e">
        <f>ROUND(Q465,2)*R465</f>
        <v>#DIV/0!</v>
      </c>
      <c r="U465" s="95" t="e">
        <f>R465*dagenperjaar1</f>
        <v>#DIV/0!</v>
      </c>
      <c r="V465" s="25" t="e">
        <f>U465*ROUND(Q465,2)</f>
        <v>#DIV/0!</v>
      </c>
    </row>
    <row r="466" spans="1:22" x14ac:dyDescent="0.2">
      <c r="A466" s="92" t="s">
        <v>527</v>
      </c>
      <c r="B466" s="93" t="s">
        <v>47</v>
      </c>
      <c r="C466" s="93" t="s">
        <v>588</v>
      </c>
      <c r="D466" s="93" t="s">
        <v>621</v>
      </c>
      <c r="E466" s="94" t="s">
        <v>459</v>
      </c>
      <c r="F466" s="93" t="s">
        <v>441</v>
      </c>
      <c r="G466" s="93" t="s">
        <v>314</v>
      </c>
      <c r="H466" s="93" t="s">
        <v>13</v>
      </c>
      <c r="I466" s="93" t="s">
        <v>255</v>
      </c>
      <c r="J466" s="93" t="s">
        <v>47</v>
      </c>
      <c r="K466" s="93"/>
      <c r="L466" s="95">
        <v>51.3</v>
      </c>
      <c r="M466" s="95">
        <f>L466*VLOOKUP(H466,dagsoorttabel1,2,FALSE)</f>
        <v>40.235294117647058</v>
      </c>
      <c r="N466" s="96">
        <f>prodnorm88</f>
        <v>0</v>
      </c>
      <c r="O466" s="37">
        <f>dagwerk88</f>
        <v>0</v>
      </c>
      <c r="P466" s="93" t="s">
        <v>105</v>
      </c>
      <c r="Q466" s="24">
        <f>uurtarief88</f>
        <v>0</v>
      </c>
      <c r="R466" s="95" t="e">
        <f>IF(ISBLANK(N466),0,M466/ROUND(N466,4))</f>
        <v>#DIV/0!</v>
      </c>
      <c r="S466" s="95" t="e">
        <f>IF(ISBLANK(N466),0,R466*ROUND(O466,2))</f>
        <v>#DIV/0!</v>
      </c>
      <c r="T466" s="24" t="e">
        <f>ROUND(Q466,2)*R466</f>
        <v>#DIV/0!</v>
      </c>
      <c r="U466" s="95" t="e">
        <f>R466*dagenperjaar1</f>
        <v>#DIV/0!</v>
      </c>
      <c r="V466" s="25" t="e">
        <f>U466*ROUND(Q466,2)</f>
        <v>#DIV/0!</v>
      </c>
    </row>
    <row r="467" spans="1:22" x14ac:dyDescent="0.2">
      <c r="A467" s="92" t="s">
        <v>527</v>
      </c>
      <c r="B467" s="93" t="s">
        <v>47</v>
      </c>
      <c r="C467" s="93" t="s">
        <v>588</v>
      </c>
      <c r="D467" s="93" t="s">
        <v>622</v>
      </c>
      <c r="E467" s="94" t="s">
        <v>529</v>
      </c>
      <c r="F467" s="93" t="s">
        <v>441</v>
      </c>
      <c r="G467" s="93" t="s">
        <v>288</v>
      </c>
      <c r="H467" s="93" t="s">
        <v>13</v>
      </c>
      <c r="I467" s="93" t="s">
        <v>255</v>
      </c>
      <c r="J467" s="93" t="s">
        <v>47</v>
      </c>
      <c r="K467" s="93"/>
      <c r="L467" s="95">
        <v>45.5</v>
      </c>
      <c r="M467" s="95">
        <f>L467*VLOOKUP(H467,dagsoorttabel1,2,FALSE)</f>
        <v>35.686274509803923</v>
      </c>
      <c r="N467" s="96">
        <f>prodnorm62</f>
        <v>0</v>
      </c>
      <c r="O467" s="37">
        <f>dagwerk62</f>
        <v>0</v>
      </c>
      <c r="P467" s="93" t="s">
        <v>105</v>
      </c>
      <c r="Q467" s="24">
        <f>uurtarief62</f>
        <v>0</v>
      </c>
      <c r="R467" s="95" t="e">
        <f>IF(ISBLANK(N467),0,M467/ROUND(N467,4))</f>
        <v>#DIV/0!</v>
      </c>
      <c r="S467" s="95" t="e">
        <f>IF(ISBLANK(N467),0,R467*ROUND(O467,2))</f>
        <v>#DIV/0!</v>
      </c>
      <c r="T467" s="24" t="e">
        <f>ROUND(Q467,2)*R467</f>
        <v>#DIV/0!</v>
      </c>
      <c r="U467" s="95" t="e">
        <f>R467*dagenperjaar1</f>
        <v>#DIV/0!</v>
      </c>
      <c r="V467" s="25" t="e">
        <f>U467*ROUND(Q467,2)</f>
        <v>#DIV/0!</v>
      </c>
    </row>
    <row r="468" spans="1:22" x14ac:dyDescent="0.2">
      <c r="A468" s="92" t="s">
        <v>527</v>
      </c>
      <c r="B468" s="93" t="s">
        <v>47</v>
      </c>
      <c r="C468" s="93" t="s">
        <v>588</v>
      </c>
      <c r="D468" s="93" t="s">
        <v>623</v>
      </c>
      <c r="E468" s="94" t="s">
        <v>529</v>
      </c>
      <c r="F468" s="93" t="s">
        <v>441</v>
      </c>
      <c r="G468" s="93" t="s">
        <v>288</v>
      </c>
      <c r="H468" s="93" t="s">
        <v>13</v>
      </c>
      <c r="I468" s="93" t="s">
        <v>255</v>
      </c>
      <c r="J468" s="93" t="s">
        <v>47</v>
      </c>
      <c r="K468" s="93"/>
      <c r="L468" s="95">
        <v>45.5</v>
      </c>
      <c r="M468" s="95">
        <f>L468*VLOOKUP(H468,dagsoorttabel1,2,FALSE)</f>
        <v>35.686274509803923</v>
      </c>
      <c r="N468" s="96">
        <f>prodnorm62</f>
        <v>0</v>
      </c>
      <c r="O468" s="37">
        <f>dagwerk62</f>
        <v>0</v>
      </c>
      <c r="P468" s="93" t="s">
        <v>105</v>
      </c>
      <c r="Q468" s="24">
        <f>uurtarief62</f>
        <v>0</v>
      </c>
      <c r="R468" s="95" t="e">
        <f>IF(ISBLANK(N468),0,M468/ROUND(N468,4))</f>
        <v>#DIV/0!</v>
      </c>
      <c r="S468" s="95" t="e">
        <f>IF(ISBLANK(N468),0,R468*ROUND(O468,2))</f>
        <v>#DIV/0!</v>
      </c>
      <c r="T468" s="24" t="e">
        <f>ROUND(Q468,2)*R468</f>
        <v>#DIV/0!</v>
      </c>
      <c r="U468" s="95" t="e">
        <f>R468*dagenperjaar1</f>
        <v>#DIV/0!</v>
      </c>
      <c r="V468" s="25" t="e">
        <f>U468*ROUND(Q468,2)</f>
        <v>#DIV/0!</v>
      </c>
    </row>
    <row r="469" spans="1:22" x14ac:dyDescent="0.2">
      <c r="A469" s="92" t="s">
        <v>527</v>
      </c>
      <c r="B469" s="93" t="s">
        <v>47</v>
      </c>
      <c r="C469" s="93" t="s">
        <v>588</v>
      </c>
      <c r="D469" s="93" t="s">
        <v>624</v>
      </c>
      <c r="E469" s="94" t="s">
        <v>529</v>
      </c>
      <c r="F469" s="93" t="s">
        <v>441</v>
      </c>
      <c r="G469" s="93" t="s">
        <v>288</v>
      </c>
      <c r="H469" s="93" t="s">
        <v>13</v>
      </c>
      <c r="I469" s="93" t="s">
        <v>255</v>
      </c>
      <c r="J469" s="93" t="s">
        <v>47</v>
      </c>
      <c r="K469" s="93"/>
      <c r="L469" s="95">
        <v>19.899999999999999</v>
      </c>
      <c r="M469" s="95">
        <f>L469*VLOOKUP(H469,dagsoorttabel1,2,FALSE)</f>
        <v>15.6078431372549</v>
      </c>
      <c r="N469" s="96">
        <f>prodnorm62</f>
        <v>0</v>
      </c>
      <c r="O469" s="37">
        <f>dagwerk62</f>
        <v>0</v>
      </c>
      <c r="P469" s="93" t="s">
        <v>105</v>
      </c>
      <c r="Q469" s="24">
        <f>uurtarief62</f>
        <v>0</v>
      </c>
      <c r="R469" s="95" t="e">
        <f>IF(ISBLANK(N469),0,M469/ROUND(N469,4))</f>
        <v>#DIV/0!</v>
      </c>
      <c r="S469" s="95" t="e">
        <f>IF(ISBLANK(N469),0,R469*ROUND(O469,2))</f>
        <v>#DIV/0!</v>
      </c>
      <c r="T469" s="24" t="e">
        <f>ROUND(Q469,2)*R469</f>
        <v>#DIV/0!</v>
      </c>
      <c r="U469" s="95" t="e">
        <f>R469*dagenperjaar1</f>
        <v>#DIV/0!</v>
      </c>
      <c r="V469" s="25" t="e">
        <f>U469*ROUND(Q469,2)</f>
        <v>#DIV/0!</v>
      </c>
    </row>
    <row r="470" spans="1:22" x14ac:dyDescent="0.2">
      <c r="A470" s="92" t="s">
        <v>527</v>
      </c>
      <c r="B470" s="93" t="s">
        <v>47</v>
      </c>
      <c r="C470" s="93" t="s">
        <v>588</v>
      </c>
      <c r="D470" s="93" t="s">
        <v>625</v>
      </c>
      <c r="E470" s="94" t="s">
        <v>529</v>
      </c>
      <c r="F470" s="93" t="s">
        <v>441</v>
      </c>
      <c r="G470" s="93" t="s">
        <v>288</v>
      </c>
      <c r="H470" s="93" t="s">
        <v>13</v>
      </c>
      <c r="I470" s="93" t="s">
        <v>255</v>
      </c>
      <c r="J470" s="93" t="s">
        <v>47</v>
      </c>
      <c r="K470" s="93"/>
      <c r="L470" s="95">
        <v>45.6</v>
      </c>
      <c r="M470" s="95">
        <f>L470*VLOOKUP(H470,dagsoorttabel1,2,FALSE)</f>
        <v>35.764705882352942</v>
      </c>
      <c r="N470" s="96">
        <f>prodnorm62</f>
        <v>0</v>
      </c>
      <c r="O470" s="37">
        <f>dagwerk62</f>
        <v>0</v>
      </c>
      <c r="P470" s="93" t="s">
        <v>105</v>
      </c>
      <c r="Q470" s="24">
        <f>uurtarief62</f>
        <v>0</v>
      </c>
      <c r="R470" s="95" t="e">
        <f>IF(ISBLANK(N470),0,M470/ROUND(N470,4))</f>
        <v>#DIV/0!</v>
      </c>
      <c r="S470" s="95" t="e">
        <f>IF(ISBLANK(N470),0,R470*ROUND(O470,2))</f>
        <v>#DIV/0!</v>
      </c>
      <c r="T470" s="24" t="e">
        <f>ROUND(Q470,2)*R470</f>
        <v>#DIV/0!</v>
      </c>
      <c r="U470" s="95" t="e">
        <f>R470*dagenperjaar1</f>
        <v>#DIV/0!</v>
      </c>
      <c r="V470" s="25" t="e">
        <f>U470*ROUND(Q470,2)</f>
        <v>#DIV/0!</v>
      </c>
    </row>
    <row r="471" spans="1:22" x14ac:dyDescent="0.2">
      <c r="A471" s="92" t="s">
        <v>527</v>
      </c>
      <c r="B471" s="93" t="s">
        <v>47</v>
      </c>
      <c r="C471" s="93" t="s">
        <v>588</v>
      </c>
      <c r="D471" s="93" t="s">
        <v>626</v>
      </c>
      <c r="E471" s="94" t="s">
        <v>529</v>
      </c>
      <c r="F471" s="93" t="s">
        <v>441</v>
      </c>
      <c r="G471" s="93" t="s">
        <v>288</v>
      </c>
      <c r="H471" s="93" t="s">
        <v>13</v>
      </c>
      <c r="I471" s="93" t="s">
        <v>255</v>
      </c>
      <c r="J471" s="93" t="s">
        <v>47</v>
      </c>
      <c r="K471" s="93"/>
      <c r="L471" s="95">
        <v>45.6</v>
      </c>
      <c r="M471" s="95">
        <f>L471*VLOOKUP(H471,dagsoorttabel1,2,FALSE)</f>
        <v>35.764705882352942</v>
      </c>
      <c r="N471" s="96">
        <f>prodnorm62</f>
        <v>0</v>
      </c>
      <c r="O471" s="37">
        <f>dagwerk62</f>
        <v>0</v>
      </c>
      <c r="P471" s="93" t="s">
        <v>105</v>
      </c>
      <c r="Q471" s="24">
        <f>uurtarief62</f>
        <v>0</v>
      </c>
      <c r="R471" s="95" t="e">
        <f>IF(ISBLANK(N471),0,M471/ROUND(N471,4))</f>
        <v>#DIV/0!</v>
      </c>
      <c r="S471" s="95" t="e">
        <f>IF(ISBLANK(N471),0,R471*ROUND(O471,2))</f>
        <v>#DIV/0!</v>
      </c>
      <c r="T471" s="24" t="e">
        <f>ROUND(Q471,2)*R471</f>
        <v>#DIV/0!</v>
      </c>
      <c r="U471" s="95" t="e">
        <f>R471*dagenperjaar1</f>
        <v>#DIV/0!</v>
      </c>
      <c r="V471" s="25" t="e">
        <f>U471*ROUND(Q471,2)</f>
        <v>#DIV/0!</v>
      </c>
    </row>
    <row r="472" spans="1:22" x14ac:dyDescent="0.2">
      <c r="A472" s="92" t="s">
        <v>527</v>
      </c>
      <c r="B472" s="93" t="s">
        <v>47</v>
      </c>
      <c r="C472" s="93" t="s">
        <v>588</v>
      </c>
      <c r="D472" s="93" t="s">
        <v>627</v>
      </c>
      <c r="E472" s="94" t="s">
        <v>529</v>
      </c>
      <c r="F472" s="93" t="s">
        <v>441</v>
      </c>
      <c r="G472" s="93" t="s">
        <v>288</v>
      </c>
      <c r="H472" s="93" t="s">
        <v>13</v>
      </c>
      <c r="I472" s="93" t="s">
        <v>255</v>
      </c>
      <c r="J472" s="93" t="s">
        <v>47</v>
      </c>
      <c r="K472" s="93"/>
      <c r="L472" s="95">
        <v>45.6</v>
      </c>
      <c r="M472" s="95">
        <f>L472*VLOOKUP(H472,dagsoorttabel1,2,FALSE)</f>
        <v>35.764705882352942</v>
      </c>
      <c r="N472" s="96">
        <f>prodnorm62</f>
        <v>0</v>
      </c>
      <c r="O472" s="37">
        <f>dagwerk62</f>
        <v>0</v>
      </c>
      <c r="P472" s="93" t="s">
        <v>105</v>
      </c>
      <c r="Q472" s="24">
        <f>uurtarief62</f>
        <v>0</v>
      </c>
      <c r="R472" s="95" t="e">
        <f>IF(ISBLANK(N472),0,M472/ROUND(N472,4))</f>
        <v>#DIV/0!</v>
      </c>
      <c r="S472" s="95" t="e">
        <f>IF(ISBLANK(N472),0,R472*ROUND(O472,2))</f>
        <v>#DIV/0!</v>
      </c>
      <c r="T472" s="24" t="e">
        <f>ROUND(Q472,2)*R472</f>
        <v>#DIV/0!</v>
      </c>
      <c r="U472" s="95" t="e">
        <f>R472*dagenperjaar1</f>
        <v>#DIV/0!</v>
      </c>
      <c r="V472" s="25" t="e">
        <f>U472*ROUND(Q472,2)</f>
        <v>#DIV/0!</v>
      </c>
    </row>
    <row r="473" spans="1:22" x14ac:dyDescent="0.2">
      <c r="A473" s="92" t="s">
        <v>527</v>
      </c>
      <c r="B473" s="93" t="s">
        <v>47</v>
      </c>
      <c r="C473" s="93" t="s">
        <v>588</v>
      </c>
      <c r="D473" s="93" t="s">
        <v>628</v>
      </c>
      <c r="E473" s="94" t="s">
        <v>423</v>
      </c>
      <c r="F473" s="93" t="s">
        <v>442</v>
      </c>
      <c r="G473" s="93" t="s">
        <v>304</v>
      </c>
      <c r="H473" s="93" t="s">
        <v>13</v>
      </c>
      <c r="I473" s="93" t="s">
        <v>255</v>
      </c>
      <c r="J473" s="93" t="s">
        <v>47</v>
      </c>
      <c r="K473" s="93"/>
      <c r="L473" s="95">
        <v>23.3</v>
      </c>
      <c r="M473" s="95">
        <f>L473*VLOOKUP(H473,dagsoorttabel1,2,FALSE)</f>
        <v>18.274509803921568</v>
      </c>
      <c r="N473" s="96">
        <f>prodnorm74</f>
        <v>0</v>
      </c>
      <c r="O473" s="37">
        <f>dagwerk74</f>
        <v>0</v>
      </c>
      <c r="P473" s="93" t="s">
        <v>105</v>
      </c>
      <c r="Q473" s="24">
        <f>uurtarief74</f>
        <v>0</v>
      </c>
      <c r="R473" s="95" t="e">
        <f>IF(ISBLANK(N473),0,M473/ROUND(N473,4))</f>
        <v>#DIV/0!</v>
      </c>
      <c r="S473" s="95" t="e">
        <f>IF(ISBLANK(N473),0,R473*ROUND(O473,2))</f>
        <v>#DIV/0!</v>
      </c>
      <c r="T473" s="24" t="e">
        <f>ROUND(Q473,2)*R473</f>
        <v>#DIV/0!</v>
      </c>
      <c r="U473" s="95" t="e">
        <f>R473*dagenperjaar1</f>
        <v>#DIV/0!</v>
      </c>
      <c r="V473" s="25" t="e">
        <f>U473*ROUND(Q473,2)</f>
        <v>#DIV/0!</v>
      </c>
    </row>
    <row r="474" spans="1:22" x14ac:dyDescent="0.2">
      <c r="A474" s="92" t="s">
        <v>527</v>
      </c>
      <c r="B474" s="93" t="s">
        <v>47</v>
      </c>
      <c r="C474" s="93" t="s">
        <v>588</v>
      </c>
      <c r="D474" s="93" t="s">
        <v>628</v>
      </c>
      <c r="E474" s="94" t="s">
        <v>423</v>
      </c>
      <c r="F474" s="93" t="s">
        <v>442</v>
      </c>
      <c r="G474" s="93" t="s">
        <v>306</v>
      </c>
      <c r="H474" s="93" t="s">
        <v>13</v>
      </c>
      <c r="I474" s="93" t="s">
        <v>255</v>
      </c>
      <c r="J474" s="93" t="s">
        <v>47</v>
      </c>
      <c r="K474" s="93"/>
      <c r="L474" s="95">
        <v>23.3</v>
      </c>
      <c r="M474" s="95">
        <f>L474*VLOOKUP(H474,dagsoorttabel1,2,FALSE)</f>
        <v>18.274509803921568</v>
      </c>
      <c r="N474" s="96">
        <f>prodnorm78</f>
        <v>0</v>
      </c>
      <c r="O474" s="37">
        <f>dagwerk78</f>
        <v>0</v>
      </c>
      <c r="P474" s="93" t="s">
        <v>105</v>
      </c>
      <c r="Q474" s="24">
        <f>uurtarief78</f>
        <v>0</v>
      </c>
      <c r="R474" s="95" t="e">
        <f>IF(ISBLANK(N474),0,M474/ROUND(N474,4))</f>
        <v>#DIV/0!</v>
      </c>
      <c r="S474" s="95" t="e">
        <f>IF(ISBLANK(N474),0,R474*ROUND(O474,2))</f>
        <v>#DIV/0!</v>
      </c>
      <c r="T474" s="24" t="e">
        <f>ROUND(Q474,2)*R474</f>
        <v>#DIV/0!</v>
      </c>
      <c r="U474" s="95" t="e">
        <f>R474*dagenperjaar1</f>
        <v>#DIV/0!</v>
      </c>
      <c r="V474" s="25" t="e">
        <f>U474*ROUND(Q474,2)</f>
        <v>#DIV/0!</v>
      </c>
    </row>
    <row r="475" spans="1:22" x14ac:dyDescent="0.2">
      <c r="A475" s="92" t="s">
        <v>527</v>
      </c>
      <c r="B475" s="93" t="s">
        <v>47</v>
      </c>
      <c r="C475" s="93" t="s">
        <v>588</v>
      </c>
      <c r="D475" s="93" t="s">
        <v>629</v>
      </c>
      <c r="E475" s="94" t="s">
        <v>529</v>
      </c>
      <c r="F475" s="93" t="s">
        <v>441</v>
      </c>
      <c r="G475" s="93" t="s">
        <v>288</v>
      </c>
      <c r="H475" s="93" t="s">
        <v>13</v>
      </c>
      <c r="I475" s="93" t="s">
        <v>255</v>
      </c>
      <c r="J475" s="93" t="s">
        <v>47</v>
      </c>
      <c r="K475" s="93"/>
      <c r="L475" s="95">
        <v>45.6</v>
      </c>
      <c r="M475" s="95">
        <f>L475*VLOOKUP(H475,dagsoorttabel1,2,FALSE)</f>
        <v>35.764705882352942</v>
      </c>
      <c r="N475" s="96">
        <f>prodnorm62</f>
        <v>0</v>
      </c>
      <c r="O475" s="37">
        <f>dagwerk62</f>
        <v>0</v>
      </c>
      <c r="P475" s="93" t="s">
        <v>105</v>
      </c>
      <c r="Q475" s="24">
        <f>uurtarief62</f>
        <v>0</v>
      </c>
      <c r="R475" s="95" t="e">
        <f>IF(ISBLANK(N475),0,M475/ROUND(N475,4))</f>
        <v>#DIV/0!</v>
      </c>
      <c r="S475" s="95" t="e">
        <f>IF(ISBLANK(N475),0,R475*ROUND(O475,2))</f>
        <v>#DIV/0!</v>
      </c>
      <c r="T475" s="24" t="e">
        <f>ROUND(Q475,2)*R475</f>
        <v>#DIV/0!</v>
      </c>
      <c r="U475" s="95" t="e">
        <f>R475*dagenperjaar1</f>
        <v>#DIV/0!</v>
      </c>
      <c r="V475" s="25" t="e">
        <f>U475*ROUND(Q475,2)</f>
        <v>#DIV/0!</v>
      </c>
    </row>
    <row r="476" spans="1:22" x14ac:dyDescent="0.2">
      <c r="A476" s="92" t="s">
        <v>527</v>
      </c>
      <c r="B476" s="93" t="s">
        <v>47</v>
      </c>
      <c r="C476" s="93" t="s">
        <v>588</v>
      </c>
      <c r="D476" s="93" t="s">
        <v>630</v>
      </c>
      <c r="E476" s="94" t="s">
        <v>529</v>
      </c>
      <c r="F476" s="93" t="s">
        <v>441</v>
      </c>
      <c r="G476" s="93" t="s">
        <v>288</v>
      </c>
      <c r="H476" s="93" t="s">
        <v>13</v>
      </c>
      <c r="I476" s="93" t="s">
        <v>255</v>
      </c>
      <c r="J476" s="93" t="s">
        <v>47</v>
      </c>
      <c r="K476" s="93"/>
      <c r="L476" s="95">
        <v>12.4</v>
      </c>
      <c r="M476" s="95">
        <f>L476*VLOOKUP(H476,dagsoorttabel1,2,FALSE)</f>
        <v>9.7254901960784323</v>
      </c>
      <c r="N476" s="96">
        <f>prodnorm62</f>
        <v>0</v>
      </c>
      <c r="O476" s="37">
        <f>dagwerk62</f>
        <v>0</v>
      </c>
      <c r="P476" s="93" t="s">
        <v>105</v>
      </c>
      <c r="Q476" s="24">
        <f>uurtarief62</f>
        <v>0</v>
      </c>
      <c r="R476" s="95" t="e">
        <f>IF(ISBLANK(N476),0,M476/ROUND(N476,4))</f>
        <v>#DIV/0!</v>
      </c>
      <c r="S476" s="95" t="e">
        <f>IF(ISBLANK(N476),0,R476*ROUND(O476,2))</f>
        <v>#DIV/0!</v>
      </c>
      <c r="T476" s="24" t="e">
        <f>ROUND(Q476,2)*R476</f>
        <v>#DIV/0!</v>
      </c>
      <c r="U476" s="95" t="e">
        <f>R476*dagenperjaar1</f>
        <v>#DIV/0!</v>
      </c>
      <c r="V476" s="25" t="e">
        <f>U476*ROUND(Q476,2)</f>
        <v>#DIV/0!</v>
      </c>
    </row>
    <row r="477" spans="1:22" x14ac:dyDescent="0.2">
      <c r="A477" s="92" t="s">
        <v>527</v>
      </c>
      <c r="B477" s="93" t="s">
        <v>47</v>
      </c>
      <c r="C477" s="93" t="s">
        <v>588</v>
      </c>
      <c r="D477" s="93" t="s">
        <v>631</v>
      </c>
      <c r="E477" s="94" t="s">
        <v>529</v>
      </c>
      <c r="F477" s="93" t="s">
        <v>441</v>
      </c>
      <c r="G477" s="93" t="s">
        <v>288</v>
      </c>
      <c r="H477" s="93" t="s">
        <v>13</v>
      </c>
      <c r="I477" s="93" t="s">
        <v>255</v>
      </c>
      <c r="J477" s="93" t="s">
        <v>47</v>
      </c>
      <c r="K477" s="93"/>
      <c r="L477" s="95">
        <v>21.6</v>
      </c>
      <c r="M477" s="95">
        <f>L477*VLOOKUP(H477,dagsoorttabel1,2,FALSE)</f>
        <v>16.941176470588236</v>
      </c>
      <c r="N477" s="96">
        <f>prodnorm62</f>
        <v>0</v>
      </c>
      <c r="O477" s="37">
        <f>dagwerk62</f>
        <v>0</v>
      </c>
      <c r="P477" s="93" t="s">
        <v>105</v>
      </c>
      <c r="Q477" s="24">
        <f>uurtarief62</f>
        <v>0</v>
      </c>
      <c r="R477" s="95" t="e">
        <f>IF(ISBLANK(N477),0,M477/ROUND(N477,4))</f>
        <v>#DIV/0!</v>
      </c>
      <c r="S477" s="95" t="e">
        <f>IF(ISBLANK(N477),0,R477*ROUND(O477,2))</f>
        <v>#DIV/0!</v>
      </c>
      <c r="T477" s="24" t="e">
        <f>ROUND(Q477,2)*R477</f>
        <v>#DIV/0!</v>
      </c>
      <c r="U477" s="95" t="e">
        <f>R477*dagenperjaar1</f>
        <v>#DIV/0!</v>
      </c>
      <c r="V477" s="25" t="e">
        <f>U477*ROUND(Q477,2)</f>
        <v>#DIV/0!</v>
      </c>
    </row>
    <row r="478" spans="1:22" x14ac:dyDescent="0.2">
      <c r="A478" s="92" t="s">
        <v>527</v>
      </c>
      <c r="B478" s="93" t="s">
        <v>47</v>
      </c>
      <c r="C478" s="93" t="s">
        <v>588</v>
      </c>
      <c r="D478" s="93" t="s">
        <v>632</v>
      </c>
      <c r="E478" s="94" t="s">
        <v>529</v>
      </c>
      <c r="F478" s="93" t="s">
        <v>441</v>
      </c>
      <c r="G478" s="93" t="s">
        <v>288</v>
      </c>
      <c r="H478" s="93" t="s">
        <v>13</v>
      </c>
      <c r="I478" s="93" t="s">
        <v>255</v>
      </c>
      <c r="J478" s="93" t="s">
        <v>47</v>
      </c>
      <c r="K478" s="93"/>
      <c r="L478" s="95">
        <v>19.899999999999999</v>
      </c>
      <c r="M478" s="95">
        <f>L478*VLOOKUP(H478,dagsoorttabel1,2,FALSE)</f>
        <v>15.6078431372549</v>
      </c>
      <c r="N478" s="96">
        <f>prodnorm62</f>
        <v>0</v>
      </c>
      <c r="O478" s="37">
        <f>dagwerk62</f>
        <v>0</v>
      </c>
      <c r="P478" s="93" t="s">
        <v>105</v>
      </c>
      <c r="Q478" s="24">
        <f>uurtarief62</f>
        <v>0</v>
      </c>
      <c r="R478" s="95" t="e">
        <f>IF(ISBLANK(N478),0,M478/ROUND(N478,4))</f>
        <v>#DIV/0!</v>
      </c>
      <c r="S478" s="95" t="e">
        <f>IF(ISBLANK(N478),0,R478*ROUND(O478,2))</f>
        <v>#DIV/0!</v>
      </c>
      <c r="T478" s="24" t="e">
        <f>ROUND(Q478,2)*R478</f>
        <v>#DIV/0!</v>
      </c>
      <c r="U478" s="95" t="e">
        <f>R478*dagenperjaar1</f>
        <v>#DIV/0!</v>
      </c>
      <c r="V478" s="25" t="e">
        <f>U478*ROUND(Q478,2)</f>
        <v>#DIV/0!</v>
      </c>
    </row>
    <row r="479" spans="1:22" x14ac:dyDescent="0.2">
      <c r="A479" s="92" t="s">
        <v>527</v>
      </c>
      <c r="B479" s="93" t="s">
        <v>47</v>
      </c>
      <c r="C479" s="93" t="s">
        <v>588</v>
      </c>
      <c r="D479" s="93" t="s">
        <v>633</v>
      </c>
      <c r="E479" s="94" t="s">
        <v>459</v>
      </c>
      <c r="F479" s="93" t="s">
        <v>441</v>
      </c>
      <c r="G479" s="93" t="s">
        <v>314</v>
      </c>
      <c r="H479" s="93" t="s">
        <v>13</v>
      </c>
      <c r="I479" s="93" t="s">
        <v>255</v>
      </c>
      <c r="J479" s="93" t="s">
        <v>47</v>
      </c>
      <c r="K479" s="93"/>
      <c r="L479" s="95">
        <v>80.5</v>
      </c>
      <c r="M479" s="95">
        <f>L479*VLOOKUP(H479,dagsoorttabel1,2,FALSE)</f>
        <v>63.13725490196078</v>
      </c>
      <c r="N479" s="96">
        <f>prodnorm88</f>
        <v>0</v>
      </c>
      <c r="O479" s="37">
        <f>dagwerk88</f>
        <v>0</v>
      </c>
      <c r="P479" s="93" t="s">
        <v>105</v>
      </c>
      <c r="Q479" s="24">
        <f>uurtarief88</f>
        <v>0</v>
      </c>
      <c r="R479" s="95" t="e">
        <f>IF(ISBLANK(N479),0,M479/ROUND(N479,4))</f>
        <v>#DIV/0!</v>
      </c>
      <c r="S479" s="95" t="e">
        <f>IF(ISBLANK(N479),0,R479*ROUND(O479,2))</f>
        <v>#DIV/0!</v>
      </c>
      <c r="T479" s="24" t="e">
        <f>ROUND(Q479,2)*R479</f>
        <v>#DIV/0!</v>
      </c>
      <c r="U479" s="95" t="e">
        <f>R479*dagenperjaar1</f>
        <v>#DIV/0!</v>
      </c>
      <c r="V479" s="25" t="e">
        <f>U479*ROUND(Q479,2)</f>
        <v>#DIV/0!</v>
      </c>
    </row>
    <row r="480" spans="1:22" x14ac:dyDescent="0.2">
      <c r="A480" s="92" t="s">
        <v>527</v>
      </c>
      <c r="B480" s="93" t="s">
        <v>47</v>
      </c>
      <c r="C480" s="93" t="s">
        <v>634</v>
      </c>
      <c r="D480" s="93" t="s">
        <v>635</v>
      </c>
      <c r="E480" s="94" t="s">
        <v>459</v>
      </c>
      <c r="F480" s="93" t="s">
        <v>441</v>
      </c>
      <c r="G480" s="93" t="s">
        <v>314</v>
      </c>
      <c r="H480" s="93" t="s">
        <v>13</v>
      </c>
      <c r="I480" s="93" t="s">
        <v>255</v>
      </c>
      <c r="J480" s="93" t="s">
        <v>47</v>
      </c>
      <c r="K480" s="93"/>
      <c r="L480" s="95">
        <v>51.3</v>
      </c>
      <c r="M480" s="95">
        <f>L480*VLOOKUP(H480,dagsoorttabel1,2,FALSE)</f>
        <v>40.235294117647058</v>
      </c>
      <c r="N480" s="96">
        <f>prodnorm88</f>
        <v>0</v>
      </c>
      <c r="O480" s="37">
        <f>dagwerk88</f>
        <v>0</v>
      </c>
      <c r="P480" s="93" t="s">
        <v>105</v>
      </c>
      <c r="Q480" s="24">
        <f>uurtarief88</f>
        <v>0</v>
      </c>
      <c r="R480" s="95" t="e">
        <f>IF(ISBLANK(N480),0,M480/ROUND(N480,4))</f>
        <v>#DIV/0!</v>
      </c>
      <c r="S480" s="95" t="e">
        <f>IF(ISBLANK(N480),0,R480*ROUND(O480,2))</f>
        <v>#DIV/0!</v>
      </c>
      <c r="T480" s="24" t="e">
        <f>ROUND(Q480,2)*R480</f>
        <v>#DIV/0!</v>
      </c>
      <c r="U480" s="95" t="e">
        <f>R480*dagenperjaar1</f>
        <v>#DIV/0!</v>
      </c>
      <c r="V480" s="25" t="e">
        <f>U480*ROUND(Q480,2)</f>
        <v>#DIV/0!</v>
      </c>
    </row>
    <row r="481" spans="1:22" x14ac:dyDescent="0.2">
      <c r="A481" s="92" t="s">
        <v>527</v>
      </c>
      <c r="B481" s="93" t="s">
        <v>47</v>
      </c>
      <c r="C481" s="93" t="s">
        <v>634</v>
      </c>
      <c r="D481" s="93" t="s">
        <v>636</v>
      </c>
      <c r="E481" s="94" t="s">
        <v>637</v>
      </c>
      <c r="F481" s="93" t="s">
        <v>441</v>
      </c>
      <c r="G481" s="93" t="s">
        <v>308</v>
      </c>
      <c r="H481" s="93" t="s">
        <v>13</v>
      </c>
      <c r="I481" s="93" t="s">
        <v>255</v>
      </c>
      <c r="J481" s="93" t="s">
        <v>47</v>
      </c>
      <c r="K481" s="93"/>
      <c r="L481" s="95">
        <v>12.2</v>
      </c>
      <c r="M481" s="95">
        <f>L481*VLOOKUP(H481,dagsoorttabel1,2,FALSE)</f>
        <v>9.5686274509803919</v>
      </c>
      <c r="N481" s="96">
        <f>prodnorm81</f>
        <v>0</v>
      </c>
      <c r="O481" s="37">
        <f>dagwerk81</f>
        <v>0</v>
      </c>
      <c r="P481" s="93" t="s">
        <v>105</v>
      </c>
      <c r="Q481" s="24">
        <f>uurtarief81</f>
        <v>0</v>
      </c>
      <c r="R481" s="95" t="e">
        <f>IF(ISBLANK(N481),0,M481/ROUND(N481,4))</f>
        <v>#DIV/0!</v>
      </c>
      <c r="S481" s="95" t="e">
        <f>IF(ISBLANK(N481),0,R481*ROUND(O481,2))</f>
        <v>#DIV/0!</v>
      </c>
      <c r="T481" s="24" t="e">
        <f>ROUND(Q481,2)*R481</f>
        <v>#DIV/0!</v>
      </c>
      <c r="U481" s="95" t="e">
        <f>R481*dagenperjaar1</f>
        <v>#DIV/0!</v>
      </c>
      <c r="V481" s="25" t="e">
        <f>U481*ROUND(Q481,2)</f>
        <v>#DIV/0!</v>
      </c>
    </row>
    <row r="482" spans="1:22" x14ac:dyDescent="0.2">
      <c r="A482" s="97" t="s">
        <v>527</v>
      </c>
      <c r="B482" s="98" t="s">
        <v>47</v>
      </c>
      <c r="C482" s="98" t="s">
        <v>634</v>
      </c>
      <c r="D482" s="98" t="s">
        <v>638</v>
      </c>
      <c r="E482" s="99" t="s">
        <v>639</v>
      </c>
      <c r="F482" s="98" t="s">
        <v>441</v>
      </c>
      <c r="G482" s="98" t="s">
        <v>288</v>
      </c>
      <c r="H482" s="98" t="s">
        <v>13</v>
      </c>
      <c r="I482" s="98" t="s">
        <v>255</v>
      </c>
      <c r="J482" s="98" t="s">
        <v>47</v>
      </c>
      <c r="K482" s="98"/>
      <c r="L482" s="100">
        <v>45.5</v>
      </c>
      <c r="M482" s="100">
        <f>L482*VLOOKUP(H482,dagsoorttabel1,2,FALSE)</f>
        <v>35.686274509803923</v>
      </c>
      <c r="N482" s="101">
        <f>prodnorm62</f>
        <v>0</v>
      </c>
      <c r="O482" s="102">
        <f>dagwerk62</f>
        <v>0</v>
      </c>
      <c r="P482" s="98" t="s">
        <v>105</v>
      </c>
      <c r="Q482" s="34">
        <f>uurtarief62</f>
        <v>0</v>
      </c>
      <c r="R482" s="100" t="e">
        <f>IF(ISBLANK(N482),0,M482/ROUND(N482,4))</f>
        <v>#DIV/0!</v>
      </c>
      <c r="S482" s="100" t="e">
        <f>IF(ISBLANK(N482),0,R482*ROUND(O482,2))</f>
        <v>#DIV/0!</v>
      </c>
      <c r="T482" s="34" t="e">
        <f>ROUND(Q482,2)*R482</f>
        <v>#DIV/0!</v>
      </c>
      <c r="U482" s="100" t="e">
        <f>R482*dagenperjaar1</f>
        <v>#DIV/0!</v>
      </c>
      <c r="V482" s="35" t="e">
        <f>U482*ROUND(Q482,2)</f>
        <v>#DIV/0!</v>
      </c>
    </row>
    <row r="483" spans="1:22" x14ac:dyDescent="0.2">
      <c r="A483" s="103" t="s">
        <v>436</v>
      </c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5" t="e">
        <f>IF(_xlfn.SINGLE(object12_urenjaar1)&gt;0,_xlfn.SINGLE(object12_prijsjaar1)/_xlfn.SINGLE(object12_urenjaar1),0)</f>
        <v>#DIV/0!</v>
      </c>
      <c r="R483" s="74" t="e">
        <f>SUM(R349:R482)</f>
        <v>#DIV/0!</v>
      </c>
      <c r="S483" s="74" t="e">
        <f>SUM(S349:S482)</f>
        <v>#DIV/0!</v>
      </c>
      <c r="T483" s="75" t="e">
        <f>SUM(T349:T482)</f>
        <v>#DIV/0!</v>
      </c>
      <c r="U483" s="74" t="e">
        <f>SUM(U349:U482)</f>
        <v>#DIV/0!</v>
      </c>
      <c r="V483" s="76" t="e">
        <f>SUM(V349:V482)</f>
        <v>#DIV/0!</v>
      </c>
    </row>
    <row r="484" spans="1:22" x14ac:dyDescent="0.2">
      <c r="A484" s="83" t="s">
        <v>640</v>
      </c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71"/>
    </row>
    <row r="485" spans="1:22" x14ac:dyDescent="0.2">
      <c r="A485" s="84" t="s">
        <v>641</v>
      </c>
      <c r="B485" s="85" t="s">
        <v>47</v>
      </c>
      <c r="C485" s="85" t="s">
        <v>394</v>
      </c>
      <c r="D485" s="85" t="s">
        <v>642</v>
      </c>
      <c r="E485" s="86" t="s">
        <v>643</v>
      </c>
      <c r="F485" s="85" t="s">
        <v>476</v>
      </c>
      <c r="G485" s="85" t="s">
        <v>274</v>
      </c>
      <c r="H485" s="85" t="s">
        <v>10</v>
      </c>
      <c r="I485" s="85" t="s">
        <v>255</v>
      </c>
      <c r="J485" s="85" t="s">
        <v>47</v>
      </c>
      <c r="K485" s="85"/>
      <c r="L485" s="87">
        <v>10</v>
      </c>
      <c r="M485" s="87">
        <f>L485*VLOOKUP(H485,dagsoorttabel1,2,FALSE)</f>
        <v>10</v>
      </c>
      <c r="N485" s="88">
        <f>prodnorm48</f>
        <v>0</v>
      </c>
      <c r="O485" s="89">
        <f>dagwerk48</f>
        <v>0</v>
      </c>
      <c r="P485" s="85" t="s">
        <v>105</v>
      </c>
      <c r="Q485" s="90">
        <f>uurtarief48</f>
        <v>0</v>
      </c>
      <c r="R485" s="87" t="e">
        <f>IF(ISBLANK(N485),0,M485/ROUND(N485,4))</f>
        <v>#DIV/0!</v>
      </c>
      <c r="S485" s="87" t="e">
        <f>IF(ISBLANK(N485),0,R485*ROUND(O485,2))</f>
        <v>#DIV/0!</v>
      </c>
      <c r="T485" s="90" t="e">
        <f>ROUND(Q485,2)*R485</f>
        <v>#DIV/0!</v>
      </c>
      <c r="U485" s="87" t="e">
        <f>R485*dagenperjaar1</f>
        <v>#DIV/0!</v>
      </c>
      <c r="V485" s="91" t="e">
        <f>U485*ROUND(Q485,2)</f>
        <v>#DIV/0!</v>
      </c>
    </row>
    <row r="486" spans="1:22" x14ac:dyDescent="0.2">
      <c r="A486" s="92" t="s">
        <v>641</v>
      </c>
      <c r="B486" s="93" t="s">
        <v>47</v>
      </c>
      <c r="C486" s="93" t="s">
        <v>394</v>
      </c>
      <c r="D486" s="93" t="s">
        <v>644</v>
      </c>
      <c r="E486" s="94" t="s">
        <v>643</v>
      </c>
      <c r="F486" s="93" t="s">
        <v>441</v>
      </c>
      <c r="G486" s="93" t="s">
        <v>270</v>
      </c>
      <c r="H486" s="93" t="s">
        <v>10</v>
      </c>
      <c r="I486" s="93" t="s">
        <v>255</v>
      </c>
      <c r="J486" s="93" t="s">
        <v>47</v>
      </c>
      <c r="K486" s="93"/>
      <c r="L486" s="95">
        <v>10</v>
      </c>
      <c r="M486" s="95">
        <f>L486*VLOOKUP(H486,dagsoorttabel1,2,FALSE)</f>
        <v>10</v>
      </c>
      <c r="N486" s="96">
        <f>prodnorm44</f>
        <v>0</v>
      </c>
      <c r="O486" s="37">
        <f>dagwerk44</f>
        <v>0</v>
      </c>
      <c r="P486" s="93" t="s">
        <v>105</v>
      </c>
      <c r="Q486" s="24">
        <f>uurtarief44</f>
        <v>0</v>
      </c>
      <c r="R486" s="95" t="e">
        <f>IF(ISBLANK(N486),0,M486/ROUND(N486,4))</f>
        <v>#DIV/0!</v>
      </c>
      <c r="S486" s="95" t="e">
        <f>IF(ISBLANK(N486),0,R486*ROUND(O486,2))</f>
        <v>#DIV/0!</v>
      </c>
      <c r="T486" s="24" t="e">
        <f>ROUND(Q486,2)*R486</f>
        <v>#DIV/0!</v>
      </c>
      <c r="U486" s="95" t="e">
        <f>R486*dagenperjaar1</f>
        <v>#DIV/0!</v>
      </c>
      <c r="V486" s="25" t="e">
        <f>U486*ROUND(Q486,2)</f>
        <v>#DIV/0!</v>
      </c>
    </row>
    <row r="487" spans="1:22" x14ac:dyDescent="0.2">
      <c r="A487" s="92" t="s">
        <v>641</v>
      </c>
      <c r="B487" s="93" t="s">
        <v>47</v>
      </c>
      <c r="C487" s="93" t="s">
        <v>394</v>
      </c>
      <c r="D487" s="93" t="s">
        <v>402</v>
      </c>
      <c r="E487" s="94" t="s">
        <v>645</v>
      </c>
      <c r="F487" s="93" t="s">
        <v>441</v>
      </c>
      <c r="G487" s="93" t="s">
        <v>270</v>
      </c>
      <c r="H487" s="93" t="s">
        <v>10</v>
      </c>
      <c r="I487" s="93" t="s">
        <v>255</v>
      </c>
      <c r="J487" s="93" t="s">
        <v>47</v>
      </c>
      <c r="K487" s="93"/>
      <c r="L487" s="95">
        <v>45</v>
      </c>
      <c r="M487" s="95">
        <f>L487*VLOOKUP(H487,dagsoorttabel1,2,FALSE)</f>
        <v>45</v>
      </c>
      <c r="N487" s="96">
        <f>prodnorm44</f>
        <v>0</v>
      </c>
      <c r="O487" s="37">
        <f>dagwerk44</f>
        <v>0</v>
      </c>
      <c r="P487" s="93" t="s">
        <v>105</v>
      </c>
      <c r="Q487" s="24">
        <f>uurtarief44</f>
        <v>0</v>
      </c>
      <c r="R487" s="95" t="e">
        <f>IF(ISBLANK(N487),0,M487/ROUND(N487,4))</f>
        <v>#DIV/0!</v>
      </c>
      <c r="S487" s="95" t="e">
        <f>IF(ISBLANK(N487),0,R487*ROUND(O487,2))</f>
        <v>#DIV/0!</v>
      </c>
      <c r="T487" s="24" t="e">
        <f>ROUND(Q487,2)*R487</f>
        <v>#DIV/0!</v>
      </c>
      <c r="U487" s="95" t="e">
        <f>R487*dagenperjaar1</f>
        <v>#DIV/0!</v>
      </c>
      <c r="V487" s="25" t="e">
        <f>U487*ROUND(Q487,2)</f>
        <v>#DIV/0!</v>
      </c>
    </row>
    <row r="488" spans="1:22" x14ac:dyDescent="0.2">
      <c r="A488" s="92" t="s">
        <v>641</v>
      </c>
      <c r="B488" s="93" t="s">
        <v>47</v>
      </c>
      <c r="C488" s="93" t="s">
        <v>394</v>
      </c>
      <c r="D488" s="93" t="s">
        <v>406</v>
      </c>
      <c r="E488" s="94" t="s">
        <v>646</v>
      </c>
      <c r="F488" s="93" t="s">
        <v>496</v>
      </c>
      <c r="G488" s="93" t="s">
        <v>263</v>
      </c>
      <c r="H488" s="93" t="s">
        <v>10</v>
      </c>
      <c r="I488" s="93" t="s">
        <v>255</v>
      </c>
      <c r="J488" s="93" t="s">
        <v>47</v>
      </c>
      <c r="K488" s="93"/>
      <c r="L488" s="95">
        <v>19</v>
      </c>
      <c r="M488" s="95">
        <f>L488*VLOOKUP(H488,dagsoorttabel1,2,FALSE)</f>
        <v>19</v>
      </c>
      <c r="N488" s="96">
        <f>prodnorm37</f>
        <v>0</v>
      </c>
      <c r="O488" s="37">
        <f>dagwerk37</f>
        <v>0</v>
      </c>
      <c r="P488" s="93" t="s">
        <v>105</v>
      </c>
      <c r="Q488" s="24">
        <f>uurtarief37</f>
        <v>0</v>
      </c>
      <c r="R488" s="95" t="e">
        <f>IF(ISBLANK(N488),0,M488/ROUND(N488,4))</f>
        <v>#DIV/0!</v>
      </c>
      <c r="S488" s="95" t="e">
        <f>IF(ISBLANK(N488),0,R488*ROUND(O488,2))</f>
        <v>#DIV/0!</v>
      </c>
      <c r="T488" s="24" t="e">
        <f>ROUND(Q488,2)*R488</f>
        <v>#DIV/0!</v>
      </c>
      <c r="U488" s="95" t="e">
        <f>R488*dagenperjaar1</f>
        <v>#DIV/0!</v>
      </c>
      <c r="V488" s="25" t="e">
        <f>U488*ROUND(Q488,2)</f>
        <v>#DIV/0!</v>
      </c>
    </row>
    <row r="489" spans="1:22" x14ac:dyDescent="0.2">
      <c r="A489" s="92" t="s">
        <v>641</v>
      </c>
      <c r="B489" s="93" t="s">
        <v>47</v>
      </c>
      <c r="C489" s="93" t="s">
        <v>394</v>
      </c>
      <c r="D489" s="93" t="s">
        <v>409</v>
      </c>
      <c r="E489" s="94" t="s">
        <v>647</v>
      </c>
      <c r="F489" s="93" t="s">
        <v>517</v>
      </c>
      <c r="G489" s="93" t="s">
        <v>259</v>
      </c>
      <c r="H489" s="93" t="s">
        <v>10</v>
      </c>
      <c r="I489" s="93" t="s">
        <v>255</v>
      </c>
      <c r="J489" s="93" t="s">
        <v>47</v>
      </c>
      <c r="K489" s="93"/>
      <c r="L489" s="95">
        <v>19</v>
      </c>
      <c r="M489" s="95">
        <f>L489*VLOOKUP(H489,dagsoorttabel1,2,FALSE)</f>
        <v>19</v>
      </c>
      <c r="N489" s="96">
        <f>prodnorm32</f>
        <v>0</v>
      </c>
      <c r="O489" s="37">
        <f>dagwerk32</f>
        <v>0</v>
      </c>
      <c r="P489" s="93" t="s">
        <v>105</v>
      </c>
      <c r="Q489" s="24">
        <f>uurtarief32</f>
        <v>0</v>
      </c>
      <c r="R489" s="95" t="e">
        <f>IF(ISBLANK(N489),0,M489/ROUND(N489,4))</f>
        <v>#DIV/0!</v>
      </c>
      <c r="S489" s="95" t="e">
        <f>IF(ISBLANK(N489),0,R489*ROUND(O489,2))</f>
        <v>#DIV/0!</v>
      </c>
      <c r="T489" s="24" t="e">
        <f>ROUND(Q489,2)*R489</f>
        <v>#DIV/0!</v>
      </c>
      <c r="U489" s="95" t="e">
        <f>R489*dagenperjaar1</f>
        <v>#DIV/0!</v>
      </c>
      <c r="V489" s="25" t="e">
        <f>U489*ROUND(Q489,2)</f>
        <v>#DIV/0!</v>
      </c>
    </row>
    <row r="490" spans="1:22" x14ac:dyDescent="0.2">
      <c r="A490" s="92" t="s">
        <v>641</v>
      </c>
      <c r="B490" s="93" t="s">
        <v>47</v>
      </c>
      <c r="C490" s="93" t="s">
        <v>394</v>
      </c>
      <c r="D490" s="93" t="s">
        <v>411</v>
      </c>
      <c r="E490" s="94" t="s">
        <v>648</v>
      </c>
      <c r="F490" s="93" t="s">
        <v>517</v>
      </c>
      <c r="G490" s="93" t="s">
        <v>300</v>
      </c>
      <c r="H490" s="93" t="s">
        <v>10</v>
      </c>
      <c r="I490" s="93" t="s">
        <v>255</v>
      </c>
      <c r="J490" s="93" t="s">
        <v>47</v>
      </c>
      <c r="K490" s="93"/>
      <c r="L490" s="95">
        <v>50</v>
      </c>
      <c r="M490" s="95">
        <f>L490*VLOOKUP(H490,dagsoorttabel1,2,FALSE)</f>
        <v>50</v>
      </c>
      <c r="N490" s="96">
        <f>prodnorm71</f>
        <v>0</v>
      </c>
      <c r="O490" s="37">
        <f>dagwerk71</f>
        <v>0</v>
      </c>
      <c r="P490" s="93" t="s">
        <v>105</v>
      </c>
      <c r="Q490" s="24">
        <f>uurtarief71</f>
        <v>0</v>
      </c>
      <c r="R490" s="95" t="e">
        <f>IF(ISBLANK(N490),0,M490/ROUND(N490,4))</f>
        <v>#DIV/0!</v>
      </c>
      <c r="S490" s="95" t="e">
        <f>IF(ISBLANK(N490),0,R490*ROUND(O490,2))</f>
        <v>#DIV/0!</v>
      </c>
      <c r="T490" s="24" t="e">
        <f>ROUND(Q490,2)*R490</f>
        <v>#DIV/0!</v>
      </c>
      <c r="U490" s="95" t="e">
        <f>R490*dagenperjaar1</f>
        <v>#DIV/0!</v>
      </c>
      <c r="V490" s="25" t="e">
        <f>U490*ROUND(Q490,2)</f>
        <v>#DIV/0!</v>
      </c>
    </row>
    <row r="491" spans="1:22" x14ac:dyDescent="0.2">
      <c r="A491" s="92" t="s">
        <v>641</v>
      </c>
      <c r="B491" s="93" t="s">
        <v>47</v>
      </c>
      <c r="C491" s="93" t="s">
        <v>394</v>
      </c>
      <c r="D491" s="93" t="s">
        <v>415</v>
      </c>
      <c r="E491" s="94" t="s">
        <v>649</v>
      </c>
      <c r="F491" s="93" t="s">
        <v>442</v>
      </c>
      <c r="G491" s="93" t="s">
        <v>294</v>
      </c>
      <c r="H491" s="93" t="s">
        <v>10</v>
      </c>
      <c r="I491" s="93" t="s">
        <v>255</v>
      </c>
      <c r="J491" s="93" t="s">
        <v>47</v>
      </c>
      <c r="K491" s="93"/>
      <c r="L491" s="95">
        <v>19</v>
      </c>
      <c r="M491" s="95">
        <f>L491*VLOOKUP(H491,dagsoorttabel1,2,FALSE)</f>
        <v>19</v>
      </c>
      <c r="N491" s="96">
        <f>prodnorm67</f>
        <v>0</v>
      </c>
      <c r="O491" s="37">
        <f>dagwerk67</f>
        <v>0</v>
      </c>
      <c r="P491" s="93" t="s">
        <v>105</v>
      </c>
      <c r="Q491" s="24">
        <f>uurtarief67</f>
        <v>0</v>
      </c>
      <c r="R491" s="95" t="e">
        <f>IF(ISBLANK(N491),0,M491/ROUND(N491,4))</f>
        <v>#DIV/0!</v>
      </c>
      <c r="S491" s="95" t="e">
        <f>IF(ISBLANK(N491),0,R491*ROUND(O491,2))</f>
        <v>#DIV/0!</v>
      </c>
      <c r="T491" s="24" t="e">
        <f>ROUND(Q491,2)*R491</f>
        <v>#DIV/0!</v>
      </c>
      <c r="U491" s="95" t="e">
        <f>R491*dagenperjaar1</f>
        <v>#DIV/0!</v>
      </c>
      <c r="V491" s="25" t="e">
        <f>U491*ROUND(Q491,2)</f>
        <v>#DIV/0!</v>
      </c>
    </row>
    <row r="492" spans="1:22" x14ac:dyDescent="0.2">
      <c r="A492" s="92" t="s">
        <v>641</v>
      </c>
      <c r="B492" s="93" t="s">
        <v>47</v>
      </c>
      <c r="C492" s="93" t="s">
        <v>394</v>
      </c>
      <c r="D492" s="93" t="s">
        <v>418</v>
      </c>
      <c r="E492" s="94" t="s">
        <v>650</v>
      </c>
      <c r="F492" s="93" t="s">
        <v>441</v>
      </c>
      <c r="G492" s="93" t="s">
        <v>314</v>
      </c>
      <c r="H492" s="93" t="s">
        <v>10</v>
      </c>
      <c r="I492" s="93" t="s">
        <v>255</v>
      </c>
      <c r="J492" s="93" t="s">
        <v>47</v>
      </c>
      <c r="K492" s="93"/>
      <c r="L492" s="95">
        <v>16.54</v>
      </c>
      <c r="M492" s="95">
        <f>L492*VLOOKUP(H492,dagsoorttabel1,2,FALSE)</f>
        <v>16.54</v>
      </c>
      <c r="N492" s="96">
        <f>prodnorm89</f>
        <v>0</v>
      </c>
      <c r="O492" s="37">
        <f>dagwerk89</f>
        <v>0</v>
      </c>
      <c r="P492" s="93" t="s">
        <v>105</v>
      </c>
      <c r="Q492" s="24">
        <f>uurtarief89</f>
        <v>0</v>
      </c>
      <c r="R492" s="95" t="e">
        <f>IF(ISBLANK(N492),0,M492/ROUND(N492,4))</f>
        <v>#DIV/0!</v>
      </c>
      <c r="S492" s="95" t="e">
        <f>IF(ISBLANK(N492),0,R492*ROUND(O492,2))</f>
        <v>#DIV/0!</v>
      </c>
      <c r="T492" s="24" t="e">
        <f>ROUND(Q492,2)*R492</f>
        <v>#DIV/0!</v>
      </c>
      <c r="U492" s="95" t="e">
        <f>R492*dagenperjaar1</f>
        <v>#DIV/0!</v>
      </c>
      <c r="V492" s="25" t="e">
        <f>U492*ROUND(Q492,2)</f>
        <v>#DIV/0!</v>
      </c>
    </row>
    <row r="493" spans="1:22" x14ac:dyDescent="0.2">
      <c r="A493" s="92" t="s">
        <v>641</v>
      </c>
      <c r="B493" s="93" t="s">
        <v>47</v>
      </c>
      <c r="C493" s="93" t="s">
        <v>394</v>
      </c>
      <c r="D493" s="93" t="s">
        <v>651</v>
      </c>
      <c r="E493" s="94" t="s">
        <v>652</v>
      </c>
      <c r="F493" s="93" t="s">
        <v>517</v>
      </c>
      <c r="G493" s="93" t="s">
        <v>300</v>
      </c>
      <c r="H493" s="93" t="s">
        <v>10</v>
      </c>
      <c r="I493" s="93" t="s">
        <v>255</v>
      </c>
      <c r="J493" s="93" t="s">
        <v>47</v>
      </c>
      <c r="K493" s="93"/>
      <c r="L493" s="95">
        <v>49</v>
      </c>
      <c r="M493" s="95">
        <f>L493*VLOOKUP(H493,dagsoorttabel1,2,FALSE)</f>
        <v>49</v>
      </c>
      <c r="N493" s="96">
        <f>prodnorm71</f>
        <v>0</v>
      </c>
      <c r="O493" s="37">
        <f>dagwerk71</f>
        <v>0</v>
      </c>
      <c r="P493" s="93" t="s">
        <v>105</v>
      </c>
      <c r="Q493" s="24">
        <f>uurtarief71</f>
        <v>0</v>
      </c>
      <c r="R493" s="95" t="e">
        <f>IF(ISBLANK(N493),0,M493/ROUND(N493,4))</f>
        <v>#DIV/0!</v>
      </c>
      <c r="S493" s="95" t="e">
        <f>IF(ISBLANK(N493),0,R493*ROUND(O493,2))</f>
        <v>#DIV/0!</v>
      </c>
      <c r="T493" s="24" t="e">
        <f>ROUND(Q493,2)*R493</f>
        <v>#DIV/0!</v>
      </c>
      <c r="U493" s="95" t="e">
        <f>R493*dagenperjaar1</f>
        <v>#DIV/0!</v>
      </c>
      <c r="V493" s="25" t="e">
        <f>U493*ROUND(Q493,2)</f>
        <v>#DIV/0!</v>
      </c>
    </row>
    <row r="494" spans="1:22" x14ac:dyDescent="0.2">
      <c r="A494" s="92" t="s">
        <v>641</v>
      </c>
      <c r="B494" s="93" t="s">
        <v>47</v>
      </c>
      <c r="C494" s="93" t="s">
        <v>394</v>
      </c>
      <c r="D494" s="93" t="s">
        <v>424</v>
      </c>
      <c r="E494" s="94" t="s">
        <v>653</v>
      </c>
      <c r="F494" s="93" t="s">
        <v>441</v>
      </c>
      <c r="G494" s="93" t="s">
        <v>314</v>
      </c>
      <c r="H494" s="93" t="s">
        <v>10</v>
      </c>
      <c r="I494" s="93" t="s">
        <v>255</v>
      </c>
      <c r="J494" s="93" t="s">
        <v>47</v>
      </c>
      <c r="K494" s="93"/>
      <c r="L494" s="95">
        <v>6.5</v>
      </c>
      <c r="M494" s="95">
        <f>L494*VLOOKUP(H494,dagsoorttabel1,2,FALSE)</f>
        <v>6.5</v>
      </c>
      <c r="N494" s="96">
        <f>prodnorm89</f>
        <v>0</v>
      </c>
      <c r="O494" s="37">
        <f>dagwerk89</f>
        <v>0</v>
      </c>
      <c r="P494" s="93" t="s">
        <v>105</v>
      </c>
      <c r="Q494" s="24">
        <f>uurtarief89</f>
        <v>0</v>
      </c>
      <c r="R494" s="95" t="e">
        <f>IF(ISBLANK(N494),0,M494/ROUND(N494,4))</f>
        <v>#DIV/0!</v>
      </c>
      <c r="S494" s="95" t="e">
        <f>IF(ISBLANK(N494),0,R494*ROUND(O494,2))</f>
        <v>#DIV/0!</v>
      </c>
      <c r="T494" s="24" t="e">
        <f>ROUND(Q494,2)*R494</f>
        <v>#DIV/0!</v>
      </c>
      <c r="U494" s="95" t="e">
        <f>R494*dagenperjaar1</f>
        <v>#DIV/0!</v>
      </c>
      <c r="V494" s="25" t="e">
        <f>U494*ROUND(Q494,2)</f>
        <v>#DIV/0!</v>
      </c>
    </row>
    <row r="495" spans="1:22" x14ac:dyDescent="0.2">
      <c r="A495" s="92" t="s">
        <v>641</v>
      </c>
      <c r="B495" s="93" t="s">
        <v>47</v>
      </c>
      <c r="C495" s="93" t="s">
        <v>394</v>
      </c>
      <c r="D495" s="93" t="s">
        <v>427</v>
      </c>
      <c r="E495" s="94" t="s">
        <v>654</v>
      </c>
      <c r="F495" s="93" t="s">
        <v>496</v>
      </c>
      <c r="G495" s="93" t="s">
        <v>263</v>
      </c>
      <c r="H495" s="93" t="s">
        <v>10</v>
      </c>
      <c r="I495" s="93" t="s">
        <v>255</v>
      </c>
      <c r="J495" s="93" t="s">
        <v>47</v>
      </c>
      <c r="K495" s="93"/>
      <c r="L495" s="95">
        <v>18</v>
      </c>
      <c r="M495" s="95">
        <f>L495*VLOOKUP(H495,dagsoorttabel1,2,FALSE)</f>
        <v>18</v>
      </c>
      <c r="N495" s="96">
        <f>prodnorm37</f>
        <v>0</v>
      </c>
      <c r="O495" s="37">
        <f>dagwerk37</f>
        <v>0</v>
      </c>
      <c r="P495" s="93" t="s">
        <v>105</v>
      </c>
      <c r="Q495" s="24">
        <f>uurtarief37</f>
        <v>0</v>
      </c>
      <c r="R495" s="95" t="e">
        <f>IF(ISBLANK(N495),0,M495/ROUND(N495,4))</f>
        <v>#DIV/0!</v>
      </c>
      <c r="S495" s="95" t="e">
        <f>IF(ISBLANK(N495),0,R495*ROUND(O495,2))</f>
        <v>#DIV/0!</v>
      </c>
      <c r="T495" s="24" t="e">
        <f>ROUND(Q495,2)*R495</f>
        <v>#DIV/0!</v>
      </c>
      <c r="U495" s="95" t="e">
        <f>R495*dagenperjaar1</f>
        <v>#DIV/0!</v>
      </c>
      <c r="V495" s="25" t="e">
        <f>U495*ROUND(Q495,2)</f>
        <v>#DIV/0!</v>
      </c>
    </row>
    <row r="496" spans="1:22" x14ac:dyDescent="0.2">
      <c r="A496" s="92" t="s">
        <v>641</v>
      </c>
      <c r="B496" s="93" t="s">
        <v>47</v>
      </c>
      <c r="C496" s="93" t="s">
        <v>394</v>
      </c>
      <c r="D496" s="93" t="s">
        <v>432</v>
      </c>
      <c r="E496" s="94" t="s">
        <v>654</v>
      </c>
      <c r="F496" s="93" t="s">
        <v>496</v>
      </c>
      <c r="G496" s="93" t="s">
        <v>263</v>
      </c>
      <c r="H496" s="93" t="s">
        <v>10</v>
      </c>
      <c r="I496" s="93" t="s">
        <v>255</v>
      </c>
      <c r="J496" s="93" t="s">
        <v>47</v>
      </c>
      <c r="K496" s="93"/>
      <c r="L496" s="95">
        <v>22</v>
      </c>
      <c r="M496" s="95">
        <f>L496*VLOOKUP(H496,dagsoorttabel1,2,FALSE)</f>
        <v>22</v>
      </c>
      <c r="N496" s="96">
        <f>prodnorm37</f>
        <v>0</v>
      </c>
      <c r="O496" s="37">
        <f>dagwerk37</f>
        <v>0</v>
      </c>
      <c r="P496" s="93" t="s">
        <v>105</v>
      </c>
      <c r="Q496" s="24">
        <f>uurtarief37</f>
        <v>0</v>
      </c>
      <c r="R496" s="95" t="e">
        <f>IF(ISBLANK(N496),0,M496/ROUND(N496,4))</f>
        <v>#DIV/0!</v>
      </c>
      <c r="S496" s="95" t="e">
        <f>IF(ISBLANK(N496),0,R496*ROUND(O496,2))</f>
        <v>#DIV/0!</v>
      </c>
      <c r="T496" s="24" t="e">
        <f>ROUND(Q496,2)*R496</f>
        <v>#DIV/0!</v>
      </c>
      <c r="U496" s="95" t="e">
        <f>R496*dagenperjaar1</f>
        <v>#DIV/0!</v>
      </c>
      <c r="V496" s="25" t="e">
        <f>U496*ROUND(Q496,2)</f>
        <v>#DIV/0!</v>
      </c>
    </row>
    <row r="497" spans="1:22" x14ac:dyDescent="0.2">
      <c r="A497" s="92" t="s">
        <v>641</v>
      </c>
      <c r="B497" s="93" t="s">
        <v>47</v>
      </c>
      <c r="C497" s="93" t="s">
        <v>394</v>
      </c>
      <c r="D497" s="93" t="s">
        <v>448</v>
      </c>
      <c r="E497" s="94" t="s">
        <v>654</v>
      </c>
      <c r="F497" s="93" t="s">
        <v>496</v>
      </c>
      <c r="G497" s="93" t="s">
        <v>263</v>
      </c>
      <c r="H497" s="93" t="s">
        <v>10</v>
      </c>
      <c r="I497" s="93" t="s">
        <v>255</v>
      </c>
      <c r="J497" s="93" t="s">
        <v>47</v>
      </c>
      <c r="K497" s="93"/>
      <c r="L497" s="95">
        <v>60</v>
      </c>
      <c r="M497" s="95">
        <f>L497*VLOOKUP(H497,dagsoorttabel1,2,FALSE)</f>
        <v>60</v>
      </c>
      <c r="N497" s="96">
        <f>prodnorm37</f>
        <v>0</v>
      </c>
      <c r="O497" s="37">
        <f>dagwerk37</f>
        <v>0</v>
      </c>
      <c r="P497" s="93" t="s">
        <v>105</v>
      </c>
      <c r="Q497" s="24">
        <f>uurtarief37</f>
        <v>0</v>
      </c>
      <c r="R497" s="95" t="e">
        <f>IF(ISBLANK(N497),0,M497/ROUND(N497,4))</f>
        <v>#DIV/0!</v>
      </c>
      <c r="S497" s="95" t="e">
        <f>IF(ISBLANK(N497),0,R497*ROUND(O497,2))</f>
        <v>#DIV/0!</v>
      </c>
      <c r="T497" s="24" t="e">
        <f>ROUND(Q497,2)*R497</f>
        <v>#DIV/0!</v>
      </c>
      <c r="U497" s="95" t="e">
        <f>R497*dagenperjaar1</f>
        <v>#DIV/0!</v>
      </c>
      <c r="V497" s="25" t="e">
        <f>U497*ROUND(Q497,2)</f>
        <v>#DIV/0!</v>
      </c>
    </row>
    <row r="498" spans="1:22" x14ac:dyDescent="0.2">
      <c r="A498" s="92" t="s">
        <v>641</v>
      </c>
      <c r="B498" s="93" t="s">
        <v>47</v>
      </c>
      <c r="C498" s="93" t="s">
        <v>394</v>
      </c>
      <c r="D498" s="93" t="s">
        <v>450</v>
      </c>
      <c r="E498" s="94" t="s">
        <v>654</v>
      </c>
      <c r="F498" s="93" t="s">
        <v>496</v>
      </c>
      <c r="G498" s="93" t="s">
        <v>263</v>
      </c>
      <c r="H498" s="93" t="s">
        <v>10</v>
      </c>
      <c r="I498" s="93" t="s">
        <v>255</v>
      </c>
      <c r="J498" s="93" t="s">
        <v>47</v>
      </c>
      <c r="K498" s="93"/>
      <c r="L498" s="95">
        <v>13</v>
      </c>
      <c r="M498" s="95">
        <f>L498*VLOOKUP(H498,dagsoorttabel1,2,FALSE)</f>
        <v>13</v>
      </c>
      <c r="N498" s="96">
        <f>prodnorm37</f>
        <v>0</v>
      </c>
      <c r="O498" s="37">
        <f>dagwerk37</f>
        <v>0</v>
      </c>
      <c r="P498" s="93" t="s">
        <v>105</v>
      </c>
      <c r="Q498" s="24">
        <f>uurtarief37</f>
        <v>0</v>
      </c>
      <c r="R498" s="95" t="e">
        <f>IF(ISBLANK(N498),0,M498/ROUND(N498,4))</f>
        <v>#DIV/0!</v>
      </c>
      <c r="S498" s="95" t="e">
        <f>IF(ISBLANK(N498),0,R498*ROUND(O498,2))</f>
        <v>#DIV/0!</v>
      </c>
      <c r="T498" s="24" t="e">
        <f>ROUND(Q498,2)*R498</f>
        <v>#DIV/0!</v>
      </c>
      <c r="U498" s="95" t="e">
        <f>R498*dagenperjaar1</f>
        <v>#DIV/0!</v>
      </c>
      <c r="V498" s="25" t="e">
        <f>U498*ROUND(Q498,2)</f>
        <v>#DIV/0!</v>
      </c>
    </row>
    <row r="499" spans="1:22" x14ac:dyDescent="0.2">
      <c r="A499" s="92" t="s">
        <v>641</v>
      </c>
      <c r="B499" s="93" t="s">
        <v>47</v>
      </c>
      <c r="C499" s="93" t="s">
        <v>394</v>
      </c>
      <c r="D499" s="93" t="s">
        <v>453</v>
      </c>
      <c r="E499" s="94" t="s">
        <v>654</v>
      </c>
      <c r="F499" s="93" t="s">
        <v>517</v>
      </c>
      <c r="G499" s="93" t="s">
        <v>259</v>
      </c>
      <c r="H499" s="93" t="s">
        <v>10</v>
      </c>
      <c r="I499" s="93" t="s">
        <v>255</v>
      </c>
      <c r="J499" s="93" t="s">
        <v>47</v>
      </c>
      <c r="K499" s="93"/>
      <c r="L499" s="95">
        <v>13</v>
      </c>
      <c r="M499" s="95">
        <f>L499*VLOOKUP(H499,dagsoorttabel1,2,FALSE)</f>
        <v>13</v>
      </c>
      <c r="N499" s="96">
        <f>prodnorm32</f>
        <v>0</v>
      </c>
      <c r="O499" s="37">
        <f>dagwerk32</f>
        <v>0</v>
      </c>
      <c r="P499" s="93" t="s">
        <v>105</v>
      </c>
      <c r="Q499" s="24">
        <f>uurtarief32</f>
        <v>0</v>
      </c>
      <c r="R499" s="95" t="e">
        <f>IF(ISBLANK(N499),0,M499/ROUND(N499,4))</f>
        <v>#DIV/0!</v>
      </c>
      <c r="S499" s="95" t="e">
        <f>IF(ISBLANK(N499),0,R499*ROUND(O499,2))</f>
        <v>#DIV/0!</v>
      </c>
      <c r="T499" s="24" t="e">
        <f>ROUND(Q499,2)*R499</f>
        <v>#DIV/0!</v>
      </c>
      <c r="U499" s="95" t="e">
        <f>R499*dagenperjaar1</f>
        <v>#DIV/0!</v>
      </c>
      <c r="V499" s="25" t="e">
        <f>U499*ROUND(Q499,2)</f>
        <v>#DIV/0!</v>
      </c>
    </row>
    <row r="500" spans="1:22" x14ac:dyDescent="0.2">
      <c r="A500" s="92" t="s">
        <v>641</v>
      </c>
      <c r="B500" s="93" t="s">
        <v>47</v>
      </c>
      <c r="C500" s="93" t="s">
        <v>394</v>
      </c>
      <c r="D500" s="93" t="s">
        <v>457</v>
      </c>
      <c r="E500" s="94" t="s">
        <v>654</v>
      </c>
      <c r="F500" s="93" t="s">
        <v>496</v>
      </c>
      <c r="G500" s="93" t="s">
        <v>263</v>
      </c>
      <c r="H500" s="93" t="s">
        <v>10</v>
      </c>
      <c r="I500" s="93" t="s">
        <v>255</v>
      </c>
      <c r="J500" s="93" t="s">
        <v>47</v>
      </c>
      <c r="K500" s="93"/>
      <c r="L500" s="95">
        <v>69</v>
      </c>
      <c r="M500" s="95">
        <f>L500*VLOOKUP(H500,dagsoorttabel1,2,FALSE)</f>
        <v>69</v>
      </c>
      <c r="N500" s="96">
        <f>prodnorm37</f>
        <v>0</v>
      </c>
      <c r="O500" s="37">
        <f>dagwerk37</f>
        <v>0</v>
      </c>
      <c r="P500" s="93" t="s">
        <v>105</v>
      </c>
      <c r="Q500" s="24">
        <f>uurtarief37</f>
        <v>0</v>
      </c>
      <c r="R500" s="95" t="e">
        <f>IF(ISBLANK(N500),0,M500/ROUND(N500,4))</f>
        <v>#DIV/0!</v>
      </c>
      <c r="S500" s="95" t="e">
        <f>IF(ISBLANK(N500),0,R500*ROUND(O500,2))</f>
        <v>#DIV/0!</v>
      </c>
      <c r="T500" s="24" t="e">
        <f>ROUND(Q500,2)*R500</f>
        <v>#DIV/0!</v>
      </c>
      <c r="U500" s="95" t="e">
        <f>R500*dagenperjaar1</f>
        <v>#DIV/0!</v>
      </c>
      <c r="V500" s="25" t="e">
        <f>U500*ROUND(Q500,2)</f>
        <v>#DIV/0!</v>
      </c>
    </row>
    <row r="501" spans="1:22" x14ac:dyDescent="0.2">
      <c r="A501" s="92" t="s">
        <v>641</v>
      </c>
      <c r="B501" s="93" t="s">
        <v>47</v>
      </c>
      <c r="C501" s="93" t="s">
        <v>394</v>
      </c>
      <c r="D501" s="93" t="s">
        <v>460</v>
      </c>
      <c r="E501" s="94" t="s">
        <v>654</v>
      </c>
      <c r="F501" s="93" t="s">
        <v>496</v>
      </c>
      <c r="G501" s="93" t="s">
        <v>263</v>
      </c>
      <c r="H501" s="93" t="s">
        <v>10</v>
      </c>
      <c r="I501" s="93" t="s">
        <v>255</v>
      </c>
      <c r="J501" s="93" t="s">
        <v>47</v>
      </c>
      <c r="K501" s="93"/>
      <c r="L501" s="95">
        <v>22</v>
      </c>
      <c r="M501" s="95">
        <f>L501*VLOOKUP(H501,dagsoorttabel1,2,FALSE)</f>
        <v>22</v>
      </c>
      <c r="N501" s="96">
        <f>prodnorm37</f>
        <v>0</v>
      </c>
      <c r="O501" s="37">
        <f>dagwerk37</f>
        <v>0</v>
      </c>
      <c r="P501" s="93" t="s">
        <v>105</v>
      </c>
      <c r="Q501" s="24">
        <f>uurtarief37</f>
        <v>0</v>
      </c>
      <c r="R501" s="95" t="e">
        <f>IF(ISBLANK(N501),0,M501/ROUND(N501,4))</f>
        <v>#DIV/0!</v>
      </c>
      <c r="S501" s="95" t="e">
        <f>IF(ISBLANK(N501),0,R501*ROUND(O501,2))</f>
        <v>#DIV/0!</v>
      </c>
      <c r="T501" s="24" t="e">
        <f>ROUND(Q501,2)*R501</f>
        <v>#DIV/0!</v>
      </c>
      <c r="U501" s="95" t="e">
        <f>R501*dagenperjaar1</f>
        <v>#DIV/0!</v>
      </c>
      <c r="V501" s="25" t="e">
        <f>U501*ROUND(Q501,2)</f>
        <v>#DIV/0!</v>
      </c>
    </row>
    <row r="502" spans="1:22" x14ac:dyDescent="0.2">
      <c r="A502" s="92" t="s">
        <v>641</v>
      </c>
      <c r="B502" s="93" t="s">
        <v>47</v>
      </c>
      <c r="C502" s="93" t="s">
        <v>394</v>
      </c>
      <c r="D502" s="93" t="s">
        <v>462</v>
      </c>
      <c r="E502" s="94" t="s">
        <v>655</v>
      </c>
      <c r="F502" s="93" t="s">
        <v>496</v>
      </c>
      <c r="G502" s="93" t="s">
        <v>292</v>
      </c>
      <c r="H502" s="93" t="s">
        <v>10</v>
      </c>
      <c r="I502" s="93" t="s">
        <v>255</v>
      </c>
      <c r="J502" s="93" t="s">
        <v>47</v>
      </c>
      <c r="K502" s="93"/>
      <c r="L502" s="95">
        <v>24</v>
      </c>
      <c r="M502" s="95">
        <f>L502*VLOOKUP(H502,dagsoorttabel1,2,FALSE)</f>
        <v>24</v>
      </c>
      <c r="N502" s="96">
        <f>prodnorm65</f>
        <v>0</v>
      </c>
      <c r="O502" s="37">
        <f>dagwerk65</f>
        <v>0</v>
      </c>
      <c r="P502" s="93" t="s">
        <v>105</v>
      </c>
      <c r="Q502" s="24">
        <f>uurtarief65</f>
        <v>0</v>
      </c>
      <c r="R502" s="95" t="e">
        <f>IF(ISBLANK(N502),0,M502/ROUND(N502,4))</f>
        <v>#DIV/0!</v>
      </c>
      <c r="S502" s="95" t="e">
        <f>IF(ISBLANK(N502),0,R502*ROUND(O502,2))</f>
        <v>#DIV/0!</v>
      </c>
      <c r="T502" s="24" t="e">
        <f>ROUND(Q502,2)*R502</f>
        <v>#DIV/0!</v>
      </c>
      <c r="U502" s="95" t="e">
        <f>R502*dagenperjaar1</f>
        <v>#DIV/0!</v>
      </c>
      <c r="V502" s="25" t="e">
        <f>U502*ROUND(Q502,2)</f>
        <v>#DIV/0!</v>
      </c>
    </row>
    <row r="503" spans="1:22" x14ac:dyDescent="0.2">
      <c r="A503" s="92" t="s">
        <v>641</v>
      </c>
      <c r="B503" s="93" t="s">
        <v>47</v>
      </c>
      <c r="C503" s="93" t="s">
        <v>394</v>
      </c>
      <c r="D503" s="93" t="s">
        <v>656</v>
      </c>
      <c r="E503" s="94" t="s">
        <v>530</v>
      </c>
      <c r="F503" s="93" t="s">
        <v>517</v>
      </c>
      <c r="G503" s="93" t="s">
        <v>314</v>
      </c>
      <c r="H503" s="93" t="s">
        <v>10</v>
      </c>
      <c r="I503" s="93" t="s">
        <v>255</v>
      </c>
      <c r="J503" s="93" t="s">
        <v>47</v>
      </c>
      <c r="K503" s="93"/>
      <c r="L503" s="95">
        <v>2</v>
      </c>
      <c r="M503" s="95">
        <f>L503*VLOOKUP(H503,dagsoorttabel1,2,FALSE)</f>
        <v>2</v>
      </c>
      <c r="N503" s="96">
        <f>prodnorm89</f>
        <v>0</v>
      </c>
      <c r="O503" s="37">
        <f>dagwerk89</f>
        <v>0</v>
      </c>
      <c r="P503" s="93" t="s">
        <v>105</v>
      </c>
      <c r="Q503" s="24">
        <f>uurtarief89</f>
        <v>0</v>
      </c>
      <c r="R503" s="95" t="e">
        <f>IF(ISBLANK(N503),0,M503/ROUND(N503,4))</f>
        <v>#DIV/0!</v>
      </c>
      <c r="S503" s="95" t="e">
        <f>IF(ISBLANK(N503),0,R503*ROUND(O503,2))</f>
        <v>#DIV/0!</v>
      </c>
      <c r="T503" s="24" t="e">
        <f>ROUND(Q503,2)*R503</f>
        <v>#DIV/0!</v>
      </c>
      <c r="U503" s="95" t="e">
        <f>R503*dagenperjaar1</f>
        <v>#DIV/0!</v>
      </c>
      <c r="V503" s="25" t="e">
        <f>U503*ROUND(Q503,2)</f>
        <v>#DIV/0!</v>
      </c>
    </row>
    <row r="504" spans="1:22" x14ac:dyDescent="0.2">
      <c r="A504" s="92" t="s">
        <v>641</v>
      </c>
      <c r="B504" s="93" t="s">
        <v>47</v>
      </c>
      <c r="C504" s="93" t="s">
        <v>394</v>
      </c>
      <c r="D504" s="93" t="s">
        <v>657</v>
      </c>
      <c r="E504" s="94" t="s">
        <v>650</v>
      </c>
      <c r="F504" s="93" t="s">
        <v>517</v>
      </c>
      <c r="G504" s="93" t="s">
        <v>314</v>
      </c>
      <c r="H504" s="93" t="s">
        <v>10</v>
      </c>
      <c r="I504" s="93" t="s">
        <v>255</v>
      </c>
      <c r="J504" s="93" t="s">
        <v>47</v>
      </c>
      <c r="K504" s="93"/>
      <c r="L504" s="95">
        <v>6.5</v>
      </c>
      <c r="M504" s="95">
        <f>L504*VLOOKUP(H504,dagsoorttabel1,2,FALSE)</f>
        <v>6.5</v>
      </c>
      <c r="N504" s="96">
        <f>prodnorm89</f>
        <v>0</v>
      </c>
      <c r="O504" s="37">
        <f>dagwerk89</f>
        <v>0</v>
      </c>
      <c r="P504" s="93" t="s">
        <v>105</v>
      </c>
      <c r="Q504" s="24">
        <f>uurtarief89</f>
        <v>0</v>
      </c>
      <c r="R504" s="95" t="e">
        <f>IF(ISBLANK(N504),0,M504/ROUND(N504,4))</f>
        <v>#DIV/0!</v>
      </c>
      <c r="S504" s="95" t="e">
        <f>IF(ISBLANK(N504),0,R504*ROUND(O504,2))</f>
        <v>#DIV/0!</v>
      </c>
      <c r="T504" s="24" t="e">
        <f>ROUND(Q504,2)*R504</f>
        <v>#DIV/0!</v>
      </c>
      <c r="U504" s="95" t="e">
        <f>R504*dagenperjaar1</f>
        <v>#DIV/0!</v>
      </c>
      <c r="V504" s="25" t="e">
        <f>U504*ROUND(Q504,2)</f>
        <v>#DIV/0!</v>
      </c>
    </row>
    <row r="505" spans="1:22" x14ac:dyDescent="0.2">
      <c r="A505" s="92" t="s">
        <v>641</v>
      </c>
      <c r="B505" s="93" t="s">
        <v>47</v>
      </c>
      <c r="C505" s="93" t="s">
        <v>394</v>
      </c>
      <c r="D505" s="93" t="s">
        <v>658</v>
      </c>
      <c r="E505" s="94" t="s">
        <v>518</v>
      </c>
      <c r="F505" s="93" t="s">
        <v>517</v>
      </c>
      <c r="G505" s="93" t="s">
        <v>308</v>
      </c>
      <c r="H505" s="93" t="s">
        <v>10</v>
      </c>
      <c r="I505" s="93" t="s">
        <v>255</v>
      </c>
      <c r="J505" s="93" t="s">
        <v>47</v>
      </c>
      <c r="K505" s="93"/>
      <c r="L505" s="95">
        <v>14</v>
      </c>
      <c r="M505" s="95">
        <f>L505*VLOOKUP(H505,dagsoorttabel1,2,FALSE)</f>
        <v>14</v>
      </c>
      <c r="N505" s="96">
        <f>prodnorm82</f>
        <v>0</v>
      </c>
      <c r="O505" s="37">
        <f>dagwerk82</f>
        <v>0</v>
      </c>
      <c r="P505" s="93" t="s">
        <v>105</v>
      </c>
      <c r="Q505" s="24">
        <f>uurtarief82</f>
        <v>0</v>
      </c>
      <c r="R505" s="95" t="e">
        <f>IF(ISBLANK(N505),0,M505/ROUND(N505,4))</f>
        <v>#DIV/0!</v>
      </c>
      <c r="S505" s="95" t="e">
        <f>IF(ISBLANK(N505),0,R505*ROUND(O505,2))</f>
        <v>#DIV/0!</v>
      </c>
      <c r="T505" s="24" t="e">
        <f>ROUND(Q505,2)*R505</f>
        <v>#DIV/0!</v>
      </c>
      <c r="U505" s="95" t="e">
        <f>R505*dagenperjaar1</f>
        <v>#DIV/0!</v>
      </c>
      <c r="V505" s="25" t="e">
        <f>U505*ROUND(Q505,2)</f>
        <v>#DIV/0!</v>
      </c>
    </row>
    <row r="506" spans="1:22" x14ac:dyDescent="0.2">
      <c r="A506" s="92" t="s">
        <v>641</v>
      </c>
      <c r="B506" s="93" t="s">
        <v>47</v>
      </c>
      <c r="C506" s="93" t="s">
        <v>394</v>
      </c>
      <c r="D506" s="93" t="s">
        <v>659</v>
      </c>
      <c r="E506" s="94" t="s">
        <v>518</v>
      </c>
      <c r="F506" s="93" t="s">
        <v>496</v>
      </c>
      <c r="G506" s="93" t="s">
        <v>312</v>
      </c>
      <c r="H506" s="93" t="s">
        <v>10</v>
      </c>
      <c r="I506" s="93" t="s">
        <v>255</v>
      </c>
      <c r="J506" s="93" t="s">
        <v>47</v>
      </c>
      <c r="K506" s="93"/>
      <c r="L506" s="95">
        <v>14</v>
      </c>
      <c r="M506" s="95">
        <f>L506*VLOOKUP(H506,dagsoorttabel1,2,FALSE)</f>
        <v>14</v>
      </c>
      <c r="N506" s="96">
        <f>prodnorm86</f>
        <v>0</v>
      </c>
      <c r="O506" s="37">
        <f>dagwerk86</f>
        <v>0</v>
      </c>
      <c r="P506" s="93" t="s">
        <v>105</v>
      </c>
      <c r="Q506" s="24">
        <f>uurtarief86</f>
        <v>0</v>
      </c>
      <c r="R506" s="95" t="e">
        <f>IF(ISBLANK(N506),0,M506/ROUND(N506,4))</f>
        <v>#DIV/0!</v>
      </c>
      <c r="S506" s="95" t="e">
        <f>IF(ISBLANK(N506),0,R506*ROUND(O506,2))</f>
        <v>#DIV/0!</v>
      </c>
      <c r="T506" s="24" t="e">
        <f>ROUND(Q506,2)*R506</f>
        <v>#DIV/0!</v>
      </c>
      <c r="U506" s="95" t="e">
        <f>R506*dagenperjaar1</f>
        <v>#DIV/0!</v>
      </c>
      <c r="V506" s="25" t="e">
        <f>U506*ROUND(Q506,2)</f>
        <v>#DIV/0!</v>
      </c>
    </row>
    <row r="507" spans="1:22" x14ac:dyDescent="0.2">
      <c r="A507" s="92" t="s">
        <v>641</v>
      </c>
      <c r="B507" s="93" t="s">
        <v>47</v>
      </c>
      <c r="C507" s="93" t="s">
        <v>394</v>
      </c>
      <c r="D507" s="93" t="s">
        <v>536</v>
      </c>
      <c r="E507" s="94" t="s">
        <v>660</v>
      </c>
      <c r="F507" s="93" t="s">
        <v>442</v>
      </c>
      <c r="G507" s="93" t="s">
        <v>304</v>
      </c>
      <c r="H507" s="93" t="s">
        <v>10</v>
      </c>
      <c r="I507" s="93" t="s">
        <v>255</v>
      </c>
      <c r="J507" s="93" t="s">
        <v>47</v>
      </c>
      <c r="K507" s="93"/>
      <c r="L507" s="95">
        <v>7</v>
      </c>
      <c r="M507" s="95">
        <f>L507*VLOOKUP(H507,dagsoorttabel1,2,FALSE)</f>
        <v>7</v>
      </c>
      <c r="N507" s="96">
        <f>prodnorm75</f>
        <v>0</v>
      </c>
      <c r="O507" s="37">
        <f>dagwerk75</f>
        <v>0</v>
      </c>
      <c r="P507" s="93" t="s">
        <v>105</v>
      </c>
      <c r="Q507" s="24">
        <f>uurtarief75</f>
        <v>0</v>
      </c>
      <c r="R507" s="95" t="e">
        <f>IF(ISBLANK(N507),0,M507/ROUND(N507,4))</f>
        <v>#DIV/0!</v>
      </c>
      <c r="S507" s="95" t="e">
        <f>IF(ISBLANK(N507),0,R507*ROUND(O507,2))</f>
        <v>#DIV/0!</v>
      </c>
      <c r="T507" s="24" t="e">
        <f>ROUND(Q507,2)*R507</f>
        <v>#DIV/0!</v>
      </c>
      <c r="U507" s="95" t="e">
        <f>R507*dagenperjaar1</f>
        <v>#DIV/0!</v>
      </c>
      <c r="V507" s="25" t="e">
        <f>U507*ROUND(Q507,2)</f>
        <v>#DIV/0!</v>
      </c>
    </row>
    <row r="508" spans="1:22" x14ac:dyDescent="0.2">
      <c r="A508" s="92" t="s">
        <v>641</v>
      </c>
      <c r="B508" s="93" t="s">
        <v>47</v>
      </c>
      <c r="C508" s="93" t="s">
        <v>394</v>
      </c>
      <c r="D508" s="93" t="s">
        <v>540</v>
      </c>
      <c r="E508" s="94" t="s">
        <v>661</v>
      </c>
      <c r="F508" s="93" t="s">
        <v>442</v>
      </c>
      <c r="G508" s="93" t="s">
        <v>304</v>
      </c>
      <c r="H508" s="93" t="s">
        <v>10</v>
      </c>
      <c r="I508" s="93" t="s">
        <v>255</v>
      </c>
      <c r="J508" s="93" t="s">
        <v>47</v>
      </c>
      <c r="K508" s="93"/>
      <c r="L508" s="95">
        <v>4</v>
      </c>
      <c r="M508" s="95">
        <f>L508*VLOOKUP(H508,dagsoorttabel1,2,FALSE)</f>
        <v>4</v>
      </c>
      <c r="N508" s="96">
        <f>prodnorm75</f>
        <v>0</v>
      </c>
      <c r="O508" s="37">
        <f>dagwerk75</f>
        <v>0</v>
      </c>
      <c r="P508" s="93" t="s">
        <v>105</v>
      </c>
      <c r="Q508" s="24">
        <f>uurtarief75</f>
        <v>0</v>
      </c>
      <c r="R508" s="95" t="e">
        <f>IF(ISBLANK(N508),0,M508/ROUND(N508,4))</f>
        <v>#DIV/0!</v>
      </c>
      <c r="S508" s="95" t="e">
        <f>IF(ISBLANK(N508),0,R508*ROUND(O508,2))</f>
        <v>#DIV/0!</v>
      </c>
      <c r="T508" s="24" t="e">
        <f>ROUND(Q508,2)*R508</f>
        <v>#DIV/0!</v>
      </c>
      <c r="U508" s="95" t="e">
        <f>R508*dagenperjaar1</f>
        <v>#DIV/0!</v>
      </c>
      <c r="V508" s="25" t="e">
        <f>U508*ROUND(Q508,2)</f>
        <v>#DIV/0!</v>
      </c>
    </row>
    <row r="509" spans="1:22" x14ac:dyDescent="0.2">
      <c r="A509" s="92" t="s">
        <v>641</v>
      </c>
      <c r="B509" s="93" t="s">
        <v>47</v>
      </c>
      <c r="C509" s="93" t="s">
        <v>394</v>
      </c>
      <c r="D509" s="93" t="s">
        <v>542</v>
      </c>
      <c r="E509" s="94" t="s">
        <v>661</v>
      </c>
      <c r="F509" s="93" t="s">
        <v>442</v>
      </c>
      <c r="G509" s="93" t="s">
        <v>304</v>
      </c>
      <c r="H509" s="93" t="s">
        <v>10</v>
      </c>
      <c r="I509" s="93" t="s">
        <v>255</v>
      </c>
      <c r="J509" s="93" t="s">
        <v>47</v>
      </c>
      <c r="K509" s="93"/>
      <c r="L509" s="95">
        <v>2</v>
      </c>
      <c r="M509" s="95">
        <f>L509*VLOOKUP(H509,dagsoorttabel1,2,FALSE)</f>
        <v>2</v>
      </c>
      <c r="N509" s="96">
        <f>prodnorm75</f>
        <v>0</v>
      </c>
      <c r="O509" s="37">
        <f>dagwerk75</f>
        <v>0</v>
      </c>
      <c r="P509" s="93" t="s">
        <v>105</v>
      </c>
      <c r="Q509" s="24">
        <f>uurtarief75</f>
        <v>0</v>
      </c>
      <c r="R509" s="95" t="e">
        <f>IF(ISBLANK(N509),0,M509/ROUND(N509,4))</f>
        <v>#DIV/0!</v>
      </c>
      <c r="S509" s="95" t="e">
        <f>IF(ISBLANK(N509),0,R509*ROUND(O509,2))</f>
        <v>#DIV/0!</v>
      </c>
      <c r="T509" s="24" t="e">
        <f>ROUND(Q509,2)*R509</f>
        <v>#DIV/0!</v>
      </c>
      <c r="U509" s="95" t="e">
        <f>R509*dagenperjaar1</f>
        <v>#DIV/0!</v>
      </c>
      <c r="V509" s="25" t="e">
        <f>U509*ROUND(Q509,2)</f>
        <v>#DIV/0!</v>
      </c>
    </row>
    <row r="510" spans="1:22" x14ac:dyDescent="0.2">
      <c r="A510" s="92" t="s">
        <v>641</v>
      </c>
      <c r="B510" s="93" t="s">
        <v>47</v>
      </c>
      <c r="C510" s="93" t="s">
        <v>394</v>
      </c>
      <c r="D510" s="93" t="s">
        <v>545</v>
      </c>
      <c r="E510" s="94" t="s">
        <v>661</v>
      </c>
      <c r="F510" s="93" t="s">
        <v>442</v>
      </c>
      <c r="G510" s="93" t="s">
        <v>304</v>
      </c>
      <c r="H510" s="93" t="s">
        <v>10</v>
      </c>
      <c r="I510" s="93" t="s">
        <v>255</v>
      </c>
      <c r="J510" s="93" t="s">
        <v>47</v>
      </c>
      <c r="K510" s="93"/>
      <c r="L510" s="95">
        <v>1</v>
      </c>
      <c r="M510" s="95">
        <f>L510*VLOOKUP(H510,dagsoorttabel1,2,FALSE)</f>
        <v>1</v>
      </c>
      <c r="N510" s="96">
        <f>prodnorm75</f>
        <v>0</v>
      </c>
      <c r="O510" s="37">
        <f>dagwerk75</f>
        <v>0</v>
      </c>
      <c r="P510" s="93" t="s">
        <v>105</v>
      </c>
      <c r="Q510" s="24">
        <f>uurtarief75</f>
        <v>0</v>
      </c>
      <c r="R510" s="95" t="e">
        <f>IF(ISBLANK(N510),0,M510/ROUND(N510,4))</f>
        <v>#DIV/0!</v>
      </c>
      <c r="S510" s="95" t="e">
        <f>IF(ISBLANK(N510),0,R510*ROUND(O510,2))</f>
        <v>#DIV/0!</v>
      </c>
      <c r="T510" s="24" t="e">
        <f>ROUND(Q510,2)*R510</f>
        <v>#DIV/0!</v>
      </c>
      <c r="U510" s="95" t="e">
        <f>R510*dagenperjaar1</f>
        <v>#DIV/0!</v>
      </c>
      <c r="V510" s="25" t="e">
        <f>U510*ROUND(Q510,2)</f>
        <v>#DIV/0!</v>
      </c>
    </row>
    <row r="511" spans="1:22" x14ac:dyDescent="0.2">
      <c r="A511" s="92" t="s">
        <v>641</v>
      </c>
      <c r="B511" s="93" t="s">
        <v>47</v>
      </c>
      <c r="C511" s="93" t="s">
        <v>394</v>
      </c>
      <c r="D511" s="93" t="s">
        <v>547</v>
      </c>
      <c r="E511" s="94" t="s">
        <v>650</v>
      </c>
      <c r="F511" s="93" t="s">
        <v>517</v>
      </c>
      <c r="G511" s="93" t="s">
        <v>314</v>
      </c>
      <c r="H511" s="93" t="s">
        <v>10</v>
      </c>
      <c r="I511" s="93" t="s">
        <v>255</v>
      </c>
      <c r="J511" s="93" t="s">
        <v>47</v>
      </c>
      <c r="K511" s="93"/>
      <c r="L511" s="95">
        <v>37.5</v>
      </c>
      <c r="M511" s="95">
        <f>L511*VLOOKUP(H511,dagsoorttabel1,2,FALSE)</f>
        <v>37.5</v>
      </c>
      <c r="N511" s="96">
        <f>prodnorm89</f>
        <v>0</v>
      </c>
      <c r="O511" s="37">
        <f>dagwerk89</f>
        <v>0</v>
      </c>
      <c r="P511" s="93" t="s">
        <v>105</v>
      </c>
      <c r="Q511" s="24">
        <f>uurtarief89</f>
        <v>0</v>
      </c>
      <c r="R511" s="95" t="e">
        <f>IF(ISBLANK(N511),0,M511/ROUND(N511,4))</f>
        <v>#DIV/0!</v>
      </c>
      <c r="S511" s="95" t="e">
        <f>IF(ISBLANK(N511),0,R511*ROUND(O511,2))</f>
        <v>#DIV/0!</v>
      </c>
      <c r="T511" s="24" t="e">
        <f>ROUND(Q511,2)*R511</f>
        <v>#DIV/0!</v>
      </c>
      <c r="U511" s="95" t="e">
        <f>R511*dagenperjaar1</f>
        <v>#DIV/0!</v>
      </c>
      <c r="V511" s="25" t="e">
        <f>U511*ROUND(Q511,2)</f>
        <v>#DIV/0!</v>
      </c>
    </row>
    <row r="512" spans="1:22" x14ac:dyDescent="0.2">
      <c r="A512" s="92" t="s">
        <v>641</v>
      </c>
      <c r="B512" s="93" t="s">
        <v>47</v>
      </c>
      <c r="C512" s="93" t="s">
        <v>394</v>
      </c>
      <c r="D512" s="93" t="s">
        <v>662</v>
      </c>
      <c r="E512" s="94" t="s">
        <v>654</v>
      </c>
      <c r="F512" s="93" t="s">
        <v>441</v>
      </c>
      <c r="G512" s="93" t="s">
        <v>259</v>
      </c>
      <c r="H512" s="93" t="s">
        <v>10</v>
      </c>
      <c r="I512" s="93" t="s">
        <v>255</v>
      </c>
      <c r="J512" s="93" t="s">
        <v>47</v>
      </c>
      <c r="K512" s="93"/>
      <c r="L512" s="95">
        <v>29</v>
      </c>
      <c r="M512" s="95">
        <f>L512*VLOOKUP(H512,dagsoorttabel1,2,FALSE)</f>
        <v>29</v>
      </c>
      <c r="N512" s="96">
        <f>prodnorm32</f>
        <v>0</v>
      </c>
      <c r="O512" s="37">
        <f>dagwerk32</f>
        <v>0</v>
      </c>
      <c r="P512" s="93" t="s">
        <v>105</v>
      </c>
      <c r="Q512" s="24">
        <f>uurtarief32</f>
        <v>0</v>
      </c>
      <c r="R512" s="95" t="e">
        <f>IF(ISBLANK(N512),0,M512/ROUND(N512,4))</f>
        <v>#DIV/0!</v>
      </c>
      <c r="S512" s="95" t="e">
        <f>IF(ISBLANK(N512),0,R512*ROUND(O512,2))</f>
        <v>#DIV/0!</v>
      </c>
      <c r="T512" s="24" t="e">
        <f>ROUND(Q512,2)*R512</f>
        <v>#DIV/0!</v>
      </c>
      <c r="U512" s="95" t="e">
        <f>R512*dagenperjaar1</f>
        <v>#DIV/0!</v>
      </c>
      <c r="V512" s="25" t="e">
        <f>U512*ROUND(Q512,2)</f>
        <v>#DIV/0!</v>
      </c>
    </row>
    <row r="513" spans="1:22" x14ac:dyDescent="0.2">
      <c r="A513" s="92" t="s">
        <v>641</v>
      </c>
      <c r="B513" s="93" t="s">
        <v>47</v>
      </c>
      <c r="C513" s="93" t="s">
        <v>394</v>
      </c>
      <c r="D513" s="93" t="s">
        <v>663</v>
      </c>
      <c r="E513" s="94" t="s">
        <v>650</v>
      </c>
      <c r="F513" s="93" t="s">
        <v>441</v>
      </c>
      <c r="G513" s="93" t="s">
        <v>314</v>
      </c>
      <c r="H513" s="93" t="s">
        <v>10</v>
      </c>
      <c r="I513" s="93" t="s">
        <v>255</v>
      </c>
      <c r="J513" s="93" t="s">
        <v>47</v>
      </c>
      <c r="K513" s="93"/>
      <c r="L513" s="95">
        <v>9.84</v>
      </c>
      <c r="M513" s="95">
        <f>L513*VLOOKUP(H513,dagsoorttabel1,2,FALSE)</f>
        <v>9.84</v>
      </c>
      <c r="N513" s="96">
        <f>prodnorm89</f>
        <v>0</v>
      </c>
      <c r="O513" s="37">
        <f>dagwerk89</f>
        <v>0</v>
      </c>
      <c r="P513" s="93" t="s">
        <v>105</v>
      </c>
      <c r="Q513" s="24">
        <f>uurtarief89</f>
        <v>0</v>
      </c>
      <c r="R513" s="95" t="e">
        <f>IF(ISBLANK(N513),0,M513/ROUND(N513,4))</f>
        <v>#DIV/0!</v>
      </c>
      <c r="S513" s="95" t="e">
        <f>IF(ISBLANK(N513),0,R513*ROUND(O513,2))</f>
        <v>#DIV/0!</v>
      </c>
      <c r="T513" s="24" t="e">
        <f>ROUND(Q513,2)*R513</f>
        <v>#DIV/0!</v>
      </c>
      <c r="U513" s="95" t="e">
        <f>R513*dagenperjaar1</f>
        <v>#DIV/0!</v>
      </c>
      <c r="V513" s="25" t="e">
        <f>U513*ROUND(Q513,2)</f>
        <v>#DIV/0!</v>
      </c>
    </row>
    <row r="514" spans="1:22" x14ac:dyDescent="0.2">
      <c r="A514" s="92" t="s">
        <v>641</v>
      </c>
      <c r="B514" s="93" t="s">
        <v>47</v>
      </c>
      <c r="C514" s="93" t="s">
        <v>394</v>
      </c>
      <c r="D514" s="93" t="s">
        <v>664</v>
      </c>
      <c r="E514" s="94" t="s">
        <v>650</v>
      </c>
      <c r="F514" s="93" t="s">
        <v>441</v>
      </c>
      <c r="G514" s="93" t="s">
        <v>314</v>
      </c>
      <c r="H514" s="93" t="s">
        <v>10</v>
      </c>
      <c r="I514" s="93" t="s">
        <v>255</v>
      </c>
      <c r="J514" s="93" t="s">
        <v>47</v>
      </c>
      <c r="K514" s="93"/>
      <c r="L514" s="95">
        <v>26.77</v>
      </c>
      <c r="M514" s="95">
        <f>L514*VLOOKUP(H514,dagsoorttabel1,2,FALSE)</f>
        <v>26.77</v>
      </c>
      <c r="N514" s="96">
        <f>prodnorm89</f>
        <v>0</v>
      </c>
      <c r="O514" s="37">
        <f>dagwerk89</f>
        <v>0</v>
      </c>
      <c r="P514" s="93" t="s">
        <v>105</v>
      </c>
      <c r="Q514" s="24">
        <f>uurtarief89</f>
        <v>0</v>
      </c>
      <c r="R514" s="95" t="e">
        <f>IF(ISBLANK(N514),0,M514/ROUND(N514,4))</f>
        <v>#DIV/0!</v>
      </c>
      <c r="S514" s="95" t="e">
        <f>IF(ISBLANK(N514),0,R514*ROUND(O514,2))</f>
        <v>#DIV/0!</v>
      </c>
      <c r="T514" s="24" t="e">
        <f>ROUND(Q514,2)*R514</f>
        <v>#DIV/0!</v>
      </c>
      <c r="U514" s="95" t="e">
        <f>R514*dagenperjaar1</f>
        <v>#DIV/0!</v>
      </c>
      <c r="V514" s="25" t="e">
        <f>U514*ROUND(Q514,2)</f>
        <v>#DIV/0!</v>
      </c>
    </row>
    <row r="515" spans="1:22" x14ac:dyDescent="0.2">
      <c r="A515" s="92" t="s">
        <v>641</v>
      </c>
      <c r="B515" s="93" t="s">
        <v>47</v>
      </c>
      <c r="C515" s="93" t="s">
        <v>394</v>
      </c>
      <c r="D515" s="93" t="s">
        <v>665</v>
      </c>
      <c r="E515" s="94" t="s">
        <v>666</v>
      </c>
      <c r="F515" s="93" t="s">
        <v>442</v>
      </c>
      <c r="G515" s="93" t="s">
        <v>304</v>
      </c>
      <c r="H515" s="93" t="s">
        <v>10</v>
      </c>
      <c r="I515" s="93" t="s">
        <v>255</v>
      </c>
      <c r="J515" s="93" t="s">
        <v>47</v>
      </c>
      <c r="K515" s="93"/>
      <c r="L515" s="95">
        <v>15</v>
      </c>
      <c r="M515" s="95">
        <f>L515*VLOOKUP(H515,dagsoorttabel1,2,FALSE)</f>
        <v>15</v>
      </c>
      <c r="N515" s="96">
        <f>prodnorm75</f>
        <v>0</v>
      </c>
      <c r="O515" s="37">
        <f>dagwerk75</f>
        <v>0</v>
      </c>
      <c r="P515" s="93" t="s">
        <v>105</v>
      </c>
      <c r="Q515" s="24">
        <f>uurtarief75</f>
        <v>0</v>
      </c>
      <c r="R515" s="95" t="e">
        <f>IF(ISBLANK(N515),0,M515/ROUND(N515,4))</f>
        <v>#DIV/0!</v>
      </c>
      <c r="S515" s="95" t="e">
        <f>IF(ISBLANK(N515),0,R515*ROUND(O515,2))</f>
        <v>#DIV/0!</v>
      </c>
      <c r="T515" s="24" t="e">
        <f>ROUND(Q515,2)*R515</f>
        <v>#DIV/0!</v>
      </c>
      <c r="U515" s="95" t="e">
        <f>R515*dagenperjaar1</f>
        <v>#DIV/0!</v>
      </c>
      <c r="V515" s="25" t="e">
        <f>U515*ROUND(Q515,2)</f>
        <v>#DIV/0!</v>
      </c>
    </row>
    <row r="516" spans="1:22" x14ac:dyDescent="0.2">
      <c r="A516" s="92" t="s">
        <v>641</v>
      </c>
      <c r="B516" s="93" t="s">
        <v>47</v>
      </c>
      <c r="C516" s="93" t="s">
        <v>394</v>
      </c>
      <c r="D516" s="93" t="s">
        <v>667</v>
      </c>
      <c r="E516" s="94" t="s">
        <v>668</v>
      </c>
      <c r="F516" s="93" t="s">
        <v>517</v>
      </c>
      <c r="G516" s="93" t="s">
        <v>314</v>
      </c>
      <c r="H516" s="93" t="s">
        <v>10</v>
      </c>
      <c r="I516" s="93" t="s">
        <v>255</v>
      </c>
      <c r="J516" s="93" t="s">
        <v>47</v>
      </c>
      <c r="K516" s="93"/>
      <c r="L516" s="95">
        <v>17.899999999999999</v>
      </c>
      <c r="M516" s="95">
        <f>L516*VLOOKUP(H516,dagsoorttabel1,2,FALSE)</f>
        <v>17.899999999999999</v>
      </c>
      <c r="N516" s="96">
        <f>prodnorm89</f>
        <v>0</v>
      </c>
      <c r="O516" s="37">
        <f>dagwerk89</f>
        <v>0</v>
      </c>
      <c r="P516" s="93" t="s">
        <v>105</v>
      </c>
      <c r="Q516" s="24">
        <f>uurtarief89</f>
        <v>0</v>
      </c>
      <c r="R516" s="95" t="e">
        <f>IF(ISBLANK(N516),0,M516/ROUND(N516,4))</f>
        <v>#DIV/0!</v>
      </c>
      <c r="S516" s="95" t="e">
        <f>IF(ISBLANK(N516),0,R516*ROUND(O516,2))</f>
        <v>#DIV/0!</v>
      </c>
      <c r="T516" s="24" t="e">
        <f>ROUND(Q516,2)*R516</f>
        <v>#DIV/0!</v>
      </c>
      <c r="U516" s="95" t="e">
        <f>R516*dagenperjaar1</f>
        <v>#DIV/0!</v>
      </c>
      <c r="V516" s="25" t="e">
        <f>U516*ROUND(Q516,2)</f>
        <v>#DIV/0!</v>
      </c>
    </row>
    <row r="517" spans="1:22" x14ac:dyDescent="0.2">
      <c r="A517" s="92" t="s">
        <v>641</v>
      </c>
      <c r="B517" s="93" t="s">
        <v>47</v>
      </c>
      <c r="C517" s="93" t="s">
        <v>394</v>
      </c>
      <c r="D517" s="93" t="s">
        <v>669</v>
      </c>
      <c r="E517" s="94" t="s">
        <v>654</v>
      </c>
      <c r="F517" s="93" t="s">
        <v>441</v>
      </c>
      <c r="G517" s="93" t="s">
        <v>259</v>
      </c>
      <c r="H517" s="93" t="s">
        <v>10</v>
      </c>
      <c r="I517" s="93" t="s">
        <v>255</v>
      </c>
      <c r="J517" s="93" t="s">
        <v>47</v>
      </c>
      <c r="K517" s="93"/>
      <c r="L517" s="95">
        <v>26</v>
      </c>
      <c r="M517" s="95">
        <f>L517*VLOOKUP(H517,dagsoorttabel1,2,FALSE)</f>
        <v>26</v>
      </c>
      <c r="N517" s="96">
        <f>prodnorm32</f>
        <v>0</v>
      </c>
      <c r="O517" s="37">
        <f>dagwerk32</f>
        <v>0</v>
      </c>
      <c r="P517" s="93" t="s">
        <v>105</v>
      </c>
      <c r="Q517" s="24">
        <f>uurtarief32</f>
        <v>0</v>
      </c>
      <c r="R517" s="95" t="e">
        <f>IF(ISBLANK(N517),0,M517/ROUND(N517,4))</f>
        <v>#DIV/0!</v>
      </c>
      <c r="S517" s="95" t="e">
        <f>IF(ISBLANK(N517),0,R517*ROUND(O517,2))</f>
        <v>#DIV/0!</v>
      </c>
      <c r="T517" s="24" t="e">
        <f>ROUND(Q517,2)*R517</f>
        <v>#DIV/0!</v>
      </c>
      <c r="U517" s="95" t="e">
        <f>R517*dagenperjaar1</f>
        <v>#DIV/0!</v>
      </c>
      <c r="V517" s="25" t="e">
        <f>U517*ROUND(Q517,2)</f>
        <v>#DIV/0!</v>
      </c>
    </row>
    <row r="518" spans="1:22" x14ac:dyDescent="0.2">
      <c r="A518" s="92" t="s">
        <v>641</v>
      </c>
      <c r="B518" s="93" t="s">
        <v>47</v>
      </c>
      <c r="C518" s="93" t="s">
        <v>394</v>
      </c>
      <c r="D518" s="93" t="s">
        <v>670</v>
      </c>
      <c r="E518" s="94" t="s">
        <v>671</v>
      </c>
      <c r="F518" s="93" t="s">
        <v>441</v>
      </c>
      <c r="G518" s="93" t="s">
        <v>254</v>
      </c>
      <c r="H518" s="93" t="s">
        <v>10</v>
      </c>
      <c r="I518" s="93" t="s">
        <v>255</v>
      </c>
      <c r="J518" s="93" t="s">
        <v>47</v>
      </c>
      <c r="K518" s="93"/>
      <c r="L518" s="95">
        <v>11.65</v>
      </c>
      <c r="M518" s="95">
        <f>L518*VLOOKUP(H518,dagsoorttabel1,2,FALSE)</f>
        <v>11.65</v>
      </c>
      <c r="N518" s="96">
        <f>prodnorm27</f>
        <v>0</v>
      </c>
      <c r="O518" s="37">
        <f>dagwerk27</f>
        <v>0</v>
      </c>
      <c r="P518" s="93" t="s">
        <v>105</v>
      </c>
      <c r="Q518" s="24">
        <f>uurtarief27</f>
        <v>0</v>
      </c>
      <c r="R518" s="95" t="e">
        <f>IF(ISBLANK(N518),0,M518/ROUND(N518,4))</f>
        <v>#DIV/0!</v>
      </c>
      <c r="S518" s="95" t="e">
        <f>IF(ISBLANK(N518),0,R518*ROUND(O518,2))</f>
        <v>#DIV/0!</v>
      </c>
      <c r="T518" s="24" t="e">
        <f>ROUND(Q518,2)*R518</f>
        <v>#DIV/0!</v>
      </c>
      <c r="U518" s="95" t="e">
        <f>R518*dagenperjaar1</f>
        <v>#DIV/0!</v>
      </c>
      <c r="V518" s="25" t="e">
        <f>U518*ROUND(Q518,2)</f>
        <v>#DIV/0!</v>
      </c>
    </row>
    <row r="519" spans="1:22" x14ac:dyDescent="0.2">
      <c r="A519" s="92" t="s">
        <v>641</v>
      </c>
      <c r="B519" s="93" t="s">
        <v>47</v>
      </c>
      <c r="C519" s="93" t="s">
        <v>394</v>
      </c>
      <c r="D519" s="93" t="s">
        <v>672</v>
      </c>
      <c r="E519" s="94" t="s">
        <v>467</v>
      </c>
      <c r="F519" s="93" t="s">
        <v>441</v>
      </c>
      <c r="G519" s="93" t="s">
        <v>254</v>
      </c>
      <c r="H519" s="93" t="s">
        <v>10</v>
      </c>
      <c r="I519" s="93" t="s">
        <v>255</v>
      </c>
      <c r="J519" s="93" t="s">
        <v>47</v>
      </c>
      <c r="K519" s="93"/>
      <c r="L519" s="95">
        <v>23</v>
      </c>
      <c r="M519" s="95">
        <f>L519*VLOOKUP(H519,dagsoorttabel1,2,FALSE)</f>
        <v>23</v>
      </c>
      <c r="N519" s="96">
        <f>prodnorm27</f>
        <v>0</v>
      </c>
      <c r="O519" s="37">
        <f>dagwerk27</f>
        <v>0</v>
      </c>
      <c r="P519" s="93" t="s">
        <v>105</v>
      </c>
      <c r="Q519" s="24">
        <f>uurtarief27</f>
        <v>0</v>
      </c>
      <c r="R519" s="95" t="e">
        <f>IF(ISBLANK(N519),0,M519/ROUND(N519,4))</f>
        <v>#DIV/0!</v>
      </c>
      <c r="S519" s="95" t="e">
        <f>IF(ISBLANK(N519),0,R519*ROUND(O519,2))</f>
        <v>#DIV/0!</v>
      </c>
      <c r="T519" s="24" t="e">
        <f>ROUND(Q519,2)*R519</f>
        <v>#DIV/0!</v>
      </c>
      <c r="U519" s="95" t="e">
        <f>R519*dagenperjaar1</f>
        <v>#DIV/0!</v>
      </c>
      <c r="V519" s="25" t="e">
        <f>U519*ROUND(Q519,2)</f>
        <v>#DIV/0!</v>
      </c>
    </row>
    <row r="520" spans="1:22" x14ac:dyDescent="0.2">
      <c r="A520" s="92" t="s">
        <v>641</v>
      </c>
      <c r="B520" s="93" t="s">
        <v>47</v>
      </c>
      <c r="C520" s="93" t="s">
        <v>394</v>
      </c>
      <c r="D520" s="93" t="s">
        <v>673</v>
      </c>
      <c r="E520" s="94" t="s">
        <v>654</v>
      </c>
      <c r="F520" s="93" t="s">
        <v>441</v>
      </c>
      <c r="G520" s="93" t="s">
        <v>259</v>
      </c>
      <c r="H520" s="93" t="s">
        <v>10</v>
      </c>
      <c r="I520" s="93" t="s">
        <v>255</v>
      </c>
      <c r="J520" s="93" t="s">
        <v>47</v>
      </c>
      <c r="K520" s="93"/>
      <c r="L520" s="95">
        <v>48</v>
      </c>
      <c r="M520" s="95">
        <f>L520*VLOOKUP(H520,dagsoorttabel1,2,FALSE)</f>
        <v>48</v>
      </c>
      <c r="N520" s="96">
        <f>prodnorm32</f>
        <v>0</v>
      </c>
      <c r="O520" s="37">
        <f>dagwerk32</f>
        <v>0</v>
      </c>
      <c r="P520" s="93" t="s">
        <v>105</v>
      </c>
      <c r="Q520" s="24">
        <f>uurtarief32</f>
        <v>0</v>
      </c>
      <c r="R520" s="95" t="e">
        <f>IF(ISBLANK(N520),0,M520/ROUND(N520,4))</f>
        <v>#DIV/0!</v>
      </c>
      <c r="S520" s="95" t="e">
        <f>IF(ISBLANK(N520),0,R520*ROUND(O520,2))</f>
        <v>#DIV/0!</v>
      </c>
      <c r="T520" s="24" t="e">
        <f>ROUND(Q520,2)*R520</f>
        <v>#DIV/0!</v>
      </c>
      <c r="U520" s="95" t="e">
        <f>R520*dagenperjaar1</f>
        <v>#DIV/0!</v>
      </c>
      <c r="V520" s="25" t="e">
        <f>U520*ROUND(Q520,2)</f>
        <v>#DIV/0!</v>
      </c>
    </row>
    <row r="521" spans="1:22" x14ac:dyDescent="0.2">
      <c r="A521" s="92" t="s">
        <v>641</v>
      </c>
      <c r="B521" s="93" t="s">
        <v>47</v>
      </c>
      <c r="C521" s="93" t="s">
        <v>394</v>
      </c>
      <c r="D521" s="93" t="s">
        <v>674</v>
      </c>
      <c r="E521" s="94" t="s">
        <v>654</v>
      </c>
      <c r="F521" s="93" t="s">
        <v>441</v>
      </c>
      <c r="G521" s="93" t="s">
        <v>259</v>
      </c>
      <c r="H521" s="93" t="s">
        <v>10</v>
      </c>
      <c r="I521" s="93" t="s">
        <v>255</v>
      </c>
      <c r="J521" s="93" t="s">
        <v>47</v>
      </c>
      <c r="K521" s="93"/>
      <c r="L521" s="95">
        <v>23</v>
      </c>
      <c r="M521" s="95">
        <f>L521*VLOOKUP(H521,dagsoorttabel1,2,FALSE)</f>
        <v>23</v>
      </c>
      <c r="N521" s="96">
        <f>prodnorm32</f>
        <v>0</v>
      </c>
      <c r="O521" s="37">
        <f>dagwerk32</f>
        <v>0</v>
      </c>
      <c r="P521" s="93" t="s">
        <v>105</v>
      </c>
      <c r="Q521" s="24">
        <f>uurtarief32</f>
        <v>0</v>
      </c>
      <c r="R521" s="95" t="e">
        <f>IF(ISBLANK(N521),0,M521/ROUND(N521,4))</f>
        <v>#DIV/0!</v>
      </c>
      <c r="S521" s="95" t="e">
        <f>IF(ISBLANK(N521),0,R521*ROUND(O521,2))</f>
        <v>#DIV/0!</v>
      </c>
      <c r="T521" s="24" t="e">
        <f>ROUND(Q521,2)*R521</f>
        <v>#DIV/0!</v>
      </c>
      <c r="U521" s="95" t="e">
        <f>R521*dagenperjaar1</f>
        <v>#DIV/0!</v>
      </c>
      <c r="V521" s="25" t="e">
        <f>U521*ROUND(Q521,2)</f>
        <v>#DIV/0!</v>
      </c>
    </row>
    <row r="522" spans="1:22" x14ac:dyDescent="0.2">
      <c r="A522" s="92" t="s">
        <v>641</v>
      </c>
      <c r="B522" s="93" t="s">
        <v>47</v>
      </c>
      <c r="C522" s="93" t="s">
        <v>394</v>
      </c>
      <c r="D522" s="93" t="s">
        <v>675</v>
      </c>
      <c r="E522" s="94" t="s">
        <v>650</v>
      </c>
      <c r="F522" s="93" t="s">
        <v>441</v>
      </c>
      <c r="G522" s="93" t="s">
        <v>314</v>
      </c>
      <c r="H522" s="93" t="s">
        <v>10</v>
      </c>
      <c r="I522" s="93" t="s">
        <v>255</v>
      </c>
      <c r="J522" s="93" t="s">
        <v>47</v>
      </c>
      <c r="K522" s="93"/>
      <c r="L522" s="95">
        <v>14.4</v>
      </c>
      <c r="M522" s="95">
        <f>L522*VLOOKUP(H522,dagsoorttabel1,2,FALSE)</f>
        <v>14.4</v>
      </c>
      <c r="N522" s="96">
        <f>prodnorm89</f>
        <v>0</v>
      </c>
      <c r="O522" s="37">
        <f>dagwerk89</f>
        <v>0</v>
      </c>
      <c r="P522" s="93" t="s">
        <v>105</v>
      </c>
      <c r="Q522" s="24">
        <f>uurtarief89</f>
        <v>0</v>
      </c>
      <c r="R522" s="95" t="e">
        <f>IF(ISBLANK(N522),0,M522/ROUND(N522,4))</f>
        <v>#DIV/0!</v>
      </c>
      <c r="S522" s="95" t="e">
        <f>IF(ISBLANK(N522),0,R522*ROUND(O522,2))</f>
        <v>#DIV/0!</v>
      </c>
      <c r="T522" s="24" t="e">
        <f>ROUND(Q522,2)*R522</f>
        <v>#DIV/0!</v>
      </c>
      <c r="U522" s="95" t="e">
        <f>R522*dagenperjaar1</f>
        <v>#DIV/0!</v>
      </c>
      <c r="V522" s="25" t="e">
        <f>U522*ROUND(Q522,2)</f>
        <v>#DIV/0!</v>
      </c>
    </row>
    <row r="523" spans="1:22" x14ac:dyDescent="0.2">
      <c r="A523" s="92" t="s">
        <v>641</v>
      </c>
      <c r="B523" s="93" t="s">
        <v>47</v>
      </c>
      <c r="C523" s="93" t="s">
        <v>394</v>
      </c>
      <c r="D523" s="93" t="s">
        <v>676</v>
      </c>
      <c r="E523" s="94" t="s">
        <v>677</v>
      </c>
      <c r="F523" s="93" t="s">
        <v>442</v>
      </c>
      <c r="G523" s="93" t="s">
        <v>304</v>
      </c>
      <c r="H523" s="93" t="s">
        <v>10</v>
      </c>
      <c r="I523" s="93" t="s">
        <v>255</v>
      </c>
      <c r="J523" s="93" t="s">
        <v>47</v>
      </c>
      <c r="K523" s="93"/>
      <c r="L523" s="95">
        <v>4</v>
      </c>
      <c r="M523" s="95">
        <f>L523*VLOOKUP(H523,dagsoorttabel1,2,FALSE)</f>
        <v>4</v>
      </c>
      <c r="N523" s="96">
        <f>prodnorm75</f>
        <v>0</v>
      </c>
      <c r="O523" s="37">
        <f>dagwerk75</f>
        <v>0</v>
      </c>
      <c r="P523" s="93" t="s">
        <v>105</v>
      </c>
      <c r="Q523" s="24">
        <f>uurtarief75</f>
        <v>0</v>
      </c>
      <c r="R523" s="95" t="e">
        <f>IF(ISBLANK(N523),0,M523/ROUND(N523,4))</f>
        <v>#DIV/0!</v>
      </c>
      <c r="S523" s="95" t="e">
        <f>IF(ISBLANK(N523),0,R523*ROUND(O523,2))</f>
        <v>#DIV/0!</v>
      </c>
      <c r="T523" s="24" t="e">
        <f>ROUND(Q523,2)*R523</f>
        <v>#DIV/0!</v>
      </c>
      <c r="U523" s="95" t="e">
        <f>R523*dagenperjaar1</f>
        <v>#DIV/0!</v>
      </c>
      <c r="V523" s="25" t="e">
        <f>U523*ROUND(Q523,2)</f>
        <v>#DIV/0!</v>
      </c>
    </row>
    <row r="524" spans="1:22" x14ac:dyDescent="0.2">
      <c r="A524" s="92" t="s">
        <v>641</v>
      </c>
      <c r="B524" s="93" t="s">
        <v>47</v>
      </c>
      <c r="C524" s="93" t="s">
        <v>558</v>
      </c>
      <c r="D524" s="93" t="s">
        <v>562</v>
      </c>
      <c r="E524" s="94" t="s">
        <v>655</v>
      </c>
      <c r="F524" s="93" t="s">
        <v>496</v>
      </c>
      <c r="G524" s="93" t="s">
        <v>292</v>
      </c>
      <c r="H524" s="93" t="s">
        <v>10</v>
      </c>
      <c r="I524" s="93" t="s">
        <v>255</v>
      </c>
      <c r="J524" s="93" t="s">
        <v>47</v>
      </c>
      <c r="K524" s="93"/>
      <c r="L524" s="95">
        <v>14</v>
      </c>
      <c r="M524" s="95">
        <f>L524*VLOOKUP(H524,dagsoorttabel1,2,FALSE)</f>
        <v>14</v>
      </c>
      <c r="N524" s="96">
        <f>prodnorm65</f>
        <v>0</v>
      </c>
      <c r="O524" s="37">
        <f>dagwerk65</f>
        <v>0</v>
      </c>
      <c r="P524" s="93" t="s">
        <v>105</v>
      </c>
      <c r="Q524" s="24">
        <f>uurtarief65</f>
        <v>0</v>
      </c>
      <c r="R524" s="95" t="e">
        <f>IF(ISBLANK(N524),0,M524/ROUND(N524,4))</f>
        <v>#DIV/0!</v>
      </c>
      <c r="S524" s="95" t="e">
        <f>IF(ISBLANK(N524),0,R524*ROUND(O524,2))</f>
        <v>#DIV/0!</v>
      </c>
      <c r="T524" s="24" t="e">
        <f>ROUND(Q524,2)*R524</f>
        <v>#DIV/0!</v>
      </c>
      <c r="U524" s="95" t="e">
        <f>R524*dagenperjaar1</f>
        <v>#DIV/0!</v>
      </c>
      <c r="V524" s="25" t="e">
        <f>U524*ROUND(Q524,2)</f>
        <v>#DIV/0!</v>
      </c>
    </row>
    <row r="525" spans="1:22" x14ac:dyDescent="0.2">
      <c r="A525" s="92" t="s">
        <v>641</v>
      </c>
      <c r="B525" s="93" t="s">
        <v>47</v>
      </c>
      <c r="C525" s="93" t="s">
        <v>558</v>
      </c>
      <c r="D525" s="93" t="s">
        <v>563</v>
      </c>
      <c r="E525" s="94" t="s">
        <v>650</v>
      </c>
      <c r="F525" s="93" t="s">
        <v>441</v>
      </c>
      <c r="G525" s="93" t="s">
        <v>314</v>
      </c>
      <c r="H525" s="93" t="s">
        <v>10</v>
      </c>
      <c r="I525" s="93" t="s">
        <v>255</v>
      </c>
      <c r="J525" s="93" t="s">
        <v>47</v>
      </c>
      <c r="K525" s="93"/>
      <c r="L525" s="95">
        <v>40</v>
      </c>
      <c r="M525" s="95">
        <f>L525*VLOOKUP(H525,dagsoorttabel1,2,FALSE)</f>
        <v>40</v>
      </c>
      <c r="N525" s="96">
        <f>prodnorm89</f>
        <v>0</v>
      </c>
      <c r="O525" s="37">
        <f>dagwerk89</f>
        <v>0</v>
      </c>
      <c r="P525" s="93" t="s">
        <v>105</v>
      </c>
      <c r="Q525" s="24">
        <f>uurtarief89</f>
        <v>0</v>
      </c>
      <c r="R525" s="95" t="e">
        <f>IF(ISBLANK(N525),0,M525/ROUND(N525,4))</f>
        <v>#DIV/0!</v>
      </c>
      <c r="S525" s="95" t="e">
        <f>IF(ISBLANK(N525),0,R525*ROUND(O525,2))</f>
        <v>#DIV/0!</v>
      </c>
      <c r="T525" s="24" t="e">
        <f>ROUND(Q525,2)*R525</f>
        <v>#DIV/0!</v>
      </c>
      <c r="U525" s="95" t="e">
        <f>R525*dagenperjaar1</f>
        <v>#DIV/0!</v>
      </c>
      <c r="V525" s="25" t="e">
        <f>U525*ROUND(Q525,2)</f>
        <v>#DIV/0!</v>
      </c>
    </row>
    <row r="526" spans="1:22" x14ac:dyDescent="0.2">
      <c r="A526" s="92" t="s">
        <v>641</v>
      </c>
      <c r="B526" s="93" t="s">
        <v>47</v>
      </c>
      <c r="C526" s="93" t="s">
        <v>558</v>
      </c>
      <c r="D526" s="93" t="s">
        <v>564</v>
      </c>
      <c r="E526" s="94" t="s">
        <v>654</v>
      </c>
      <c r="F526" s="93" t="s">
        <v>496</v>
      </c>
      <c r="G526" s="93" t="s">
        <v>263</v>
      </c>
      <c r="H526" s="93" t="s">
        <v>10</v>
      </c>
      <c r="I526" s="93" t="s">
        <v>255</v>
      </c>
      <c r="J526" s="93" t="s">
        <v>47</v>
      </c>
      <c r="K526" s="93"/>
      <c r="L526" s="95">
        <v>56</v>
      </c>
      <c r="M526" s="95">
        <f>L526*VLOOKUP(H526,dagsoorttabel1,2,FALSE)</f>
        <v>56</v>
      </c>
      <c r="N526" s="96">
        <f>prodnorm37</f>
        <v>0</v>
      </c>
      <c r="O526" s="37">
        <f>dagwerk37</f>
        <v>0</v>
      </c>
      <c r="P526" s="93" t="s">
        <v>105</v>
      </c>
      <c r="Q526" s="24">
        <f>uurtarief37</f>
        <v>0</v>
      </c>
      <c r="R526" s="95" t="e">
        <f>IF(ISBLANK(N526),0,M526/ROUND(N526,4))</f>
        <v>#DIV/0!</v>
      </c>
      <c r="S526" s="95" t="e">
        <f>IF(ISBLANK(N526),0,R526*ROUND(O526,2))</f>
        <v>#DIV/0!</v>
      </c>
      <c r="T526" s="24" t="e">
        <f>ROUND(Q526,2)*R526</f>
        <v>#DIV/0!</v>
      </c>
      <c r="U526" s="95" t="e">
        <f>R526*dagenperjaar1</f>
        <v>#DIV/0!</v>
      </c>
      <c r="V526" s="25" t="e">
        <f>U526*ROUND(Q526,2)</f>
        <v>#DIV/0!</v>
      </c>
    </row>
    <row r="527" spans="1:22" x14ac:dyDescent="0.2">
      <c r="A527" s="92" t="s">
        <v>641</v>
      </c>
      <c r="B527" s="93" t="s">
        <v>47</v>
      </c>
      <c r="C527" s="93" t="s">
        <v>558</v>
      </c>
      <c r="D527" s="93" t="s">
        <v>566</v>
      </c>
      <c r="E527" s="94" t="s">
        <v>654</v>
      </c>
      <c r="F527" s="93" t="s">
        <v>496</v>
      </c>
      <c r="G527" s="93" t="s">
        <v>263</v>
      </c>
      <c r="H527" s="93" t="s">
        <v>10</v>
      </c>
      <c r="I527" s="93" t="s">
        <v>255</v>
      </c>
      <c r="J527" s="93" t="s">
        <v>47</v>
      </c>
      <c r="K527" s="93"/>
      <c r="L527" s="95">
        <v>21.3</v>
      </c>
      <c r="M527" s="95">
        <f>L527*VLOOKUP(H527,dagsoorttabel1,2,FALSE)</f>
        <v>21.3</v>
      </c>
      <c r="N527" s="96">
        <f>prodnorm37</f>
        <v>0</v>
      </c>
      <c r="O527" s="37">
        <f>dagwerk37</f>
        <v>0</v>
      </c>
      <c r="P527" s="93" t="s">
        <v>105</v>
      </c>
      <c r="Q527" s="24">
        <f>uurtarief37</f>
        <v>0</v>
      </c>
      <c r="R527" s="95" t="e">
        <f>IF(ISBLANK(N527),0,M527/ROUND(N527,4))</f>
        <v>#DIV/0!</v>
      </c>
      <c r="S527" s="95" t="e">
        <f>IF(ISBLANK(N527),0,R527*ROUND(O527,2))</f>
        <v>#DIV/0!</v>
      </c>
      <c r="T527" s="24" t="e">
        <f>ROUND(Q527,2)*R527</f>
        <v>#DIV/0!</v>
      </c>
      <c r="U527" s="95" t="e">
        <f>R527*dagenperjaar1</f>
        <v>#DIV/0!</v>
      </c>
      <c r="V527" s="25" t="e">
        <f>U527*ROUND(Q527,2)</f>
        <v>#DIV/0!</v>
      </c>
    </row>
    <row r="528" spans="1:22" x14ac:dyDescent="0.2">
      <c r="A528" s="92" t="s">
        <v>641</v>
      </c>
      <c r="B528" s="93" t="s">
        <v>47</v>
      </c>
      <c r="C528" s="93" t="s">
        <v>558</v>
      </c>
      <c r="D528" s="93" t="s">
        <v>568</v>
      </c>
      <c r="E528" s="94" t="s">
        <v>654</v>
      </c>
      <c r="F528" s="93" t="s">
        <v>496</v>
      </c>
      <c r="G528" s="93" t="s">
        <v>263</v>
      </c>
      <c r="H528" s="93" t="s">
        <v>10</v>
      </c>
      <c r="I528" s="93" t="s">
        <v>255</v>
      </c>
      <c r="J528" s="93" t="s">
        <v>47</v>
      </c>
      <c r="K528" s="93"/>
      <c r="L528" s="95">
        <v>28.3</v>
      </c>
      <c r="M528" s="95">
        <f>L528*VLOOKUP(H528,dagsoorttabel1,2,FALSE)</f>
        <v>28.3</v>
      </c>
      <c r="N528" s="96">
        <f>prodnorm37</f>
        <v>0</v>
      </c>
      <c r="O528" s="37">
        <f>dagwerk37</f>
        <v>0</v>
      </c>
      <c r="P528" s="93" t="s">
        <v>105</v>
      </c>
      <c r="Q528" s="24">
        <f>uurtarief37</f>
        <v>0</v>
      </c>
      <c r="R528" s="95" t="e">
        <f>IF(ISBLANK(N528),0,M528/ROUND(N528,4))</f>
        <v>#DIV/0!</v>
      </c>
      <c r="S528" s="95" t="e">
        <f>IF(ISBLANK(N528),0,R528*ROUND(O528,2))</f>
        <v>#DIV/0!</v>
      </c>
      <c r="T528" s="24" t="e">
        <f>ROUND(Q528,2)*R528</f>
        <v>#DIV/0!</v>
      </c>
      <c r="U528" s="95" t="e">
        <f>R528*dagenperjaar1</f>
        <v>#DIV/0!</v>
      </c>
      <c r="V528" s="25" t="e">
        <f>U528*ROUND(Q528,2)</f>
        <v>#DIV/0!</v>
      </c>
    </row>
    <row r="529" spans="1:22" x14ac:dyDescent="0.2">
      <c r="A529" s="92" t="s">
        <v>641</v>
      </c>
      <c r="B529" s="93" t="s">
        <v>47</v>
      </c>
      <c r="C529" s="93" t="s">
        <v>558</v>
      </c>
      <c r="D529" s="93" t="s">
        <v>570</v>
      </c>
      <c r="E529" s="94" t="s">
        <v>654</v>
      </c>
      <c r="F529" s="93" t="s">
        <v>496</v>
      </c>
      <c r="G529" s="93" t="s">
        <v>263</v>
      </c>
      <c r="H529" s="93" t="s">
        <v>10</v>
      </c>
      <c r="I529" s="93" t="s">
        <v>255</v>
      </c>
      <c r="J529" s="93" t="s">
        <v>47</v>
      </c>
      <c r="K529" s="93"/>
      <c r="L529" s="95">
        <v>66</v>
      </c>
      <c r="M529" s="95">
        <f>L529*VLOOKUP(H529,dagsoorttabel1,2,FALSE)</f>
        <v>66</v>
      </c>
      <c r="N529" s="96">
        <f>prodnorm37</f>
        <v>0</v>
      </c>
      <c r="O529" s="37">
        <f>dagwerk37</f>
        <v>0</v>
      </c>
      <c r="P529" s="93" t="s">
        <v>105</v>
      </c>
      <c r="Q529" s="24">
        <f>uurtarief37</f>
        <v>0</v>
      </c>
      <c r="R529" s="95" t="e">
        <f>IF(ISBLANK(N529),0,M529/ROUND(N529,4))</f>
        <v>#DIV/0!</v>
      </c>
      <c r="S529" s="95" t="e">
        <f>IF(ISBLANK(N529),0,R529*ROUND(O529,2))</f>
        <v>#DIV/0!</v>
      </c>
      <c r="T529" s="24" t="e">
        <f>ROUND(Q529,2)*R529</f>
        <v>#DIV/0!</v>
      </c>
      <c r="U529" s="95" t="e">
        <f>R529*dagenperjaar1</f>
        <v>#DIV/0!</v>
      </c>
      <c r="V529" s="25" t="e">
        <f>U529*ROUND(Q529,2)</f>
        <v>#DIV/0!</v>
      </c>
    </row>
    <row r="530" spans="1:22" x14ac:dyDescent="0.2">
      <c r="A530" s="92" t="s">
        <v>641</v>
      </c>
      <c r="B530" s="93" t="s">
        <v>47</v>
      </c>
      <c r="C530" s="93" t="s">
        <v>558</v>
      </c>
      <c r="D530" s="93" t="s">
        <v>572</v>
      </c>
      <c r="E530" s="94" t="s">
        <v>653</v>
      </c>
      <c r="F530" s="93" t="s">
        <v>517</v>
      </c>
      <c r="G530" s="93" t="s">
        <v>314</v>
      </c>
      <c r="H530" s="93" t="s">
        <v>10</v>
      </c>
      <c r="I530" s="93" t="s">
        <v>255</v>
      </c>
      <c r="J530" s="93" t="s">
        <v>47</v>
      </c>
      <c r="K530" s="93"/>
      <c r="L530" s="95">
        <v>20</v>
      </c>
      <c r="M530" s="95">
        <f>L530*VLOOKUP(H530,dagsoorttabel1,2,FALSE)</f>
        <v>20</v>
      </c>
      <c r="N530" s="96">
        <f>prodnorm89</f>
        <v>0</v>
      </c>
      <c r="O530" s="37">
        <f>dagwerk89</f>
        <v>0</v>
      </c>
      <c r="P530" s="93" t="s">
        <v>105</v>
      </c>
      <c r="Q530" s="24">
        <f>uurtarief89</f>
        <v>0</v>
      </c>
      <c r="R530" s="95" t="e">
        <f>IF(ISBLANK(N530),0,M530/ROUND(N530,4))</f>
        <v>#DIV/0!</v>
      </c>
      <c r="S530" s="95" t="e">
        <f>IF(ISBLANK(N530),0,R530*ROUND(O530,2))</f>
        <v>#DIV/0!</v>
      </c>
      <c r="T530" s="24" t="e">
        <f>ROUND(Q530,2)*R530</f>
        <v>#DIV/0!</v>
      </c>
      <c r="U530" s="95" t="e">
        <f>R530*dagenperjaar1</f>
        <v>#DIV/0!</v>
      </c>
      <c r="V530" s="25" t="e">
        <f>U530*ROUND(Q530,2)</f>
        <v>#DIV/0!</v>
      </c>
    </row>
    <row r="531" spans="1:22" x14ac:dyDescent="0.2">
      <c r="A531" s="92" t="s">
        <v>641</v>
      </c>
      <c r="B531" s="93" t="s">
        <v>47</v>
      </c>
      <c r="C531" s="93" t="s">
        <v>558</v>
      </c>
      <c r="D531" s="93" t="s">
        <v>575</v>
      </c>
      <c r="E531" s="94" t="s">
        <v>654</v>
      </c>
      <c r="F531" s="93" t="s">
        <v>496</v>
      </c>
      <c r="G531" s="93" t="s">
        <v>263</v>
      </c>
      <c r="H531" s="93" t="s">
        <v>10</v>
      </c>
      <c r="I531" s="93" t="s">
        <v>255</v>
      </c>
      <c r="J531" s="93" t="s">
        <v>47</v>
      </c>
      <c r="K531" s="93"/>
      <c r="L531" s="95">
        <v>39</v>
      </c>
      <c r="M531" s="95">
        <f>L531*VLOOKUP(H531,dagsoorttabel1,2,FALSE)</f>
        <v>39</v>
      </c>
      <c r="N531" s="96">
        <f>prodnorm37</f>
        <v>0</v>
      </c>
      <c r="O531" s="37">
        <f>dagwerk37</f>
        <v>0</v>
      </c>
      <c r="P531" s="93" t="s">
        <v>105</v>
      </c>
      <c r="Q531" s="24">
        <f>uurtarief37</f>
        <v>0</v>
      </c>
      <c r="R531" s="95" t="e">
        <f>IF(ISBLANK(N531),0,M531/ROUND(N531,4))</f>
        <v>#DIV/0!</v>
      </c>
      <c r="S531" s="95" t="e">
        <f>IF(ISBLANK(N531),0,R531*ROUND(O531,2))</f>
        <v>#DIV/0!</v>
      </c>
      <c r="T531" s="24" t="e">
        <f>ROUND(Q531,2)*R531</f>
        <v>#DIV/0!</v>
      </c>
      <c r="U531" s="95" t="e">
        <f>R531*dagenperjaar1</f>
        <v>#DIV/0!</v>
      </c>
      <c r="V531" s="25" t="e">
        <f>U531*ROUND(Q531,2)</f>
        <v>#DIV/0!</v>
      </c>
    </row>
    <row r="532" spans="1:22" x14ac:dyDescent="0.2">
      <c r="A532" s="92" t="s">
        <v>641</v>
      </c>
      <c r="B532" s="93" t="s">
        <v>47</v>
      </c>
      <c r="C532" s="93" t="s">
        <v>558</v>
      </c>
      <c r="D532" s="93" t="s">
        <v>577</v>
      </c>
      <c r="E532" s="94" t="s">
        <v>654</v>
      </c>
      <c r="F532" s="93" t="s">
        <v>496</v>
      </c>
      <c r="G532" s="93" t="s">
        <v>263</v>
      </c>
      <c r="H532" s="93" t="s">
        <v>10</v>
      </c>
      <c r="I532" s="93" t="s">
        <v>255</v>
      </c>
      <c r="J532" s="93" t="s">
        <v>47</v>
      </c>
      <c r="K532" s="93"/>
      <c r="L532" s="95">
        <v>19</v>
      </c>
      <c r="M532" s="95">
        <f>L532*VLOOKUP(H532,dagsoorttabel1,2,FALSE)</f>
        <v>19</v>
      </c>
      <c r="N532" s="96">
        <f>prodnorm37</f>
        <v>0</v>
      </c>
      <c r="O532" s="37">
        <f>dagwerk37</f>
        <v>0</v>
      </c>
      <c r="P532" s="93" t="s">
        <v>105</v>
      </c>
      <c r="Q532" s="24">
        <f>uurtarief37</f>
        <v>0</v>
      </c>
      <c r="R532" s="95" t="e">
        <f>IF(ISBLANK(N532),0,M532/ROUND(N532,4))</f>
        <v>#DIV/0!</v>
      </c>
      <c r="S532" s="95" t="e">
        <f>IF(ISBLANK(N532),0,R532*ROUND(O532,2))</f>
        <v>#DIV/0!</v>
      </c>
      <c r="T532" s="24" t="e">
        <f>ROUND(Q532,2)*R532</f>
        <v>#DIV/0!</v>
      </c>
      <c r="U532" s="95" t="e">
        <f>R532*dagenperjaar1</f>
        <v>#DIV/0!</v>
      </c>
      <c r="V532" s="25" t="e">
        <f>U532*ROUND(Q532,2)</f>
        <v>#DIV/0!</v>
      </c>
    </row>
    <row r="533" spans="1:22" x14ac:dyDescent="0.2">
      <c r="A533" s="92" t="s">
        <v>641</v>
      </c>
      <c r="B533" s="93" t="s">
        <v>47</v>
      </c>
      <c r="C533" s="93" t="s">
        <v>558</v>
      </c>
      <c r="D533" s="93" t="s">
        <v>678</v>
      </c>
      <c r="E533" s="94" t="s">
        <v>654</v>
      </c>
      <c r="F533" s="93" t="s">
        <v>496</v>
      </c>
      <c r="G533" s="93" t="s">
        <v>263</v>
      </c>
      <c r="H533" s="93" t="s">
        <v>10</v>
      </c>
      <c r="I533" s="93" t="s">
        <v>255</v>
      </c>
      <c r="J533" s="93" t="s">
        <v>47</v>
      </c>
      <c r="K533" s="93"/>
      <c r="L533" s="95">
        <v>38</v>
      </c>
      <c r="M533" s="95">
        <f>L533*VLOOKUP(H533,dagsoorttabel1,2,FALSE)</f>
        <v>38</v>
      </c>
      <c r="N533" s="96">
        <f>prodnorm37</f>
        <v>0</v>
      </c>
      <c r="O533" s="37">
        <f>dagwerk37</f>
        <v>0</v>
      </c>
      <c r="P533" s="93" t="s">
        <v>105</v>
      </c>
      <c r="Q533" s="24">
        <f>uurtarief37</f>
        <v>0</v>
      </c>
      <c r="R533" s="95" t="e">
        <f>IF(ISBLANK(N533),0,M533/ROUND(N533,4))</f>
        <v>#DIV/0!</v>
      </c>
      <c r="S533" s="95" t="e">
        <f>IF(ISBLANK(N533),0,R533*ROUND(O533,2))</f>
        <v>#DIV/0!</v>
      </c>
      <c r="T533" s="24" t="e">
        <f>ROUND(Q533,2)*R533</f>
        <v>#DIV/0!</v>
      </c>
      <c r="U533" s="95" t="e">
        <f>R533*dagenperjaar1</f>
        <v>#DIV/0!</v>
      </c>
      <c r="V533" s="25" t="e">
        <f>U533*ROUND(Q533,2)</f>
        <v>#DIV/0!</v>
      </c>
    </row>
    <row r="534" spans="1:22" x14ac:dyDescent="0.2">
      <c r="A534" s="92" t="s">
        <v>641</v>
      </c>
      <c r="B534" s="93" t="s">
        <v>47</v>
      </c>
      <c r="C534" s="93" t="s">
        <v>558</v>
      </c>
      <c r="D534" s="93" t="s">
        <v>679</v>
      </c>
      <c r="E534" s="94" t="s">
        <v>654</v>
      </c>
      <c r="F534" s="93" t="s">
        <v>496</v>
      </c>
      <c r="G534" s="93" t="s">
        <v>263</v>
      </c>
      <c r="H534" s="93" t="s">
        <v>10</v>
      </c>
      <c r="I534" s="93" t="s">
        <v>255</v>
      </c>
      <c r="J534" s="93" t="s">
        <v>47</v>
      </c>
      <c r="K534" s="93"/>
      <c r="L534" s="95">
        <v>30</v>
      </c>
      <c r="M534" s="95">
        <f>L534*VLOOKUP(H534,dagsoorttabel1,2,FALSE)</f>
        <v>30</v>
      </c>
      <c r="N534" s="96">
        <f>prodnorm37</f>
        <v>0</v>
      </c>
      <c r="O534" s="37">
        <f>dagwerk37</f>
        <v>0</v>
      </c>
      <c r="P534" s="93" t="s">
        <v>105</v>
      </c>
      <c r="Q534" s="24">
        <f>uurtarief37</f>
        <v>0</v>
      </c>
      <c r="R534" s="95" t="e">
        <f>IF(ISBLANK(N534),0,M534/ROUND(N534,4))</f>
        <v>#DIV/0!</v>
      </c>
      <c r="S534" s="95" t="e">
        <f>IF(ISBLANK(N534),0,R534*ROUND(O534,2))</f>
        <v>#DIV/0!</v>
      </c>
      <c r="T534" s="24" t="e">
        <f>ROUND(Q534,2)*R534</f>
        <v>#DIV/0!</v>
      </c>
      <c r="U534" s="95" t="e">
        <f>R534*dagenperjaar1</f>
        <v>#DIV/0!</v>
      </c>
      <c r="V534" s="25" t="e">
        <f>U534*ROUND(Q534,2)</f>
        <v>#DIV/0!</v>
      </c>
    </row>
    <row r="535" spans="1:22" x14ac:dyDescent="0.2">
      <c r="A535" s="92" t="s">
        <v>641</v>
      </c>
      <c r="B535" s="93" t="s">
        <v>47</v>
      </c>
      <c r="C535" s="93" t="s">
        <v>558</v>
      </c>
      <c r="D535" s="93" t="s">
        <v>579</v>
      </c>
      <c r="E535" s="94" t="s">
        <v>654</v>
      </c>
      <c r="F535" s="93" t="s">
        <v>517</v>
      </c>
      <c r="G535" s="93" t="s">
        <v>259</v>
      </c>
      <c r="H535" s="93" t="s">
        <v>10</v>
      </c>
      <c r="I535" s="93" t="s">
        <v>255</v>
      </c>
      <c r="J535" s="93" t="s">
        <v>47</v>
      </c>
      <c r="K535" s="93"/>
      <c r="L535" s="95">
        <v>10</v>
      </c>
      <c r="M535" s="95">
        <f>L535*VLOOKUP(H535,dagsoorttabel1,2,FALSE)</f>
        <v>10</v>
      </c>
      <c r="N535" s="96">
        <f>prodnorm32</f>
        <v>0</v>
      </c>
      <c r="O535" s="37">
        <f>dagwerk32</f>
        <v>0</v>
      </c>
      <c r="P535" s="93" t="s">
        <v>105</v>
      </c>
      <c r="Q535" s="24">
        <f>uurtarief32</f>
        <v>0</v>
      </c>
      <c r="R535" s="95" t="e">
        <f>IF(ISBLANK(N535),0,M535/ROUND(N535,4))</f>
        <v>#DIV/0!</v>
      </c>
      <c r="S535" s="95" t="e">
        <f>IF(ISBLANK(N535),0,R535*ROUND(O535,2))</f>
        <v>#DIV/0!</v>
      </c>
      <c r="T535" s="24" t="e">
        <f>ROUND(Q535,2)*R535</f>
        <v>#DIV/0!</v>
      </c>
      <c r="U535" s="95" t="e">
        <f>R535*dagenperjaar1</f>
        <v>#DIV/0!</v>
      </c>
      <c r="V535" s="25" t="e">
        <f>U535*ROUND(Q535,2)</f>
        <v>#DIV/0!</v>
      </c>
    </row>
    <row r="536" spans="1:22" x14ac:dyDescent="0.2">
      <c r="A536" s="92" t="s">
        <v>641</v>
      </c>
      <c r="B536" s="93" t="s">
        <v>47</v>
      </c>
      <c r="C536" s="93" t="s">
        <v>558</v>
      </c>
      <c r="D536" s="93" t="s">
        <v>581</v>
      </c>
      <c r="E536" s="94" t="s">
        <v>655</v>
      </c>
      <c r="F536" s="93" t="s">
        <v>496</v>
      </c>
      <c r="G536" s="93" t="s">
        <v>292</v>
      </c>
      <c r="H536" s="93" t="s">
        <v>10</v>
      </c>
      <c r="I536" s="93" t="s">
        <v>255</v>
      </c>
      <c r="J536" s="93" t="s">
        <v>47</v>
      </c>
      <c r="K536" s="93"/>
      <c r="L536" s="95">
        <v>22</v>
      </c>
      <c r="M536" s="95">
        <f>L536*VLOOKUP(H536,dagsoorttabel1,2,FALSE)</f>
        <v>22</v>
      </c>
      <c r="N536" s="96">
        <f>prodnorm65</f>
        <v>0</v>
      </c>
      <c r="O536" s="37">
        <f>dagwerk65</f>
        <v>0</v>
      </c>
      <c r="P536" s="93" t="s">
        <v>105</v>
      </c>
      <c r="Q536" s="24">
        <f>uurtarief65</f>
        <v>0</v>
      </c>
      <c r="R536" s="95" t="e">
        <f>IF(ISBLANK(N536),0,M536/ROUND(N536,4))</f>
        <v>#DIV/0!</v>
      </c>
      <c r="S536" s="95" t="e">
        <f>IF(ISBLANK(N536),0,R536*ROUND(O536,2))</f>
        <v>#DIV/0!</v>
      </c>
      <c r="T536" s="24" t="e">
        <f>ROUND(Q536,2)*R536</f>
        <v>#DIV/0!</v>
      </c>
      <c r="U536" s="95" t="e">
        <f>R536*dagenperjaar1</f>
        <v>#DIV/0!</v>
      </c>
      <c r="V536" s="25" t="e">
        <f>U536*ROUND(Q536,2)</f>
        <v>#DIV/0!</v>
      </c>
    </row>
    <row r="537" spans="1:22" x14ac:dyDescent="0.2">
      <c r="A537" s="92" t="s">
        <v>641</v>
      </c>
      <c r="B537" s="93" t="s">
        <v>47</v>
      </c>
      <c r="C537" s="93" t="s">
        <v>558</v>
      </c>
      <c r="D537" s="93" t="s">
        <v>680</v>
      </c>
      <c r="E537" s="94" t="s">
        <v>681</v>
      </c>
      <c r="F537" s="93" t="s">
        <v>496</v>
      </c>
      <c r="G537" s="93" t="s">
        <v>263</v>
      </c>
      <c r="H537" s="93" t="s">
        <v>10</v>
      </c>
      <c r="I537" s="93" t="s">
        <v>255</v>
      </c>
      <c r="J537" s="93" t="s">
        <v>47</v>
      </c>
      <c r="K537" s="93"/>
      <c r="L537" s="95">
        <v>69</v>
      </c>
      <c r="M537" s="95">
        <f>L537*VLOOKUP(H537,dagsoorttabel1,2,FALSE)</f>
        <v>69</v>
      </c>
      <c r="N537" s="96">
        <f>prodnorm37</f>
        <v>0</v>
      </c>
      <c r="O537" s="37">
        <f>dagwerk37</f>
        <v>0</v>
      </c>
      <c r="P537" s="93" t="s">
        <v>105</v>
      </c>
      <c r="Q537" s="24">
        <f>uurtarief37</f>
        <v>0</v>
      </c>
      <c r="R537" s="95" t="e">
        <f>IF(ISBLANK(N537),0,M537/ROUND(N537,4))</f>
        <v>#DIV/0!</v>
      </c>
      <c r="S537" s="95" t="e">
        <f>IF(ISBLANK(N537),0,R537*ROUND(O537,2))</f>
        <v>#DIV/0!</v>
      </c>
      <c r="T537" s="24" t="e">
        <f>ROUND(Q537,2)*R537</f>
        <v>#DIV/0!</v>
      </c>
      <c r="U537" s="95" t="e">
        <f>R537*dagenperjaar1</f>
        <v>#DIV/0!</v>
      </c>
      <c r="V537" s="25" t="e">
        <f>U537*ROUND(Q537,2)</f>
        <v>#DIV/0!</v>
      </c>
    </row>
    <row r="538" spans="1:22" x14ac:dyDescent="0.2">
      <c r="A538" s="92" t="s">
        <v>641</v>
      </c>
      <c r="B538" s="93" t="s">
        <v>47</v>
      </c>
      <c r="C538" s="93" t="s">
        <v>558</v>
      </c>
      <c r="D538" s="93" t="s">
        <v>682</v>
      </c>
      <c r="E538" s="94" t="s">
        <v>654</v>
      </c>
      <c r="F538" s="93" t="s">
        <v>496</v>
      </c>
      <c r="G538" s="93" t="s">
        <v>263</v>
      </c>
      <c r="H538" s="93" t="s">
        <v>10</v>
      </c>
      <c r="I538" s="93" t="s">
        <v>255</v>
      </c>
      <c r="J538" s="93" t="s">
        <v>47</v>
      </c>
      <c r="K538" s="93"/>
      <c r="L538" s="95">
        <v>28</v>
      </c>
      <c r="M538" s="95">
        <f>L538*VLOOKUP(H538,dagsoorttabel1,2,FALSE)</f>
        <v>28</v>
      </c>
      <c r="N538" s="96">
        <f>prodnorm37</f>
        <v>0</v>
      </c>
      <c r="O538" s="37">
        <f>dagwerk37</f>
        <v>0</v>
      </c>
      <c r="P538" s="93" t="s">
        <v>105</v>
      </c>
      <c r="Q538" s="24">
        <f>uurtarief37</f>
        <v>0</v>
      </c>
      <c r="R538" s="95" t="e">
        <f>IF(ISBLANK(N538),0,M538/ROUND(N538,4))</f>
        <v>#DIV/0!</v>
      </c>
      <c r="S538" s="95" t="e">
        <f>IF(ISBLANK(N538),0,R538*ROUND(O538,2))</f>
        <v>#DIV/0!</v>
      </c>
      <c r="T538" s="24" t="e">
        <f>ROUND(Q538,2)*R538</f>
        <v>#DIV/0!</v>
      </c>
      <c r="U538" s="95" t="e">
        <f>R538*dagenperjaar1</f>
        <v>#DIV/0!</v>
      </c>
      <c r="V538" s="25" t="e">
        <f>U538*ROUND(Q538,2)</f>
        <v>#DIV/0!</v>
      </c>
    </row>
    <row r="539" spans="1:22" x14ac:dyDescent="0.2">
      <c r="A539" s="92" t="s">
        <v>641</v>
      </c>
      <c r="B539" s="93" t="s">
        <v>47</v>
      </c>
      <c r="C539" s="93" t="s">
        <v>558</v>
      </c>
      <c r="D539" s="93" t="s">
        <v>683</v>
      </c>
      <c r="E539" s="94" t="s">
        <v>684</v>
      </c>
      <c r="F539" s="93" t="s">
        <v>517</v>
      </c>
      <c r="G539" s="93" t="s">
        <v>308</v>
      </c>
      <c r="H539" s="93" t="s">
        <v>10</v>
      </c>
      <c r="I539" s="93" t="s">
        <v>255</v>
      </c>
      <c r="J539" s="93" t="s">
        <v>47</v>
      </c>
      <c r="K539" s="93"/>
      <c r="L539" s="95">
        <v>14</v>
      </c>
      <c r="M539" s="95">
        <f>L539*VLOOKUP(H539,dagsoorttabel1,2,FALSE)</f>
        <v>14</v>
      </c>
      <c r="N539" s="96">
        <f>prodnorm82</f>
        <v>0</v>
      </c>
      <c r="O539" s="37">
        <f>dagwerk82</f>
        <v>0</v>
      </c>
      <c r="P539" s="93" t="s">
        <v>105</v>
      </c>
      <c r="Q539" s="24">
        <f>uurtarief82</f>
        <v>0</v>
      </c>
      <c r="R539" s="95" t="e">
        <f>IF(ISBLANK(N539),0,M539/ROUND(N539,4))</f>
        <v>#DIV/0!</v>
      </c>
      <c r="S539" s="95" t="e">
        <f>IF(ISBLANK(N539),0,R539*ROUND(O539,2))</f>
        <v>#DIV/0!</v>
      </c>
      <c r="T539" s="24" t="e">
        <f>ROUND(Q539,2)*R539</f>
        <v>#DIV/0!</v>
      </c>
      <c r="U539" s="95" t="e">
        <f>R539*dagenperjaar1</f>
        <v>#DIV/0!</v>
      </c>
      <c r="V539" s="25" t="e">
        <f>U539*ROUND(Q539,2)</f>
        <v>#DIV/0!</v>
      </c>
    </row>
    <row r="540" spans="1:22" x14ac:dyDescent="0.2">
      <c r="A540" s="92" t="s">
        <v>641</v>
      </c>
      <c r="B540" s="93" t="s">
        <v>47</v>
      </c>
      <c r="C540" s="93" t="s">
        <v>558</v>
      </c>
      <c r="D540" s="93" t="s">
        <v>685</v>
      </c>
      <c r="E540" s="94" t="s">
        <v>684</v>
      </c>
      <c r="F540" s="93" t="s">
        <v>496</v>
      </c>
      <c r="G540" s="93" t="s">
        <v>312</v>
      </c>
      <c r="H540" s="93" t="s">
        <v>10</v>
      </c>
      <c r="I540" s="93" t="s">
        <v>255</v>
      </c>
      <c r="J540" s="93" t="s">
        <v>47</v>
      </c>
      <c r="K540" s="93"/>
      <c r="L540" s="95">
        <v>14</v>
      </c>
      <c r="M540" s="95">
        <f>L540*VLOOKUP(H540,dagsoorttabel1,2,FALSE)</f>
        <v>14</v>
      </c>
      <c r="N540" s="96">
        <f>prodnorm86</f>
        <v>0</v>
      </c>
      <c r="O540" s="37">
        <f>dagwerk86</f>
        <v>0</v>
      </c>
      <c r="P540" s="93" t="s">
        <v>105</v>
      </c>
      <c r="Q540" s="24">
        <f>uurtarief86</f>
        <v>0</v>
      </c>
      <c r="R540" s="95" t="e">
        <f>IF(ISBLANK(N540),0,M540/ROUND(N540,4))</f>
        <v>#DIV/0!</v>
      </c>
      <c r="S540" s="95" t="e">
        <f>IF(ISBLANK(N540),0,R540*ROUND(O540,2))</f>
        <v>#DIV/0!</v>
      </c>
      <c r="T540" s="24" t="e">
        <f>ROUND(Q540,2)*R540</f>
        <v>#DIV/0!</v>
      </c>
      <c r="U540" s="95" t="e">
        <f>R540*dagenperjaar1</f>
        <v>#DIV/0!</v>
      </c>
      <c r="V540" s="25" t="e">
        <f>U540*ROUND(Q540,2)</f>
        <v>#DIV/0!</v>
      </c>
    </row>
    <row r="541" spans="1:22" x14ac:dyDescent="0.2">
      <c r="A541" s="92" t="s">
        <v>641</v>
      </c>
      <c r="B541" s="93" t="s">
        <v>47</v>
      </c>
      <c r="C541" s="93" t="s">
        <v>558</v>
      </c>
      <c r="D541" s="93" t="s">
        <v>686</v>
      </c>
      <c r="E541" s="94" t="s">
        <v>661</v>
      </c>
      <c r="F541" s="93" t="s">
        <v>442</v>
      </c>
      <c r="G541" s="93" t="s">
        <v>304</v>
      </c>
      <c r="H541" s="93" t="s">
        <v>10</v>
      </c>
      <c r="I541" s="93" t="s">
        <v>255</v>
      </c>
      <c r="J541" s="93" t="s">
        <v>47</v>
      </c>
      <c r="K541" s="93"/>
      <c r="L541" s="95">
        <v>4</v>
      </c>
      <c r="M541" s="95">
        <f>L541*VLOOKUP(H541,dagsoorttabel1,2,FALSE)</f>
        <v>4</v>
      </c>
      <c r="N541" s="96">
        <f>prodnorm75</f>
        <v>0</v>
      </c>
      <c r="O541" s="37">
        <f>dagwerk75</f>
        <v>0</v>
      </c>
      <c r="P541" s="93" t="s">
        <v>105</v>
      </c>
      <c r="Q541" s="24">
        <f>uurtarief75</f>
        <v>0</v>
      </c>
      <c r="R541" s="95" t="e">
        <f>IF(ISBLANK(N541),0,M541/ROUND(N541,4))</f>
        <v>#DIV/0!</v>
      </c>
      <c r="S541" s="95" t="e">
        <f>IF(ISBLANK(N541),0,R541*ROUND(O541,2))</f>
        <v>#DIV/0!</v>
      </c>
      <c r="T541" s="24" t="e">
        <f>ROUND(Q541,2)*R541</f>
        <v>#DIV/0!</v>
      </c>
      <c r="U541" s="95" t="e">
        <f>R541*dagenperjaar1</f>
        <v>#DIV/0!</v>
      </c>
      <c r="V541" s="25" t="e">
        <f>U541*ROUND(Q541,2)</f>
        <v>#DIV/0!</v>
      </c>
    </row>
    <row r="542" spans="1:22" x14ac:dyDescent="0.2">
      <c r="A542" s="92" t="s">
        <v>641</v>
      </c>
      <c r="B542" s="93" t="s">
        <v>47</v>
      </c>
      <c r="C542" s="93" t="s">
        <v>558</v>
      </c>
      <c r="D542" s="93" t="s">
        <v>687</v>
      </c>
      <c r="E542" s="94" t="s">
        <v>661</v>
      </c>
      <c r="F542" s="93" t="s">
        <v>442</v>
      </c>
      <c r="G542" s="93" t="s">
        <v>304</v>
      </c>
      <c r="H542" s="93" t="s">
        <v>10</v>
      </c>
      <c r="I542" s="93" t="s">
        <v>255</v>
      </c>
      <c r="J542" s="93" t="s">
        <v>47</v>
      </c>
      <c r="K542" s="93"/>
      <c r="L542" s="95">
        <v>2</v>
      </c>
      <c r="M542" s="95">
        <f>L542*VLOOKUP(H542,dagsoorttabel1,2,FALSE)</f>
        <v>2</v>
      </c>
      <c r="N542" s="96">
        <f>prodnorm75</f>
        <v>0</v>
      </c>
      <c r="O542" s="37">
        <f>dagwerk75</f>
        <v>0</v>
      </c>
      <c r="P542" s="93" t="s">
        <v>105</v>
      </c>
      <c r="Q542" s="24">
        <f>uurtarief75</f>
        <v>0</v>
      </c>
      <c r="R542" s="95" t="e">
        <f>IF(ISBLANK(N542),0,M542/ROUND(N542,4))</f>
        <v>#DIV/0!</v>
      </c>
      <c r="S542" s="95" t="e">
        <f>IF(ISBLANK(N542),0,R542*ROUND(O542,2))</f>
        <v>#DIV/0!</v>
      </c>
      <c r="T542" s="24" t="e">
        <f>ROUND(Q542,2)*R542</f>
        <v>#DIV/0!</v>
      </c>
      <c r="U542" s="95" t="e">
        <f>R542*dagenperjaar1</f>
        <v>#DIV/0!</v>
      </c>
      <c r="V542" s="25" t="e">
        <f>U542*ROUND(Q542,2)</f>
        <v>#DIV/0!</v>
      </c>
    </row>
    <row r="543" spans="1:22" x14ac:dyDescent="0.2">
      <c r="A543" s="92" t="s">
        <v>641</v>
      </c>
      <c r="B543" s="93" t="s">
        <v>47</v>
      </c>
      <c r="C543" s="93" t="s">
        <v>558</v>
      </c>
      <c r="D543" s="93" t="s">
        <v>688</v>
      </c>
      <c r="E543" s="94" t="s">
        <v>661</v>
      </c>
      <c r="F543" s="93" t="s">
        <v>442</v>
      </c>
      <c r="G543" s="93" t="s">
        <v>304</v>
      </c>
      <c r="H543" s="93" t="s">
        <v>10</v>
      </c>
      <c r="I543" s="93" t="s">
        <v>255</v>
      </c>
      <c r="J543" s="93" t="s">
        <v>47</v>
      </c>
      <c r="K543" s="93"/>
      <c r="L543" s="95">
        <v>2</v>
      </c>
      <c r="M543" s="95">
        <f>L543*VLOOKUP(H543,dagsoorttabel1,2,FALSE)</f>
        <v>2</v>
      </c>
      <c r="N543" s="96">
        <f>prodnorm75</f>
        <v>0</v>
      </c>
      <c r="O543" s="37">
        <f>dagwerk75</f>
        <v>0</v>
      </c>
      <c r="P543" s="93" t="s">
        <v>105</v>
      </c>
      <c r="Q543" s="24">
        <f>uurtarief75</f>
        <v>0</v>
      </c>
      <c r="R543" s="95" t="e">
        <f>IF(ISBLANK(N543),0,M543/ROUND(N543,4))</f>
        <v>#DIV/0!</v>
      </c>
      <c r="S543" s="95" t="e">
        <f>IF(ISBLANK(N543),0,R543*ROUND(O543,2))</f>
        <v>#DIV/0!</v>
      </c>
      <c r="T543" s="24" t="e">
        <f>ROUND(Q543,2)*R543</f>
        <v>#DIV/0!</v>
      </c>
      <c r="U543" s="95" t="e">
        <f>R543*dagenperjaar1</f>
        <v>#DIV/0!</v>
      </c>
      <c r="V543" s="25" t="e">
        <f>U543*ROUND(Q543,2)</f>
        <v>#DIV/0!</v>
      </c>
    </row>
    <row r="544" spans="1:22" x14ac:dyDescent="0.2">
      <c r="A544" s="92" t="s">
        <v>641</v>
      </c>
      <c r="B544" s="93" t="s">
        <v>47</v>
      </c>
      <c r="C544" s="93" t="s">
        <v>558</v>
      </c>
      <c r="D544" s="93" t="s">
        <v>689</v>
      </c>
      <c r="E544" s="94" t="s">
        <v>660</v>
      </c>
      <c r="F544" s="93" t="s">
        <v>442</v>
      </c>
      <c r="G544" s="93" t="s">
        <v>304</v>
      </c>
      <c r="H544" s="93" t="s">
        <v>10</v>
      </c>
      <c r="I544" s="93" t="s">
        <v>255</v>
      </c>
      <c r="J544" s="93" t="s">
        <v>47</v>
      </c>
      <c r="K544" s="93"/>
      <c r="L544" s="95">
        <v>4</v>
      </c>
      <c r="M544" s="95">
        <f>L544*VLOOKUP(H544,dagsoorttabel1,2,FALSE)</f>
        <v>4</v>
      </c>
      <c r="N544" s="96">
        <f>prodnorm75</f>
        <v>0</v>
      </c>
      <c r="O544" s="37">
        <f>dagwerk75</f>
        <v>0</v>
      </c>
      <c r="P544" s="93" t="s">
        <v>105</v>
      </c>
      <c r="Q544" s="24">
        <f>uurtarief75</f>
        <v>0</v>
      </c>
      <c r="R544" s="95" t="e">
        <f>IF(ISBLANK(N544),0,M544/ROUND(N544,4))</f>
        <v>#DIV/0!</v>
      </c>
      <c r="S544" s="95" t="e">
        <f>IF(ISBLANK(N544),0,R544*ROUND(O544,2))</f>
        <v>#DIV/0!</v>
      </c>
      <c r="T544" s="24" t="e">
        <f>ROUND(Q544,2)*R544</f>
        <v>#DIV/0!</v>
      </c>
      <c r="U544" s="95" t="e">
        <f>R544*dagenperjaar1</f>
        <v>#DIV/0!</v>
      </c>
      <c r="V544" s="25" t="e">
        <f>U544*ROUND(Q544,2)</f>
        <v>#DIV/0!</v>
      </c>
    </row>
    <row r="545" spans="1:22" x14ac:dyDescent="0.2">
      <c r="A545" s="92" t="s">
        <v>641</v>
      </c>
      <c r="B545" s="93" t="s">
        <v>47</v>
      </c>
      <c r="C545" s="93" t="s">
        <v>558</v>
      </c>
      <c r="D545" s="93" t="s">
        <v>582</v>
      </c>
      <c r="E545" s="94" t="s">
        <v>660</v>
      </c>
      <c r="F545" s="93" t="s">
        <v>442</v>
      </c>
      <c r="G545" s="93" t="s">
        <v>304</v>
      </c>
      <c r="H545" s="93" t="s">
        <v>10</v>
      </c>
      <c r="I545" s="93" t="s">
        <v>255</v>
      </c>
      <c r="J545" s="93" t="s">
        <v>47</v>
      </c>
      <c r="K545" s="93"/>
      <c r="L545" s="95">
        <v>1</v>
      </c>
      <c r="M545" s="95">
        <f>L545*VLOOKUP(H545,dagsoorttabel1,2,FALSE)</f>
        <v>1</v>
      </c>
      <c r="N545" s="96">
        <f>prodnorm75</f>
        <v>0</v>
      </c>
      <c r="O545" s="37">
        <f>dagwerk75</f>
        <v>0</v>
      </c>
      <c r="P545" s="93" t="s">
        <v>105</v>
      </c>
      <c r="Q545" s="24">
        <f>uurtarief75</f>
        <v>0</v>
      </c>
      <c r="R545" s="95" t="e">
        <f>IF(ISBLANK(N545),0,M545/ROUND(N545,4))</f>
        <v>#DIV/0!</v>
      </c>
      <c r="S545" s="95" t="e">
        <f>IF(ISBLANK(N545),0,R545*ROUND(O545,2))</f>
        <v>#DIV/0!</v>
      </c>
      <c r="T545" s="24" t="e">
        <f>ROUND(Q545,2)*R545</f>
        <v>#DIV/0!</v>
      </c>
      <c r="U545" s="95" t="e">
        <f>R545*dagenperjaar1</f>
        <v>#DIV/0!</v>
      </c>
      <c r="V545" s="25" t="e">
        <f>U545*ROUND(Q545,2)</f>
        <v>#DIV/0!</v>
      </c>
    </row>
    <row r="546" spans="1:22" x14ac:dyDescent="0.2">
      <c r="A546" s="92" t="s">
        <v>641</v>
      </c>
      <c r="B546" s="93" t="s">
        <v>47</v>
      </c>
      <c r="C546" s="93" t="s">
        <v>558</v>
      </c>
      <c r="D546" s="93" t="s">
        <v>584</v>
      </c>
      <c r="E546" s="94" t="s">
        <v>660</v>
      </c>
      <c r="F546" s="93" t="s">
        <v>442</v>
      </c>
      <c r="G546" s="93" t="s">
        <v>304</v>
      </c>
      <c r="H546" s="93" t="s">
        <v>10</v>
      </c>
      <c r="I546" s="93" t="s">
        <v>255</v>
      </c>
      <c r="J546" s="93" t="s">
        <v>47</v>
      </c>
      <c r="K546" s="93"/>
      <c r="L546" s="95">
        <v>2</v>
      </c>
      <c r="M546" s="95">
        <f>L546*VLOOKUP(H546,dagsoorttabel1,2,FALSE)</f>
        <v>2</v>
      </c>
      <c r="N546" s="96">
        <f>prodnorm75</f>
        <v>0</v>
      </c>
      <c r="O546" s="37">
        <f>dagwerk75</f>
        <v>0</v>
      </c>
      <c r="P546" s="93" t="s">
        <v>105</v>
      </c>
      <c r="Q546" s="24">
        <f>uurtarief75</f>
        <v>0</v>
      </c>
      <c r="R546" s="95" t="e">
        <f>IF(ISBLANK(N546),0,M546/ROUND(N546,4))</f>
        <v>#DIV/0!</v>
      </c>
      <c r="S546" s="95" t="e">
        <f>IF(ISBLANK(N546),0,R546*ROUND(O546,2))</f>
        <v>#DIV/0!</v>
      </c>
      <c r="T546" s="24" t="e">
        <f>ROUND(Q546,2)*R546</f>
        <v>#DIV/0!</v>
      </c>
      <c r="U546" s="95" t="e">
        <f>R546*dagenperjaar1</f>
        <v>#DIV/0!</v>
      </c>
      <c r="V546" s="25" t="e">
        <f>U546*ROUND(Q546,2)</f>
        <v>#DIV/0!</v>
      </c>
    </row>
    <row r="547" spans="1:22" x14ac:dyDescent="0.2">
      <c r="A547" s="92" t="s">
        <v>641</v>
      </c>
      <c r="B547" s="93" t="s">
        <v>47</v>
      </c>
      <c r="C547" s="93" t="s">
        <v>558</v>
      </c>
      <c r="D547" s="93" t="s">
        <v>690</v>
      </c>
      <c r="E547" s="94" t="s">
        <v>459</v>
      </c>
      <c r="F547" s="93" t="s">
        <v>441</v>
      </c>
      <c r="G547" s="93" t="s">
        <v>314</v>
      </c>
      <c r="H547" s="93" t="s">
        <v>10</v>
      </c>
      <c r="I547" s="93" t="s">
        <v>255</v>
      </c>
      <c r="J547" s="93" t="s">
        <v>47</v>
      </c>
      <c r="K547" s="93"/>
      <c r="L547" s="95">
        <v>34.5</v>
      </c>
      <c r="M547" s="95">
        <f>L547*VLOOKUP(H547,dagsoorttabel1,2,FALSE)</f>
        <v>34.5</v>
      </c>
      <c r="N547" s="96">
        <f>prodnorm89</f>
        <v>0</v>
      </c>
      <c r="O547" s="37">
        <f>dagwerk89</f>
        <v>0</v>
      </c>
      <c r="P547" s="93" t="s">
        <v>105</v>
      </c>
      <c r="Q547" s="24">
        <f>uurtarief89</f>
        <v>0</v>
      </c>
      <c r="R547" s="95" t="e">
        <f>IF(ISBLANK(N547),0,M547/ROUND(N547,4))</f>
        <v>#DIV/0!</v>
      </c>
      <c r="S547" s="95" t="e">
        <f>IF(ISBLANK(N547),0,R547*ROUND(O547,2))</f>
        <v>#DIV/0!</v>
      </c>
      <c r="T547" s="24" t="e">
        <f>ROUND(Q547,2)*R547</f>
        <v>#DIV/0!</v>
      </c>
      <c r="U547" s="95" t="e">
        <f>R547*dagenperjaar1</f>
        <v>#DIV/0!</v>
      </c>
      <c r="V547" s="25" t="e">
        <f>U547*ROUND(Q547,2)</f>
        <v>#DIV/0!</v>
      </c>
    </row>
    <row r="548" spans="1:22" x14ac:dyDescent="0.2">
      <c r="A548" s="92" t="s">
        <v>641</v>
      </c>
      <c r="B548" s="93" t="s">
        <v>47</v>
      </c>
      <c r="C548" s="93" t="s">
        <v>588</v>
      </c>
      <c r="D548" s="93" t="s">
        <v>592</v>
      </c>
      <c r="E548" s="94" t="s">
        <v>654</v>
      </c>
      <c r="F548" s="93" t="s">
        <v>496</v>
      </c>
      <c r="G548" s="93" t="s">
        <v>263</v>
      </c>
      <c r="H548" s="93" t="s">
        <v>10</v>
      </c>
      <c r="I548" s="93" t="s">
        <v>255</v>
      </c>
      <c r="J548" s="93" t="s">
        <v>47</v>
      </c>
      <c r="K548" s="93"/>
      <c r="L548" s="95">
        <v>14</v>
      </c>
      <c r="M548" s="95">
        <f>L548*VLOOKUP(H548,dagsoorttabel1,2,FALSE)</f>
        <v>14</v>
      </c>
      <c r="N548" s="96">
        <f>prodnorm37</f>
        <v>0</v>
      </c>
      <c r="O548" s="37">
        <f>dagwerk37</f>
        <v>0</v>
      </c>
      <c r="P548" s="93" t="s">
        <v>105</v>
      </c>
      <c r="Q548" s="24">
        <f>uurtarief37</f>
        <v>0</v>
      </c>
      <c r="R548" s="95" t="e">
        <f>IF(ISBLANK(N548),0,M548/ROUND(N548,4))</f>
        <v>#DIV/0!</v>
      </c>
      <c r="S548" s="95" t="e">
        <f>IF(ISBLANK(N548),0,R548*ROUND(O548,2))</f>
        <v>#DIV/0!</v>
      </c>
      <c r="T548" s="24" t="e">
        <f>ROUND(Q548,2)*R548</f>
        <v>#DIV/0!</v>
      </c>
      <c r="U548" s="95" t="e">
        <f>R548*dagenperjaar1</f>
        <v>#DIV/0!</v>
      </c>
      <c r="V548" s="25" t="e">
        <f>U548*ROUND(Q548,2)</f>
        <v>#DIV/0!</v>
      </c>
    </row>
    <row r="549" spans="1:22" x14ac:dyDescent="0.2">
      <c r="A549" s="92" t="s">
        <v>641</v>
      </c>
      <c r="B549" s="93" t="s">
        <v>47</v>
      </c>
      <c r="C549" s="93" t="s">
        <v>588</v>
      </c>
      <c r="D549" s="93" t="s">
        <v>594</v>
      </c>
      <c r="E549" s="94" t="s">
        <v>655</v>
      </c>
      <c r="F549" s="93" t="s">
        <v>496</v>
      </c>
      <c r="G549" s="93" t="s">
        <v>292</v>
      </c>
      <c r="H549" s="93" t="s">
        <v>10</v>
      </c>
      <c r="I549" s="93" t="s">
        <v>255</v>
      </c>
      <c r="J549" s="93" t="s">
        <v>47</v>
      </c>
      <c r="K549" s="93"/>
      <c r="L549" s="95">
        <v>40</v>
      </c>
      <c r="M549" s="95">
        <f>L549*VLOOKUP(H549,dagsoorttabel1,2,FALSE)</f>
        <v>40</v>
      </c>
      <c r="N549" s="96">
        <f>prodnorm65</f>
        <v>0</v>
      </c>
      <c r="O549" s="37">
        <f>dagwerk65</f>
        <v>0</v>
      </c>
      <c r="P549" s="93" t="s">
        <v>105</v>
      </c>
      <c r="Q549" s="24">
        <f>uurtarief65</f>
        <v>0</v>
      </c>
      <c r="R549" s="95" t="e">
        <f>IF(ISBLANK(N549),0,M549/ROUND(N549,4))</f>
        <v>#DIV/0!</v>
      </c>
      <c r="S549" s="95" t="e">
        <f>IF(ISBLANK(N549),0,R549*ROUND(O549,2))</f>
        <v>#DIV/0!</v>
      </c>
      <c r="T549" s="24" t="e">
        <f>ROUND(Q549,2)*R549</f>
        <v>#DIV/0!</v>
      </c>
      <c r="U549" s="95" t="e">
        <f>R549*dagenperjaar1</f>
        <v>#DIV/0!</v>
      </c>
      <c r="V549" s="25" t="e">
        <f>U549*ROUND(Q549,2)</f>
        <v>#DIV/0!</v>
      </c>
    </row>
    <row r="550" spans="1:22" x14ac:dyDescent="0.2">
      <c r="A550" s="92" t="s">
        <v>641</v>
      </c>
      <c r="B550" s="93" t="s">
        <v>47</v>
      </c>
      <c r="C550" s="93" t="s">
        <v>588</v>
      </c>
      <c r="D550" s="93" t="s">
        <v>598</v>
      </c>
      <c r="E550" s="94" t="s">
        <v>654</v>
      </c>
      <c r="F550" s="93" t="s">
        <v>496</v>
      </c>
      <c r="G550" s="93" t="s">
        <v>263</v>
      </c>
      <c r="H550" s="93" t="s">
        <v>10</v>
      </c>
      <c r="I550" s="93" t="s">
        <v>255</v>
      </c>
      <c r="J550" s="93" t="s">
        <v>47</v>
      </c>
      <c r="K550" s="93"/>
      <c r="L550" s="95">
        <v>20</v>
      </c>
      <c r="M550" s="95">
        <f>L550*VLOOKUP(H550,dagsoorttabel1,2,FALSE)</f>
        <v>20</v>
      </c>
      <c r="N550" s="96">
        <f>prodnorm37</f>
        <v>0</v>
      </c>
      <c r="O550" s="37">
        <f>dagwerk37</f>
        <v>0</v>
      </c>
      <c r="P550" s="93" t="s">
        <v>105</v>
      </c>
      <c r="Q550" s="24">
        <f>uurtarief37</f>
        <v>0</v>
      </c>
      <c r="R550" s="95" t="e">
        <f>IF(ISBLANK(N550),0,M550/ROUND(N550,4))</f>
        <v>#DIV/0!</v>
      </c>
      <c r="S550" s="95" t="e">
        <f>IF(ISBLANK(N550),0,R550*ROUND(O550,2))</f>
        <v>#DIV/0!</v>
      </c>
      <c r="T550" s="24" t="e">
        <f>ROUND(Q550,2)*R550</f>
        <v>#DIV/0!</v>
      </c>
      <c r="U550" s="95" t="e">
        <f>R550*dagenperjaar1</f>
        <v>#DIV/0!</v>
      </c>
      <c r="V550" s="25" t="e">
        <f>U550*ROUND(Q550,2)</f>
        <v>#DIV/0!</v>
      </c>
    </row>
    <row r="551" spans="1:22" x14ac:dyDescent="0.2">
      <c r="A551" s="92" t="s">
        <v>641</v>
      </c>
      <c r="B551" s="93" t="s">
        <v>47</v>
      </c>
      <c r="C551" s="93" t="s">
        <v>588</v>
      </c>
      <c r="D551" s="93" t="s">
        <v>600</v>
      </c>
      <c r="E551" s="94" t="s">
        <v>654</v>
      </c>
      <c r="F551" s="93" t="s">
        <v>496</v>
      </c>
      <c r="G551" s="93" t="s">
        <v>263</v>
      </c>
      <c r="H551" s="93" t="s">
        <v>10</v>
      </c>
      <c r="I551" s="93" t="s">
        <v>255</v>
      </c>
      <c r="J551" s="93" t="s">
        <v>47</v>
      </c>
      <c r="K551" s="93"/>
      <c r="L551" s="95">
        <v>24</v>
      </c>
      <c r="M551" s="95">
        <f>L551*VLOOKUP(H551,dagsoorttabel1,2,FALSE)</f>
        <v>24</v>
      </c>
      <c r="N551" s="96">
        <f>prodnorm37</f>
        <v>0</v>
      </c>
      <c r="O551" s="37">
        <f>dagwerk37</f>
        <v>0</v>
      </c>
      <c r="P551" s="93" t="s">
        <v>105</v>
      </c>
      <c r="Q551" s="24">
        <f>uurtarief37</f>
        <v>0</v>
      </c>
      <c r="R551" s="95" t="e">
        <f>IF(ISBLANK(N551),0,M551/ROUND(N551,4))</f>
        <v>#DIV/0!</v>
      </c>
      <c r="S551" s="95" t="e">
        <f>IF(ISBLANK(N551),0,R551*ROUND(O551,2))</f>
        <v>#DIV/0!</v>
      </c>
      <c r="T551" s="24" t="e">
        <f>ROUND(Q551,2)*R551</f>
        <v>#DIV/0!</v>
      </c>
      <c r="U551" s="95" t="e">
        <f>R551*dagenperjaar1</f>
        <v>#DIV/0!</v>
      </c>
      <c r="V551" s="25" t="e">
        <f>U551*ROUND(Q551,2)</f>
        <v>#DIV/0!</v>
      </c>
    </row>
    <row r="552" spans="1:22" x14ac:dyDescent="0.2">
      <c r="A552" s="92" t="s">
        <v>641</v>
      </c>
      <c r="B552" s="93" t="s">
        <v>47</v>
      </c>
      <c r="C552" s="93" t="s">
        <v>588</v>
      </c>
      <c r="D552" s="93" t="s">
        <v>602</v>
      </c>
      <c r="E552" s="94" t="s">
        <v>654</v>
      </c>
      <c r="F552" s="93" t="s">
        <v>496</v>
      </c>
      <c r="G552" s="93" t="s">
        <v>263</v>
      </c>
      <c r="H552" s="93" t="s">
        <v>10</v>
      </c>
      <c r="I552" s="93" t="s">
        <v>255</v>
      </c>
      <c r="J552" s="93" t="s">
        <v>47</v>
      </c>
      <c r="K552" s="93"/>
      <c r="L552" s="95">
        <v>50</v>
      </c>
      <c r="M552" s="95">
        <f>L552*VLOOKUP(H552,dagsoorttabel1,2,FALSE)</f>
        <v>50</v>
      </c>
      <c r="N552" s="96">
        <f>prodnorm37</f>
        <v>0</v>
      </c>
      <c r="O552" s="37">
        <f>dagwerk37</f>
        <v>0</v>
      </c>
      <c r="P552" s="93" t="s">
        <v>105</v>
      </c>
      <c r="Q552" s="24">
        <f>uurtarief37</f>
        <v>0</v>
      </c>
      <c r="R552" s="95" t="e">
        <f>IF(ISBLANK(N552),0,M552/ROUND(N552,4))</f>
        <v>#DIV/0!</v>
      </c>
      <c r="S552" s="95" t="e">
        <f>IF(ISBLANK(N552),0,R552*ROUND(O552,2))</f>
        <v>#DIV/0!</v>
      </c>
      <c r="T552" s="24" t="e">
        <f>ROUND(Q552,2)*R552</f>
        <v>#DIV/0!</v>
      </c>
      <c r="U552" s="95" t="e">
        <f>R552*dagenperjaar1</f>
        <v>#DIV/0!</v>
      </c>
      <c r="V552" s="25" t="e">
        <f>U552*ROUND(Q552,2)</f>
        <v>#DIV/0!</v>
      </c>
    </row>
    <row r="553" spans="1:22" x14ac:dyDescent="0.2">
      <c r="A553" s="92" t="s">
        <v>641</v>
      </c>
      <c r="B553" s="93" t="s">
        <v>47</v>
      </c>
      <c r="C553" s="93" t="s">
        <v>588</v>
      </c>
      <c r="D553" s="93" t="s">
        <v>603</v>
      </c>
      <c r="E553" s="94" t="s">
        <v>671</v>
      </c>
      <c r="F553" s="93" t="s">
        <v>496</v>
      </c>
      <c r="G553" s="93" t="s">
        <v>257</v>
      </c>
      <c r="H553" s="93" t="s">
        <v>10</v>
      </c>
      <c r="I553" s="93" t="s">
        <v>255</v>
      </c>
      <c r="J553" s="93" t="s">
        <v>47</v>
      </c>
      <c r="K553" s="93"/>
      <c r="L553" s="95">
        <v>12</v>
      </c>
      <c r="M553" s="95">
        <f>L553*VLOOKUP(H553,dagsoorttabel1,2,FALSE)</f>
        <v>12</v>
      </c>
      <c r="N553" s="96">
        <f>prodnorm29</f>
        <v>0</v>
      </c>
      <c r="O553" s="37">
        <f>dagwerk29</f>
        <v>0</v>
      </c>
      <c r="P553" s="93" t="s">
        <v>105</v>
      </c>
      <c r="Q553" s="24">
        <f>uurtarief29</f>
        <v>0</v>
      </c>
      <c r="R553" s="95" t="e">
        <f>IF(ISBLANK(N553),0,M553/ROUND(N553,4))</f>
        <v>#DIV/0!</v>
      </c>
      <c r="S553" s="95" t="e">
        <f>IF(ISBLANK(N553),0,R553*ROUND(O553,2))</f>
        <v>#DIV/0!</v>
      </c>
      <c r="T553" s="24" t="e">
        <f>ROUND(Q553,2)*R553</f>
        <v>#DIV/0!</v>
      </c>
      <c r="U553" s="95" t="e">
        <f>R553*dagenperjaar1</f>
        <v>#DIV/0!</v>
      </c>
      <c r="V553" s="25" t="e">
        <f>U553*ROUND(Q553,2)</f>
        <v>#DIV/0!</v>
      </c>
    </row>
    <row r="554" spans="1:22" x14ac:dyDescent="0.2">
      <c r="A554" s="92" t="s">
        <v>641</v>
      </c>
      <c r="B554" s="93" t="s">
        <v>47</v>
      </c>
      <c r="C554" s="93" t="s">
        <v>588</v>
      </c>
      <c r="D554" s="93" t="s">
        <v>606</v>
      </c>
      <c r="E554" s="94" t="s">
        <v>691</v>
      </c>
      <c r="F554" s="93" t="s">
        <v>517</v>
      </c>
      <c r="G554" s="93" t="s">
        <v>314</v>
      </c>
      <c r="H554" s="93" t="s">
        <v>10</v>
      </c>
      <c r="I554" s="93" t="s">
        <v>255</v>
      </c>
      <c r="J554" s="93" t="s">
        <v>47</v>
      </c>
      <c r="K554" s="93"/>
      <c r="L554" s="95">
        <v>2</v>
      </c>
      <c r="M554" s="95">
        <f>L554*VLOOKUP(H554,dagsoorttabel1,2,FALSE)</f>
        <v>2</v>
      </c>
      <c r="N554" s="96">
        <f>prodnorm89</f>
        <v>0</v>
      </c>
      <c r="O554" s="37">
        <f>dagwerk89</f>
        <v>0</v>
      </c>
      <c r="P554" s="93" t="s">
        <v>105</v>
      </c>
      <c r="Q554" s="24">
        <f>uurtarief89</f>
        <v>0</v>
      </c>
      <c r="R554" s="95" t="e">
        <f>IF(ISBLANK(N554),0,M554/ROUND(N554,4))</f>
        <v>#DIV/0!</v>
      </c>
      <c r="S554" s="95" t="e">
        <f>IF(ISBLANK(N554),0,R554*ROUND(O554,2))</f>
        <v>#DIV/0!</v>
      </c>
      <c r="T554" s="24" t="e">
        <f>ROUND(Q554,2)*R554</f>
        <v>#DIV/0!</v>
      </c>
      <c r="U554" s="95" t="e">
        <f>R554*dagenperjaar1</f>
        <v>#DIV/0!</v>
      </c>
      <c r="V554" s="25" t="e">
        <f>U554*ROUND(Q554,2)</f>
        <v>#DIV/0!</v>
      </c>
    </row>
    <row r="555" spans="1:22" x14ac:dyDescent="0.2">
      <c r="A555" s="92" t="s">
        <v>641</v>
      </c>
      <c r="B555" s="93" t="s">
        <v>47</v>
      </c>
      <c r="C555" s="93" t="s">
        <v>588</v>
      </c>
      <c r="D555" s="93" t="s">
        <v>611</v>
      </c>
      <c r="E555" s="94" t="s">
        <v>654</v>
      </c>
      <c r="F555" s="93" t="s">
        <v>441</v>
      </c>
      <c r="G555" s="93" t="s">
        <v>259</v>
      </c>
      <c r="H555" s="93" t="s">
        <v>10</v>
      </c>
      <c r="I555" s="93" t="s">
        <v>255</v>
      </c>
      <c r="J555" s="93" t="s">
        <v>47</v>
      </c>
      <c r="K555" s="93"/>
      <c r="L555" s="95">
        <v>51</v>
      </c>
      <c r="M555" s="95">
        <f>L555*VLOOKUP(H555,dagsoorttabel1,2,FALSE)</f>
        <v>51</v>
      </c>
      <c r="N555" s="96">
        <f>prodnorm32</f>
        <v>0</v>
      </c>
      <c r="O555" s="37">
        <f>dagwerk32</f>
        <v>0</v>
      </c>
      <c r="P555" s="93" t="s">
        <v>105</v>
      </c>
      <c r="Q555" s="24">
        <f>uurtarief32</f>
        <v>0</v>
      </c>
      <c r="R555" s="95" t="e">
        <f>IF(ISBLANK(N555),0,M555/ROUND(N555,4))</f>
        <v>#DIV/0!</v>
      </c>
      <c r="S555" s="95" t="e">
        <f>IF(ISBLANK(N555),0,R555*ROUND(O555,2))</f>
        <v>#DIV/0!</v>
      </c>
      <c r="T555" s="24" t="e">
        <f>ROUND(Q555,2)*R555</f>
        <v>#DIV/0!</v>
      </c>
      <c r="U555" s="95" t="e">
        <f>R555*dagenperjaar1</f>
        <v>#DIV/0!</v>
      </c>
      <c r="V555" s="25" t="e">
        <f>U555*ROUND(Q555,2)</f>
        <v>#DIV/0!</v>
      </c>
    </row>
    <row r="556" spans="1:22" x14ac:dyDescent="0.2">
      <c r="A556" s="92" t="s">
        <v>641</v>
      </c>
      <c r="B556" s="93" t="s">
        <v>47</v>
      </c>
      <c r="C556" s="93" t="s">
        <v>588</v>
      </c>
      <c r="D556" s="93" t="s">
        <v>613</v>
      </c>
      <c r="E556" s="94" t="s">
        <v>655</v>
      </c>
      <c r="F556" s="93" t="s">
        <v>496</v>
      </c>
      <c r="G556" s="93" t="s">
        <v>292</v>
      </c>
      <c r="H556" s="93" t="s">
        <v>10</v>
      </c>
      <c r="I556" s="93" t="s">
        <v>255</v>
      </c>
      <c r="J556" s="93" t="s">
        <v>47</v>
      </c>
      <c r="K556" s="93"/>
      <c r="L556" s="95">
        <v>18</v>
      </c>
      <c r="M556" s="95">
        <f>L556*VLOOKUP(H556,dagsoorttabel1,2,FALSE)</f>
        <v>18</v>
      </c>
      <c r="N556" s="96">
        <f>prodnorm65</f>
        <v>0</v>
      </c>
      <c r="O556" s="37">
        <f>dagwerk65</f>
        <v>0</v>
      </c>
      <c r="P556" s="93" t="s">
        <v>105</v>
      </c>
      <c r="Q556" s="24">
        <f>uurtarief65</f>
        <v>0</v>
      </c>
      <c r="R556" s="95" t="e">
        <f>IF(ISBLANK(N556),0,M556/ROUND(N556,4))</f>
        <v>#DIV/0!</v>
      </c>
      <c r="S556" s="95" t="e">
        <f>IF(ISBLANK(N556),0,R556*ROUND(O556,2))</f>
        <v>#DIV/0!</v>
      </c>
      <c r="T556" s="24" t="e">
        <f>ROUND(Q556,2)*R556</f>
        <v>#DIV/0!</v>
      </c>
      <c r="U556" s="95" t="e">
        <f>R556*dagenperjaar1</f>
        <v>#DIV/0!</v>
      </c>
      <c r="V556" s="25" t="e">
        <f>U556*ROUND(Q556,2)</f>
        <v>#DIV/0!</v>
      </c>
    </row>
    <row r="557" spans="1:22" x14ac:dyDescent="0.2">
      <c r="A557" s="92" t="s">
        <v>641</v>
      </c>
      <c r="B557" s="93" t="s">
        <v>47</v>
      </c>
      <c r="C557" s="93" t="s">
        <v>588</v>
      </c>
      <c r="D557" s="93" t="s">
        <v>692</v>
      </c>
      <c r="E557" s="94" t="s">
        <v>654</v>
      </c>
      <c r="F557" s="93" t="s">
        <v>496</v>
      </c>
      <c r="G557" s="93" t="s">
        <v>263</v>
      </c>
      <c r="H557" s="93" t="s">
        <v>10</v>
      </c>
      <c r="I557" s="93" t="s">
        <v>255</v>
      </c>
      <c r="J557" s="93" t="s">
        <v>47</v>
      </c>
      <c r="K557" s="93"/>
      <c r="L557" s="95">
        <v>22</v>
      </c>
      <c r="M557" s="95">
        <f>L557*VLOOKUP(H557,dagsoorttabel1,2,FALSE)</f>
        <v>22</v>
      </c>
      <c r="N557" s="96">
        <f>prodnorm37</f>
        <v>0</v>
      </c>
      <c r="O557" s="37">
        <f>dagwerk37</f>
        <v>0</v>
      </c>
      <c r="P557" s="93" t="s">
        <v>105</v>
      </c>
      <c r="Q557" s="24">
        <f>uurtarief37</f>
        <v>0</v>
      </c>
      <c r="R557" s="95" t="e">
        <f>IF(ISBLANK(N557),0,M557/ROUND(N557,4))</f>
        <v>#DIV/0!</v>
      </c>
      <c r="S557" s="95" t="e">
        <f>IF(ISBLANK(N557),0,R557*ROUND(O557,2))</f>
        <v>#DIV/0!</v>
      </c>
      <c r="T557" s="24" t="e">
        <f>ROUND(Q557,2)*R557</f>
        <v>#DIV/0!</v>
      </c>
      <c r="U557" s="95" t="e">
        <f>R557*dagenperjaar1</f>
        <v>#DIV/0!</v>
      </c>
      <c r="V557" s="25" t="e">
        <f>U557*ROUND(Q557,2)</f>
        <v>#DIV/0!</v>
      </c>
    </row>
    <row r="558" spans="1:22" x14ac:dyDescent="0.2">
      <c r="A558" s="92" t="s">
        <v>641</v>
      </c>
      <c r="B558" s="93" t="s">
        <v>47</v>
      </c>
      <c r="C558" s="93" t="s">
        <v>588</v>
      </c>
      <c r="D558" s="93" t="s">
        <v>614</v>
      </c>
      <c r="E558" s="94" t="s">
        <v>654</v>
      </c>
      <c r="F558" s="93" t="s">
        <v>496</v>
      </c>
      <c r="G558" s="93" t="s">
        <v>263</v>
      </c>
      <c r="H558" s="93" t="s">
        <v>10</v>
      </c>
      <c r="I558" s="93" t="s">
        <v>255</v>
      </c>
      <c r="J558" s="93" t="s">
        <v>47</v>
      </c>
      <c r="K558" s="93"/>
      <c r="L558" s="95">
        <v>13</v>
      </c>
      <c r="M558" s="95">
        <f>L558*VLOOKUP(H558,dagsoorttabel1,2,FALSE)</f>
        <v>13</v>
      </c>
      <c r="N558" s="96">
        <f>prodnorm37</f>
        <v>0</v>
      </c>
      <c r="O558" s="37">
        <f>dagwerk37</f>
        <v>0</v>
      </c>
      <c r="P558" s="93" t="s">
        <v>105</v>
      </c>
      <c r="Q558" s="24">
        <f>uurtarief37</f>
        <v>0</v>
      </c>
      <c r="R558" s="95" t="e">
        <f>IF(ISBLANK(N558),0,M558/ROUND(N558,4))</f>
        <v>#DIV/0!</v>
      </c>
      <c r="S558" s="95" t="e">
        <f>IF(ISBLANK(N558),0,R558*ROUND(O558,2))</f>
        <v>#DIV/0!</v>
      </c>
      <c r="T558" s="24" t="e">
        <f>ROUND(Q558,2)*R558</f>
        <v>#DIV/0!</v>
      </c>
      <c r="U558" s="95" t="e">
        <f>R558*dagenperjaar1</f>
        <v>#DIV/0!</v>
      </c>
      <c r="V558" s="25" t="e">
        <f>U558*ROUND(Q558,2)</f>
        <v>#DIV/0!</v>
      </c>
    </row>
    <row r="559" spans="1:22" x14ac:dyDescent="0.2">
      <c r="A559" s="92" t="s">
        <v>641</v>
      </c>
      <c r="B559" s="93" t="s">
        <v>47</v>
      </c>
      <c r="C559" s="93" t="s">
        <v>588</v>
      </c>
      <c r="D559" s="93" t="s">
        <v>616</v>
      </c>
      <c r="E559" s="94" t="s">
        <v>654</v>
      </c>
      <c r="F559" s="93" t="s">
        <v>496</v>
      </c>
      <c r="G559" s="93" t="s">
        <v>263</v>
      </c>
      <c r="H559" s="93" t="s">
        <v>10</v>
      </c>
      <c r="I559" s="93" t="s">
        <v>255</v>
      </c>
      <c r="J559" s="93" t="s">
        <v>47</v>
      </c>
      <c r="K559" s="93"/>
      <c r="L559" s="95">
        <v>23</v>
      </c>
      <c r="M559" s="95">
        <f>L559*VLOOKUP(H559,dagsoorttabel1,2,FALSE)</f>
        <v>23</v>
      </c>
      <c r="N559" s="96">
        <f>prodnorm37</f>
        <v>0</v>
      </c>
      <c r="O559" s="37">
        <f>dagwerk37</f>
        <v>0</v>
      </c>
      <c r="P559" s="93" t="s">
        <v>105</v>
      </c>
      <c r="Q559" s="24">
        <f>uurtarief37</f>
        <v>0</v>
      </c>
      <c r="R559" s="95" t="e">
        <f>IF(ISBLANK(N559),0,M559/ROUND(N559,4))</f>
        <v>#DIV/0!</v>
      </c>
      <c r="S559" s="95" t="e">
        <f>IF(ISBLANK(N559),0,R559*ROUND(O559,2))</f>
        <v>#DIV/0!</v>
      </c>
      <c r="T559" s="24" t="e">
        <f>ROUND(Q559,2)*R559</f>
        <v>#DIV/0!</v>
      </c>
      <c r="U559" s="95" t="e">
        <f>R559*dagenperjaar1</f>
        <v>#DIV/0!</v>
      </c>
      <c r="V559" s="25" t="e">
        <f>U559*ROUND(Q559,2)</f>
        <v>#DIV/0!</v>
      </c>
    </row>
    <row r="560" spans="1:22" x14ac:dyDescent="0.2">
      <c r="A560" s="92" t="s">
        <v>641</v>
      </c>
      <c r="B560" s="93" t="s">
        <v>47</v>
      </c>
      <c r="C560" s="93" t="s">
        <v>588</v>
      </c>
      <c r="D560" s="93" t="s">
        <v>618</v>
      </c>
      <c r="E560" s="94" t="s">
        <v>654</v>
      </c>
      <c r="F560" s="93" t="s">
        <v>496</v>
      </c>
      <c r="G560" s="93" t="s">
        <v>263</v>
      </c>
      <c r="H560" s="93" t="s">
        <v>10</v>
      </c>
      <c r="I560" s="93" t="s">
        <v>255</v>
      </c>
      <c r="J560" s="93" t="s">
        <v>47</v>
      </c>
      <c r="K560" s="93"/>
      <c r="L560" s="95">
        <v>39</v>
      </c>
      <c r="M560" s="95">
        <f>L560*VLOOKUP(H560,dagsoorttabel1,2,FALSE)</f>
        <v>39</v>
      </c>
      <c r="N560" s="96">
        <f>prodnorm37</f>
        <v>0</v>
      </c>
      <c r="O560" s="37">
        <f>dagwerk37</f>
        <v>0</v>
      </c>
      <c r="P560" s="93" t="s">
        <v>105</v>
      </c>
      <c r="Q560" s="24">
        <f>uurtarief37</f>
        <v>0</v>
      </c>
      <c r="R560" s="95" t="e">
        <f>IF(ISBLANK(N560),0,M560/ROUND(N560,4))</f>
        <v>#DIV/0!</v>
      </c>
      <c r="S560" s="95" t="e">
        <f>IF(ISBLANK(N560),0,R560*ROUND(O560,2))</f>
        <v>#DIV/0!</v>
      </c>
      <c r="T560" s="24" t="e">
        <f>ROUND(Q560,2)*R560</f>
        <v>#DIV/0!</v>
      </c>
      <c r="U560" s="95" t="e">
        <f>R560*dagenperjaar1</f>
        <v>#DIV/0!</v>
      </c>
      <c r="V560" s="25" t="e">
        <f>U560*ROUND(Q560,2)</f>
        <v>#DIV/0!</v>
      </c>
    </row>
    <row r="561" spans="1:22" x14ac:dyDescent="0.2">
      <c r="A561" s="92" t="s">
        <v>641</v>
      </c>
      <c r="B561" s="93" t="s">
        <v>47</v>
      </c>
      <c r="C561" s="93" t="s">
        <v>588</v>
      </c>
      <c r="D561" s="93" t="s">
        <v>620</v>
      </c>
      <c r="E561" s="94" t="s">
        <v>654</v>
      </c>
      <c r="F561" s="93" t="s">
        <v>496</v>
      </c>
      <c r="G561" s="93" t="s">
        <v>263</v>
      </c>
      <c r="H561" s="93" t="s">
        <v>10</v>
      </c>
      <c r="I561" s="93" t="s">
        <v>255</v>
      </c>
      <c r="J561" s="93" t="s">
        <v>47</v>
      </c>
      <c r="K561" s="93"/>
      <c r="L561" s="95">
        <v>13</v>
      </c>
      <c r="M561" s="95">
        <f>L561*VLOOKUP(H561,dagsoorttabel1,2,FALSE)</f>
        <v>13</v>
      </c>
      <c r="N561" s="96">
        <f>prodnorm37</f>
        <v>0</v>
      </c>
      <c r="O561" s="37">
        <f>dagwerk37</f>
        <v>0</v>
      </c>
      <c r="P561" s="93" t="s">
        <v>105</v>
      </c>
      <c r="Q561" s="24">
        <f>uurtarief37</f>
        <v>0</v>
      </c>
      <c r="R561" s="95" t="e">
        <f>IF(ISBLANK(N561),0,M561/ROUND(N561,4))</f>
        <v>#DIV/0!</v>
      </c>
      <c r="S561" s="95" t="e">
        <f>IF(ISBLANK(N561),0,R561*ROUND(O561,2))</f>
        <v>#DIV/0!</v>
      </c>
      <c r="T561" s="24" t="e">
        <f>ROUND(Q561,2)*R561</f>
        <v>#DIV/0!</v>
      </c>
      <c r="U561" s="95" t="e">
        <f>R561*dagenperjaar1</f>
        <v>#DIV/0!</v>
      </c>
      <c r="V561" s="25" t="e">
        <f>U561*ROUND(Q561,2)</f>
        <v>#DIV/0!</v>
      </c>
    </row>
    <row r="562" spans="1:22" x14ac:dyDescent="0.2">
      <c r="A562" s="92" t="s">
        <v>641</v>
      </c>
      <c r="B562" s="93" t="s">
        <v>47</v>
      </c>
      <c r="C562" s="93" t="s">
        <v>588</v>
      </c>
      <c r="D562" s="93" t="s">
        <v>622</v>
      </c>
      <c r="E562" s="94" t="s">
        <v>654</v>
      </c>
      <c r="F562" s="93" t="s">
        <v>496</v>
      </c>
      <c r="G562" s="93" t="s">
        <v>263</v>
      </c>
      <c r="H562" s="93" t="s">
        <v>10</v>
      </c>
      <c r="I562" s="93" t="s">
        <v>255</v>
      </c>
      <c r="J562" s="93" t="s">
        <v>47</v>
      </c>
      <c r="K562" s="93"/>
      <c r="L562" s="95">
        <v>22</v>
      </c>
      <c r="M562" s="95">
        <f>L562*VLOOKUP(H562,dagsoorttabel1,2,FALSE)</f>
        <v>22</v>
      </c>
      <c r="N562" s="96">
        <f>prodnorm37</f>
        <v>0</v>
      </c>
      <c r="O562" s="37">
        <f>dagwerk37</f>
        <v>0</v>
      </c>
      <c r="P562" s="93" t="s">
        <v>105</v>
      </c>
      <c r="Q562" s="24">
        <f>uurtarief37</f>
        <v>0</v>
      </c>
      <c r="R562" s="95" t="e">
        <f>IF(ISBLANK(N562),0,M562/ROUND(N562,4))</f>
        <v>#DIV/0!</v>
      </c>
      <c r="S562" s="95" t="e">
        <f>IF(ISBLANK(N562),0,R562*ROUND(O562,2))</f>
        <v>#DIV/0!</v>
      </c>
      <c r="T562" s="24" t="e">
        <f>ROUND(Q562,2)*R562</f>
        <v>#DIV/0!</v>
      </c>
      <c r="U562" s="95" t="e">
        <f>R562*dagenperjaar1</f>
        <v>#DIV/0!</v>
      </c>
      <c r="V562" s="25" t="e">
        <f>U562*ROUND(Q562,2)</f>
        <v>#DIV/0!</v>
      </c>
    </row>
    <row r="563" spans="1:22" x14ac:dyDescent="0.2">
      <c r="A563" s="92" t="s">
        <v>641</v>
      </c>
      <c r="B563" s="93" t="s">
        <v>47</v>
      </c>
      <c r="C563" s="93" t="s">
        <v>588</v>
      </c>
      <c r="D563" s="93" t="s">
        <v>693</v>
      </c>
      <c r="E563" s="94" t="s">
        <v>654</v>
      </c>
      <c r="F563" s="93" t="s">
        <v>496</v>
      </c>
      <c r="G563" s="93" t="s">
        <v>263</v>
      </c>
      <c r="H563" s="93" t="s">
        <v>10</v>
      </c>
      <c r="I563" s="93" t="s">
        <v>255</v>
      </c>
      <c r="J563" s="93" t="s">
        <v>47</v>
      </c>
      <c r="K563" s="93"/>
      <c r="L563" s="95">
        <v>22</v>
      </c>
      <c r="M563" s="95">
        <f>L563*VLOOKUP(H563,dagsoorttabel1,2,FALSE)</f>
        <v>22</v>
      </c>
      <c r="N563" s="96">
        <f>prodnorm37</f>
        <v>0</v>
      </c>
      <c r="O563" s="37">
        <f>dagwerk37</f>
        <v>0</v>
      </c>
      <c r="P563" s="93" t="s">
        <v>105</v>
      </c>
      <c r="Q563" s="24">
        <f>uurtarief37</f>
        <v>0</v>
      </c>
      <c r="R563" s="95" t="e">
        <f>IF(ISBLANK(N563),0,M563/ROUND(N563,4))</f>
        <v>#DIV/0!</v>
      </c>
      <c r="S563" s="95" t="e">
        <f>IF(ISBLANK(N563),0,R563*ROUND(O563,2))</f>
        <v>#DIV/0!</v>
      </c>
      <c r="T563" s="24" t="e">
        <f>ROUND(Q563,2)*R563</f>
        <v>#DIV/0!</v>
      </c>
      <c r="U563" s="95" t="e">
        <f>R563*dagenperjaar1</f>
        <v>#DIV/0!</v>
      </c>
      <c r="V563" s="25" t="e">
        <f>U563*ROUND(Q563,2)</f>
        <v>#DIV/0!</v>
      </c>
    </row>
    <row r="564" spans="1:22" x14ac:dyDescent="0.2">
      <c r="A564" s="92" t="s">
        <v>641</v>
      </c>
      <c r="B564" s="93" t="s">
        <v>47</v>
      </c>
      <c r="C564" s="93" t="s">
        <v>588</v>
      </c>
      <c r="D564" s="93" t="s">
        <v>694</v>
      </c>
      <c r="E564" s="94" t="s">
        <v>695</v>
      </c>
      <c r="F564" s="93" t="s">
        <v>496</v>
      </c>
      <c r="G564" s="93" t="s">
        <v>312</v>
      </c>
      <c r="H564" s="93" t="s">
        <v>10</v>
      </c>
      <c r="I564" s="93" t="s">
        <v>255</v>
      </c>
      <c r="J564" s="93" t="s">
        <v>47</v>
      </c>
      <c r="K564" s="93"/>
      <c r="L564" s="95">
        <v>8.75</v>
      </c>
      <c r="M564" s="95">
        <f>L564*VLOOKUP(H564,dagsoorttabel1,2,FALSE)</f>
        <v>8.75</v>
      </c>
      <c r="N564" s="96">
        <f>prodnorm86</f>
        <v>0</v>
      </c>
      <c r="O564" s="37">
        <f>dagwerk86</f>
        <v>0</v>
      </c>
      <c r="P564" s="93" t="s">
        <v>105</v>
      </c>
      <c r="Q564" s="24">
        <f>uurtarief86</f>
        <v>0</v>
      </c>
      <c r="R564" s="95" t="e">
        <f>IF(ISBLANK(N564),0,M564/ROUND(N564,4))</f>
        <v>#DIV/0!</v>
      </c>
      <c r="S564" s="95" t="e">
        <f>IF(ISBLANK(N564),0,R564*ROUND(O564,2))</f>
        <v>#DIV/0!</v>
      </c>
      <c r="T564" s="24" t="e">
        <f>ROUND(Q564,2)*R564</f>
        <v>#DIV/0!</v>
      </c>
      <c r="U564" s="95" t="e">
        <f>R564*dagenperjaar1</f>
        <v>#DIV/0!</v>
      </c>
      <c r="V564" s="25" t="e">
        <f>U564*ROUND(Q564,2)</f>
        <v>#DIV/0!</v>
      </c>
    </row>
    <row r="565" spans="1:22" x14ac:dyDescent="0.2">
      <c r="A565" s="92" t="s">
        <v>641</v>
      </c>
      <c r="B565" s="93" t="s">
        <v>47</v>
      </c>
      <c r="C565" s="93" t="s">
        <v>588</v>
      </c>
      <c r="D565" s="93" t="s">
        <v>696</v>
      </c>
      <c r="E565" s="94" t="s">
        <v>695</v>
      </c>
      <c r="F565" s="93" t="s">
        <v>517</v>
      </c>
      <c r="G565" s="93" t="s">
        <v>308</v>
      </c>
      <c r="H565" s="93" t="s">
        <v>10</v>
      </c>
      <c r="I565" s="93" t="s">
        <v>255</v>
      </c>
      <c r="J565" s="93" t="s">
        <v>47</v>
      </c>
      <c r="K565" s="93"/>
      <c r="L565" s="95">
        <v>8.75</v>
      </c>
      <c r="M565" s="95">
        <f>L565*VLOOKUP(H565,dagsoorttabel1,2,FALSE)</f>
        <v>8.75</v>
      </c>
      <c r="N565" s="96">
        <f>prodnorm82</f>
        <v>0</v>
      </c>
      <c r="O565" s="37">
        <f>dagwerk82</f>
        <v>0</v>
      </c>
      <c r="P565" s="93" t="s">
        <v>105</v>
      </c>
      <c r="Q565" s="24">
        <f>uurtarief82</f>
        <v>0</v>
      </c>
      <c r="R565" s="95" t="e">
        <f>IF(ISBLANK(N565),0,M565/ROUND(N565,4))</f>
        <v>#DIV/0!</v>
      </c>
      <c r="S565" s="95" t="e">
        <f>IF(ISBLANK(N565),0,R565*ROUND(O565,2))</f>
        <v>#DIV/0!</v>
      </c>
      <c r="T565" s="24" t="e">
        <f>ROUND(Q565,2)*R565</f>
        <v>#DIV/0!</v>
      </c>
      <c r="U565" s="95" t="e">
        <f>R565*dagenperjaar1</f>
        <v>#DIV/0!</v>
      </c>
      <c r="V565" s="25" t="e">
        <f>U565*ROUND(Q565,2)</f>
        <v>#DIV/0!</v>
      </c>
    </row>
    <row r="566" spans="1:22" x14ac:dyDescent="0.2">
      <c r="A566" s="92" t="s">
        <v>641</v>
      </c>
      <c r="B566" s="93" t="s">
        <v>47</v>
      </c>
      <c r="C566" s="93" t="s">
        <v>588</v>
      </c>
      <c r="D566" s="93" t="s">
        <v>624</v>
      </c>
      <c r="E566" s="94" t="s">
        <v>661</v>
      </c>
      <c r="F566" s="93" t="s">
        <v>408</v>
      </c>
      <c r="G566" s="93" t="s">
        <v>304</v>
      </c>
      <c r="H566" s="93" t="s">
        <v>10</v>
      </c>
      <c r="I566" s="93" t="s">
        <v>255</v>
      </c>
      <c r="J566" s="93" t="s">
        <v>47</v>
      </c>
      <c r="K566" s="93"/>
      <c r="L566" s="95">
        <v>3.5</v>
      </c>
      <c r="M566" s="95">
        <f>L566*VLOOKUP(H566,dagsoorttabel1,2,FALSE)</f>
        <v>3.5</v>
      </c>
      <c r="N566" s="96">
        <f>prodnorm75</f>
        <v>0</v>
      </c>
      <c r="O566" s="37">
        <f>dagwerk75</f>
        <v>0</v>
      </c>
      <c r="P566" s="93" t="s">
        <v>105</v>
      </c>
      <c r="Q566" s="24">
        <f>uurtarief75</f>
        <v>0</v>
      </c>
      <c r="R566" s="95" t="e">
        <f>IF(ISBLANK(N566),0,M566/ROUND(N566,4))</f>
        <v>#DIV/0!</v>
      </c>
      <c r="S566" s="95" t="e">
        <f>IF(ISBLANK(N566),0,R566*ROUND(O566,2))</f>
        <v>#DIV/0!</v>
      </c>
      <c r="T566" s="24" t="e">
        <f>ROUND(Q566,2)*R566</f>
        <v>#DIV/0!</v>
      </c>
      <c r="U566" s="95" t="e">
        <f>R566*dagenperjaar1</f>
        <v>#DIV/0!</v>
      </c>
      <c r="V566" s="25" t="e">
        <f>U566*ROUND(Q566,2)</f>
        <v>#DIV/0!</v>
      </c>
    </row>
    <row r="567" spans="1:22" x14ac:dyDescent="0.2">
      <c r="A567" s="92" t="s">
        <v>641</v>
      </c>
      <c r="B567" s="93" t="s">
        <v>47</v>
      </c>
      <c r="C567" s="93" t="s">
        <v>588</v>
      </c>
      <c r="D567" s="93" t="s">
        <v>626</v>
      </c>
      <c r="E567" s="94" t="s">
        <v>660</v>
      </c>
      <c r="F567" s="93" t="s">
        <v>442</v>
      </c>
      <c r="G567" s="93" t="s">
        <v>304</v>
      </c>
      <c r="H567" s="93" t="s">
        <v>10</v>
      </c>
      <c r="I567" s="93" t="s">
        <v>255</v>
      </c>
      <c r="J567" s="93" t="s">
        <v>47</v>
      </c>
      <c r="K567" s="93"/>
      <c r="L567" s="95">
        <v>4</v>
      </c>
      <c r="M567" s="95">
        <f>L567*VLOOKUP(H567,dagsoorttabel1,2,FALSE)</f>
        <v>4</v>
      </c>
      <c r="N567" s="96">
        <f>prodnorm75</f>
        <v>0</v>
      </c>
      <c r="O567" s="37">
        <f>dagwerk75</f>
        <v>0</v>
      </c>
      <c r="P567" s="93" t="s">
        <v>105</v>
      </c>
      <c r="Q567" s="24">
        <f>uurtarief75</f>
        <v>0</v>
      </c>
      <c r="R567" s="95" t="e">
        <f>IF(ISBLANK(N567),0,M567/ROUND(N567,4))</f>
        <v>#DIV/0!</v>
      </c>
      <c r="S567" s="95" t="e">
        <f>IF(ISBLANK(N567),0,R567*ROUND(O567,2))</f>
        <v>#DIV/0!</v>
      </c>
      <c r="T567" s="24" t="e">
        <f>ROUND(Q567,2)*R567</f>
        <v>#DIV/0!</v>
      </c>
      <c r="U567" s="95" t="e">
        <f>R567*dagenperjaar1</f>
        <v>#DIV/0!</v>
      </c>
      <c r="V567" s="25" t="e">
        <f>U567*ROUND(Q567,2)</f>
        <v>#DIV/0!</v>
      </c>
    </row>
    <row r="568" spans="1:22" x14ac:dyDescent="0.2">
      <c r="A568" s="92" t="s">
        <v>641</v>
      </c>
      <c r="B568" s="93" t="s">
        <v>47</v>
      </c>
      <c r="C568" s="93" t="s">
        <v>588</v>
      </c>
      <c r="D568" s="93" t="s">
        <v>628</v>
      </c>
      <c r="E568" s="94" t="s">
        <v>660</v>
      </c>
      <c r="F568" s="93" t="s">
        <v>442</v>
      </c>
      <c r="G568" s="93" t="s">
        <v>304</v>
      </c>
      <c r="H568" s="93" t="s">
        <v>10</v>
      </c>
      <c r="I568" s="93" t="s">
        <v>255</v>
      </c>
      <c r="J568" s="93" t="s">
        <v>47</v>
      </c>
      <c r="K568" s="93"/>
      <c r="L568" s="95">
        <v>1</v>
      </c>
      <c r="M568" s="95">
        <f>L568*VLOOKUP(H568,dagsoorttabel1,2,FALSE)</f>
        <v>1</v>
      </c>
      <c r="N568" s="96">
        <f>prodnorm75</f>
        <v>0</v>
      </c>
      <c r="O568" s="37">
        <f>dagwerk75</f>
        <v>0</v>
      </c>
      <c r="P568" s="93" t="s">
        <v>105</v>
      </c>
      <c r="Q568" s="24">
        <f>uurtarief75</f>
        <v>0</v>
      </c>
      <c r="R568" s="95" t="e">
        <f>IF(ISBLANK(N568),0,M568/ROUND(N568,4))</f>
        <v>#DIV/0!</v>
      </c>
      <c r="S568" s="95" t="e">
        <f>IF(ISBLANK(N568),0,R568*ROUND(O568,2))</f>
        <v>#DIV/0!</v>
      </c>
      <c r="T568" s="24" t="e">
        <f>ROUND(Q568,2)*R568</f>
        <v>#DIV/0!</v>
      </c>
      <c r="U568" s="95" t="e">
        <f>R568*dagenperjaar1</f>
        <v>#DIV/0!</v>
      </c>
      <c r="V568" s="25" t="e">
        <f>U568*ROUND(Q568,2)</f>
        <v>#DIV/0!</v>
      </c>
    </row>
    <row r="569" spans="1:22" x14ac:dyDescent="0.2">
      <c r="A569" s="92" t="s">
        <v>641</v>
      </c>
      <c r="B569" s="93" t="s">
        <v>47</v>
      </c>
      <c r="C569" s="93" t="s">
        <v>588</v>
      </c>
      <c r="D569" s="93" t="s">
        <v>630</v>
      </c>
      <c r="E569" s="94" t="s">
        <v>660</v>
      </c>
      <c r="F569" s="93" t="s">
        <v>442</v>
      </c>
      <c r="G569" s="93" t="s">
        <v>304</v>
      </c>
      <c r="H569" s="93" t="s">
        <v>10</v>
      </c>
      <c r="I569" s="93" t="s">
        <v>255</v>
      </c>
      <c r="J569" s="93" t="s">
        <v>47</v>
      </c>
      <c r="K569" s="93"/>
      <c r="L569" s="95">
        <v>2</v>
      </c>
      <c r="M569" s="95">
        <f>L569*VLOOKUP(H569,dagsoorttabel1,2,FALSE)</f>
        <v>2</v>
      </c>
      <c r="N569" s="96">
        <f>prodnorm75</f>
        <v>0</v>
      </c>
      <c r="O569" s="37">
        <f>dagwerk75</f>
        <v>0</v>
      </c>
      <c r="P569" s="93" t="s">
        <v>105</v>
      </c>
      <c r="Q569" s="24">
        <f>uurtarief75</f>
        <v>0</v>
      </c>
      <c r="R569" s="95" t="e">
        <f>IF(ISBLANK(N569),0,M569/ROUND(N569,4))</f>
        <v>#DIV/0!</v>
      </c>
      <c r="S569" s="95" t="e">
        <f>IF(ISBLANK(N569),0,R569*ROUND(O569,2))</f>
        <v>#DIV/0!</v>
      </c>
      <c r="T569" s="24" t="e">
        <f>ROUND(Q569,2)*R569</f>
        <v>#DIV/0!</v>
      </c>
      <c r="U569" s="95" t="e">
        <f>R569*dagenperjaar1</f>
        <v>#DIV/0!</v>
      </c>
      <c r="V569" s="25" t="e">
        <f>U569*ROUND(Q569,2)</f>
        <v>#DIV/0!</v>
      </c>
    </row>
    <row r="570" spans="1:22" x14ac:dyDescent="0.2">
      <c r="A570" s="92" t="s">
        <v>641</v>
      </c>
      <c r="B570" s="93" t="s">
        <v>47</v>
      </c>
      <c r="C570" s="93" t="s">
        <v>588</v>
      </c>
      <c r="D570" s="93" t="s">
        <v>632</v>
      </c>
      <c r="E570" s="94" t="s">
        <v>650</v>
      </c>
      <c r="F570" s="93" t="s">
        <v>517</v>
      </c>
      <c r="G570" s="93" t="s">
        <v>314</v>
      </c>
      <c r="H570" s="93" t="s">
        <v>10</v>
      </c>
      <c r="I570" s="93" t="s">
        <v>255</v>
      </c>
      <c r="J570" s="93" t="s">
        <v>47</v>
      </c>
      <c r="K570" s="93"/>
      <c r="L570" s="95">
        <v>37.5</v>
      </c>
      <c r="M570" s="95">
        <f>L570*VLOOKUP(H570,dagsoorttabel1,2,FALSE)</f>
        <v>37.5</v>
      </c>
      <c r="N570" s="96">
        <f>prodnorm89</f>
        <v>0</v>
      </c>
      <c r="O570" s="37">
        <f>dagwerk89</f>
        <v>0</v>
      </c>
      <c r="P570" s="93" t="s">
        <v>105</v>
      </c>
      <c r="Q570" s="24">
        <f>uurtarief89</f>
        <v>0</v>
      </c>
      <c r="R570" s="95" t="e">
        <f>IF(ISBLANK(N570),0,M570/ROUND(N570,4))</f>
        <v>#DIV/0!</v>
      </c>
      <c r="S570" s="95" t="e">
        <f>IF(ISBLANK(N570),0,R570*ROUND(O570,2))</f>
        <v>#DIV/0!</v>
      </c>
      <c r="T570" s="24" t="e">
        <f>ROUND(Q570,2)*R570</f>
        <v>#DIV/0!</v>
      </c>
      <c r="U570" s="95" t="e">
        <f>R570*dagenperjaar1</f>
        <v>#DIV/0!</v>
      </c>
      <c r="V570" s="25" t="e">
        <f>U570*ROUND(Q570,2)</f>
        <v>#DIV/0!</v>
      </c>
    </row>
    <row r="571" spans="1:22" x14ac:dyDescent="0.2">
      <c r="A571" s="92" t="s">
        <v>641</v>
      </c>
      <c r="B571" s="93" t="s">
        <v>47</v>
      </c>
      <c r="C571" s="93" t="s">
        <v>697</v>
      </c>
      <c r="D571" s="93" t="s">
        <v>47</v>
      </c>
      <c r="E571" s="94" t="s">
        <v>698</v>
      </c>
      <c r="F571" s="93" t="s">
        <v>47</v>
      </c>
      <c r="G571" s="93" t="s">
        <v>353</v>
      </c>
      <c r="H571" s="93" t="s">
        <v>10</v>
      </c>
      <c r="I571" s="93" t="s">
        <v>354</v>
      </c>
      <c r="J571" s="93" t="s">
        <v>47</v>
      </c>
      <c r="K571" s="93"/>
      <c r="L571" s="95">
        <v>3</v>
      </c>
      <c r="M571" s="95">
        <f>L571*VLOOKUP(H571,dagsoorttabel1,2,FALSE)</f>
        <v>3</v>
      </c>
      <c r="N571" s="96"/>
      <c r="O571" s="104"/>
      <c r="P571" s="93" t="s">
        <v>356</v>
      </c>
      <c r="Q571" s="24">
        <f>uurtarief23</f>
        <v>0</v>
      </c>
      <c r="R571" s="95">
        <f>M571</f>
        <v>3</v>
      </c>
      <c r="S571" s="105"/>
      <c r="T571" s="24">
        <f>ROUND(Q571,2)*R571</f>
        <v>0</v>
      </c>
      <c r="U571" s="95">
        <f>R571*dagenperjaar1</f>
        <v>765</v>
      </c>
      <c r="V571" s="25">
        <f>U571*ROUND(Q571,2)</f>
        <v>0</v>
      </c>
    </row>
    <row r="572" spans="1:22" x14ac:dyDescent="0.2">
      <c r="A572" s="97" t="s">
        <v>641</v>
      </c>
      <c r="B572" s="98" t="s">
        <v>47</v>
      </c>
      <c r="C572" s="98" t="s">
        <v>697</v>
      </c>
      <c r="D572" s="98" t="s">
        <v>47</v>
      </c>
      <c r="E572" s="99" t="s">
        <v>698</v>
      </c>
      <c r="F572" s="98" t="s">
        <v>47</v>
      </c>
      <c r="G572" s="98" t="s">
        <v>357</v>
      </c>
      <c r="H572" s="98" t="s">
        <v>10</v>
      </c>
      <c r="I572" s="98" t="s">
        <v>354</v>
      </c>
      <c r="J572" s="98" t="s">
        <v>47</v>
      </c>
      <c r="K572" s="98"/>
      <c r="L572" s="100">
        <v>6</v>
      </c>
      <c r="M572" s="100">
        <f>L572*VLOOKUP(H572,dagsoorttabel1,2,FALSE)</f>
        <v>6</v>
      </c>
      <c r="N572" s="101">
        <f>prodnorm24</f>
        <v>0</v>
      </c>
      <c r="O572" s="102">
        <f>dagwerk24</f>
        <v>0</v>
      </c>
      <c r="P572" s="98" t="s">
        <v>359</v>
      </c>
      <c r="Q572" s="34">
        <f>uurtarief24</f>
        <v>0</v>
      </c>
      <c r="R572" s="100">
        <f>M572*ROUND(N572,4)/60</f>
        <v>0</v>
      </c>
      <c r="S572" s="100">
        <f>IF(ISBLANK(N572),0,R572*ROUND(O572,2))</f>
        <v>0</v>
      </c>
      <c r="T572" s="34">
        <f>ROUND(Q572,2)*R572</f>
        <v>0</v>
      </c>
      <c r="U572" s="100">
        <f>R572*dagenperjaar1</f>
        <v>0</v>
      </c>
      <c r="V572" s="35">
        <f>U572*ROUND(Q572,2)</f>
        <v>0</v>
      </c>
    </row>
    <row r="573" spans="1:22" x14ac:dyDescent="0.2">
      <c r="A573" s="103" t="s">
        <v>436</v>
      </c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5" t="e">
        <f>IF(_xlfn.SINGLE(object13_urenjaar1)&gt;0,_xlfn.SINGLE(object13_prijsjaar1)/_xlfn.SINGLE(object13_urenjaar1),0)</f>
        <v>#DIV/0!</v>
      </c>
      <c r="R573" s="74" t="e">
        <f>SUM(R485:R572)</f>
        <v>#DIV/0!</v>
      </c>
      <c r="S573" s="74" t="e">
        <f>SUM(S485:S572)</f>
        <v>#DIV/0!</v>
      </c>
      <c r="T573" s="75" t="e">
        <f>SUM(T485:T572)</f>
        <v>#DIV/0!</v>
      </c>
      <c r="U573" s="74" t="e">
        <f>SUM(U485:U572)</f>
        <v>#DIV/0!</v>
      </c>
      <c r="V573" s="76" t="e">
        <f>SUM(V485:V572)</f>
        <v>#DIV/0!</v>
      </c>
    </row>
    <row r="574" spans="1:22" x14ac:dyDescent="0.2">
      <c r="A574" s="83" t="s">
        <v>699</v>
      </c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71"/>
    </row>
    <row r="575" spans="1:22" x14ac:dyDescent="0.2">
      <c r="A575" s="84" t="s">
        <v>700</v>
      </c>
      <c r="B575" s="85" t="s">
        <v>47</v>
      </c>
      <c r="C575" s="85" t="s">
        <v>394</v>
      </c>
      <c r="D575" s="85" t="s">
        <v>395</v>
      </c>
      <c r="E575" s="86" t="s">
        <v>701</v>
      </c>
      <c r="F575" s="85" t="s">
        <v>442</v>
      </c>
      <c r="G575" s="85" t="s">
        <v>328</v>
      </c>
      <c r="H575" s="85" t="s">
        <v>21</v>
      </c>
      <c r="I575" s="85" t="s">
        <v>255</v>
      </c>
      <c r="J575" s="85" t="s">
        <v>47</v>
      </c>
      <c r="K575" s="85"/>
      <c r="L575" s="87">
        <v>370</v>
      </c>
      <c r="M575" s="87">
        <f>L575*VLOOKUP(H575,dagsoorttabel1,2,FALSE)</f>
        <v>74</v>
      </c>
      <c r="N575" s="88">
        <f>prodnorm100</f>
        <v>0</v>
      </c>
      <c r="O575" s="89">
        <f>dagwerk100</f>
        <v>0</v>
      </c>
      <c r="P575" s="85" t="s">
        <v>105</v>
      </c>
      <c r="Q575" s="90">
        <f>uurtarief100</f>
        <v>0</v>
      </c>
      <c r="R575" s="87" t="e">
        <f>IF(ISBLANK(N575),0,M575/ROUND(N575,4))</f>
        <v>#DIV/0!</v>
      </c>
      <c r="S575" s="87" t="e">
        <f>IF(ISBLANK(N575),0,R575*ROUND(O575,2))</f>
        <v>#DIV/0!</v>
      </c>
      <c r="T575" s="90" t="e">
        <f>ROUND(Q575,2)*R575</f>
        <v>#DIV/0!</v>
      </c>
      <c r="U575" s="87" t="e">
        <f>R575*dagenperjaar1</f>
        <v>#DIV/0!</v>
      </c>
      <c r="V575" s="91" t="e">
        <f>U575*ROUND(Q575,2)</f>
        <v>#DIV/0!</v>
      </c>
    </row>
    <row r="576" spans="1:22" x14ac:dyDescent="0.2">
      <c r="A576" s="92" t="s">
        <v>700</v>
      </c>
      <c r="B576" s="93" t="s">
        <v>47</v>
      </c>
      <c r="C576" s="93" t="s">
        <v>394</v>
      </c>
      <c r="D576" s="93" t="s">
        <v>398</v>
      </c>
      <c r="E576" s="94" t="s">
        <v>702</v>
      </c>
      <c r="F576" s="93" t="s">
        <v>442</v>
      </c>
      <c r="G576" s="93" t="s">
        <v>328</v>
      </c>
      <c r="H576" s="93" t="s">
        <v>21</v>
      </c>
      <c r="I576" s="93" t="s">
        <v>255</v>
      </c>
      <c r="J576" s="93" t="s">
        <v>47</v>
      </c>
      <c r="K576" s="93"/>
      <c r="L576" s="95">
        <v>250</v>
      </c>
      <c r="M576" s="95">
        <f>L576*VLOOKUP(H576,dagsoorttabel1,2,FALSE)</f>
        <v>50</v>
      </c>
      <c r="N576" s="96">
        <f>prodnorm100</f>
        <v>0</v>
      </c>
      <c r="O576" s="37">
        <f>dagwerk100</f>
        <v>0</v>
      </c>
      <c r="P576" s="93" t="s">
        <v>105</v>
      </c>
      <c r="Q576" s="24">
        <f>uurtarief100</f>
        <v>0</v>
      </c>
      <c r="R576" s="95" t="e">
        <f>IF(ISBLANK(N576),0,M576/ROUND(N576,4))</f>
        <v>#DIV/0!</v>
      </c>
      <c r="S576" s="95" t="e">
        <f>IF(ISBLANK(N576),0,R576*ROUND(O576,2))</f>
        <v>#DIV/0!</v>
      </c>
      <c r="T576" s="24" t="e">
        <f>ROUND(Q576,2)*R576</f>
        <v>#DIV/0!</v>
      </c>
      <c r="U576" s="95" t="e">
        <f>R576*dagenperjaar1</f>
        <v>#DIV/0!</v>
      </c>
      <c r="V576" s="25" t="e">
        <f>U576*ROUND(Q576,2)</f>
        <v>#DIV/0!</v>
      </c>
    </row>
    <row r="577" spans="1:22" x14ac:dyDescent="0.2">
      <c r="A577" s="92" t="s">
        <v>700</v>
      </c>
      <c r="B577" s="93" t="s">
        <v>47</v>
      </c>
      <c r="C577" s="93" t="s">
        <v>394</v>
      </c>
      <c r="D577" s="93" t="s">
        <v>642</v>
      </c>
      <c r="E577" s="94" t="s">
        <v>703</v>
      </c>
      <c r="F577" s="93" t="s">
        <v>704</v>
      </c>
      <c r="G577" s="93" t="s">
        <v>308</v>
      </c>
      <c r="H577" s="93" t="s">
        <v>21</v>
      </c>
      <c r="I577" s="93" t="s">
        <v>255</v>
      </c>
      <c r="J577" s="93" t="s">
        <v>47</v>
      </c>
      <c r="K577" s="93"/>
      <c r="L577" s="95">
        <v>8</v>
      </c>
      <c r="M577" s="95">
        <f>L577*VLOOKUP(H577,dagsoorttabel1,2,FALSE)</f>
        <v>1.6</v>
      </c>
      <c r="N577" s="96">
        <f>prodnorm84</f>
        <v>0</v>
      </c>
      <c r="O577" s="37">
        <f>dagwerk84</f>
        <v>0</v>
      </c>
      <c r="P577" s="93" t="s">
        <v>105</v>
      </c>
      <c r="Q577" s="24">
        <f>uurtarief84</f>
        <v>0</v>
      </c>
      <c r="R577" s="95" t="e">
        <f>IF(ISBLANK(N577),0,M577/ROUND(N577,4))</f>
        <v>#DIV/0!</v>
      </c>
      <c r="S577" s="95" t="e">
        <f>IF(ISBLANK(N577),0,R577*ROUND(O577,2))</f>
        <v>#DIV/0!</v>
      </c>
      <c r="T577" s="24" t="e">
        <f>ROUND(Q577,2)*R577</f>
        <v>#DIV/0!</v>
      </c>
      <c r="U577" s="95" t="e">
        <f>R577*dagenperjaar1</f>
        <v>#DIV/0!</v>
      </c>
      <c r="V577" s="25" t="e">
        <f>U577*ROUND(Q577,2)</f>
        <v>#DIV/0!</v>
      </c>
    </row>
    <row r="578" spans="1:22" x14ac:dyDescent="0.2">
      <c r="A578" s="92" t="s">
        <v>700</v>
      </c>
      <c r="B578" s="93" t="s">
        <v>47</v>
      </c>
      <c r="C578" s="93" t="s">
        <v>394</v>
      </c>
      <c r="D578" s="93" t="s">
        <v>402</v>
      </c>
      <c r="E578" s="94" t="s">
        <v>705</v>
      </c>
      <c r="F578" s="93" t="s">
        <v>442</v>
      </c>
      <c r="G578" s="93" t="s">
        <v>328</v>
      </c>
      <c r="H578" s="93" t="s">
        <v>21</v>
      </c>
      <c r="I578" s="93" t="s">
        <v>255</v>
      </c>
      <c r="J578" s="93" t="s">
        <v>47</v>
      </c>
      <c r="K578" s="93"/>
      <c r="L578" s="95">
        <v>100</v>
      </c>
      <c r="M578" s="95">
        <f>L578*VLOOKUP(H578,dagsoorttabel1,2,FALSE)</f>
        <v>20</v>
      </c>
      <c r="N578" s="96">
        <f>prodnorm100</f>
        <v>0</v>
      </c>
      <c r="O578" s="37">
        <f>dagwerk100</f>
        <v>0</v>
      </c>
      <c r="P578" s="93" t="s">
        <v>105</v>
      </c>
      <c r="Q578" s="24">
        <f>uurtarief100</f>
        <v>0</v>
      </c>
      <c r="R578" s="95" t="e">
        <f>IF(ISBLANK(N578),0,M578/ROUND(N578,4))</f>
        <v>#DIV/0!</v>
      </c>
      <c r="S578" s="95" t="e">
        <f>IF(ISBLANK(N578),0,R578*ROUND(O578,2))</f>
        <v>#DIV/0!</v>
      </c>
      <c r="T578" s="24" t="e">
        <f>ROUND(Q578,2)*R578</f>
        <v>#DIV/0!</v>
      </c>
      <c r="U578" s="95" t="e">
        <f>R578*dagenperjaar1</f>
        <v>#DIV/0!</v>
      </c>
      <c r="V578" s="25" t="e">
        <f>U578*ROUND(Q578,2)</f>
        <v>#DIV/0!</v>
      </c>
    </row>
    <row r="579" spans="1:22" x14ac:dyDescent="0.2">
      <c r="A579" s="92" t="s">
        <v>700</v>
      </c>
      <c r="B579" s="93" t="s">
        <v>47</v>
      </c>
      <c r="C579" s="93" t="s">
        <v>394</v>
      </c>
      <c r="D579" s="93" t="s">
        <v>404</v>
      </c>
      <c r="E579" s="94" t="s">
        <v>706</v>
      </c>
      <c r="F579" s="93" t="s">
        <v>442</v>
      </c>
      <c r="G579" s="93" t="s">
        <v>328</v>
      </c>
      <c r="H579" s="93" t="s">
        <v>21</v>
      </c>
      <c r="I579" s="93" t="s">
        <v>255</v>
      </c>
      <c r="J579" s="93" t="s">
        <v>47</v>
      </c>
      <c r="K579" s="93"/>
      <c r="L579" s="95">
        <v>50</v>
      </c>
      <c r="M579" s="95">
        <f>L579*VLOOKUP(H579,dagsoorttabel1,2,FALSE)</f>
        <v>10</v>
      </c>
      <c r="N579" s="96">
        <f>prodnorm100</f>
        <v>0</v>
      </c>
      <c r="O579" s="37">
        <f>dagwerk100</f>
        <v>0</v>
      </c>
      <c r="P579" s="93" t="s">
        <v>105</v>
      </c>
      <c r="Q579" s="24">
        <f>uurtarief100</f>
        <v>0</v>
      </c>
      <c r="R579" s="95" t="e">
        <f>IF(ISBLANK(N579),0,M579/ROUND(N579,4))</f>
        <v>#DIV/0!</v>
      </c>
      <c r="S579" s="95" t="e">
        <f>IF(ISBLANK(N579),0,R579*ROUND(O579,2))</f>
        <v>#DIV/0!</v>
      </c>
      <c r="T579" s="24" t="e">
        <f>ROUND(Q579,2)*R579</f>
        <v>#DIV/0!</v>
      </c>
      <c r="U579" s="95" t="e">
        <f>R579*dagenperjaar1</f>
        <v>#DIV/0!</v>
      </c>
      <c r="V579" s="25" t="e">
        <f>U579*ROUND(Q579,2)</f>
        <v>#DIV/0!</v>
      </c>
    </row>
    <row r="580" spans="1:22" x14ac:dyDescent="0.2">
      <c r="A580" s="92" t="s">
        <v>700</v>
      </c>
      <c r="B580" s="93" t="s">
        <v>47</v>
      </c>
      <c r="C580" s="93" t="s">
        <v>394</v>
      </c>
      <c r="D580" s="93" t="s">
        <v>411</v>
      </c>
      <c r="E580" s="94" t="s">
        <v>707</v>
      </c>
      <c r="F580" s="93" t="s">
        <v>442</v>
      </c>
      <c r="G580" s="93" t="s">
        <v>314</v>
      </c>
      <c r="H580" s="93" t="s">
        <v>21</v>
      </c>
      <c r="I580" s="93" t="s">
        <v>255</v>
      </c>
      <c r="J580" s="93" t="s">
        <v>47</v>
      </c>
      <c r="K580" s="93"/>
      <c r="L580" s="95">
        <v>10</v>
      </c>
      <c r="M580" s="95">
        <f>L580*VLOOKUP(H580,dagsoorttabel1,2,FALSE)</f>
        <v>2</v>
      </c>
      <c r="N580" s="96">
        <f>prodnorm91</f>
        <v>0</v>
      </c>
      <c r="O580" s="37">
        <f>dagwerk91</f>
        <v>0</v>
      </c>
      <c r="P580" s="93" t="s">
        <v>105</v>
      </c>
      <c r="Q580" s="24">
        <f>uurtarief91</f>
        <v>0</v>
      </c>
      <c r="R580" s="95" t="e">
        <f>IF(ISBLANK(N580),0,M580/ROUND(N580,4))</f>
        <v>#DIV/0!</v>
      </c>
      <c r="S580" s="95" t="e">
        <f>IF(ISBLANK(N580),0,R580*ROUND(O580,2))</f>
        <v>#DIV/0!</v>
      </c>
      <c r="T580" s="24" t="e">
        <f>ROUND(Q580,2)*R580</f>
        <v>#DIV/0!</v>
      </c>
      <c r="U580" s="95" t="e">
        <f>R580*dagenperjaar1</f>
        <v>#DIV/0!</v>
      </c>
      <c r="V580" s="25" t="e">
        <f>U580*ROUND(Q580,2)</f>
        <v>#DIV/0!</v>
      </c>
    </row>
    <row r="581" spans="1:22" x14ac:dyDescent="0.2">
      <c r="A581" s="92" t="s">
        <v>700</v>
      </c>
      <c r="B581" s="93" t="s">
        <v>47</v>
      </c>
      <c r="C581" s="93" t="s">
        <v>394</v>
      </c>
      <c r="D581" s="93" t="s">
        <v>413</v>
      </c>
      <c r="E581" s="94" t="s">
        <v>518</v>
      </c>
      <c r="F581" s="93" t="s">
        <v>442</v>
      </c>
      <c r="G581" s="93" t="s">
        <v>308</v>
      </c>
      <c r="H581" s="93" t="s">
        <v>24</v>
      </c>
      <c r="I581" s="93" t="s">
        <v>255</v>
      </c>
      <c r="J581" s="93" t="s">
        <v>47</v>
      </c>
      <c r="K581" s="93"/>
      <c r="L581" s="95">
        <v>10</v>
      </c>
      <c r="M581" s="95">
        <f>L581*VLOOKUP(H581,dagsoorttabel1,2,FALSE)</f>
        <v>0.47058823529411764</v>
      </c>
      <c r="N581" s="96">
        <f>prodnorm80</f>
        <v>0</v>
      </c>
      <c r="O581" s="37">
        <f>dagwerk80</f>
        <v>0</v>
      </c>
      <c r="P581" s="93" t="s">
        <v>105</v>
      </c>
      <c r="Q581" s="24">
        <f>uurtarief80</f>
        <v>0</v>
      </c>
      <c r="R581" s="95" t="e">
        <f>IF(ISBLANK(N581),0,M581/ROUND(N581,4))</f>
        <v>#DIV/0!</v>
      </c>
      <c r="S581" s="95" t="e">
        <f>IF(ISBLANK(N581),0,R581*ROUND(O581,2))</f>
        <v>#DIV/0!</v>
      </c>
      <c r="T581" s="24" t="e">
        <f>ROUND(Q581,2)*R581</f>
        <v>#DIV/0!</v>
      </c>
      <c r="U581" s="95" t="e">
        <f>R581*dagenperjaar1</f>
        <v>#DIV/0!</v>
      </c>
      <c r="V581" s="25" t="e">
        <f>U581*ROUND(Q581,2)</f>
        <v>#DIV/0!</v>
      </c>
    </row>
    <row r="582" spans="1:22" x14ac:dyDescent="0.2">
      <c r="A582" s="92" t="s">
        <v>700</v>
      </c>
      <c r="B582" s="93" t="s">
        <v>47</v>
      </c>
      <c r="C582" s="93" t="s">
        <v>394</v>
      </c>
      <c r="D582" s="93" t="s">
        <v>415</v>
      </c>
      <c r="E582" s="94" t="s">
        <v>708</v>
      </c>
      <c r="F582" s="93" t="s">
        <v>442</v>
      </c>
      <c r="G582" s="93" t="s">
        <v>342</v>
      </c>
      <c r="H582" s="93" t="s">
        <v>21</v>
      </c>
      <c r="I582" s="93" t="s">
        <v>255</v>
      </c>
      <c r="J582" s="93" t="s">
        <v>47</v>
      </c>
      <c r="K582" s="93"/>
      <c r="L582" s="95">
        <v>50</v>
      </c>
      <c r="M582" s="95">
        <f>L582*VLOOKUP(H582,dagsoorttabel1,2,FALSE)</f>
        <v>10</v>
      </c>
      <c r="N582" s="96">
        <f>prodnorm110</f>
        <v>0</v>
      </c>
      <c r="O582" s="37">
        <f>dagwerk110</f>
        <v>0</v>
      </c>
      <c r="P582" s="93" t="s">
        <v>105</v>
      </c>
      <c r="Q582" s="24">
        <f>uurtarief110</f>
        <v>0</v>
      </c>
      <c r="R582" s="95" t="e">
        <f>IF(ISBLANK(N582),0,M582/ROUND(N582,4))</f>
        <v>#DIV/0!</v>
      </c>
      <c r="S582" s="95" t="e">
        <f>IF(ISBLANK(N582),0,R582*ROUND(O582,2))</f>
        <v>#DIV/0!</v>
      </c>
      <c r="T582" s="24" t="e">
        <f>ROUND(Q582,2)*R582</f>
        <v>#DIV/0!</v>
      </c>
      <c r="U582" s="95" t="e">
        <f>R582*dagenperjaar1</f>
        <v>#DIV/0!</v>
      </c>
      <c r="V582" s="25" t="e">
        <f>U582*ROUND(Q582,2)</f>
        <v>#DIV/0!</v>
      </c>
    </row>
    <row r="583" spans="1:22" x14ac:dyDescent="0.2">
      <c r="A583" s="92" t="s">
        <v>700</v>
      </c>
      <c r="B583" s="93" t="s">
        <v>47</v>
      </c>
      <c r="C583" s="93" t="s">
        <v>394</v>
      </c>
      <c r="D583" s="93" t="s">
        <v>416</v>
      </c>
      <c r="E583" s="94" t="s">
        <v>709</v>
      </c>
      <c r="F583" s="93" t="s">
        <v>442</v>
      </c>
      <c r="G583" s="93" t="s">
        <v>346</v>
      </c>
      <c r="H583" s="93" t="s">
        <v>21</v>
      </c>
      <c r="I583" s="93" t="s">
        <v>255</v>
      </c>
      <c r="J583" s="93" t="s">
        <v>47</v>
      </c>
      <c r="K583" s="93"/>
      <c r="L583" s="95">
        <v>150</v>
      </c>
      <c r="M583" s="95">
        <f>L583*VLOOKUP(H583,dagsoorttabel1,2,FALSE)</f>
        <v>30</v>
      </c>
      <c r="N583" s="96">
        <f>prodnorm113</f>
        <v>0</v>
      </c>
      <c r="O583" s="37">
        <f>dagwerk113</f>
        <v>0</v>
      </c>
      <c r="P583" s="93" t="s">
        <v>105</v>
      </c>
      <c r="Q583" s="24">
        <f>uurtarief113</f>
        <v>0</v>
      </c>
      <c r="R583" s="95" t="e">
        <f>IF(ISBLANK(N583),0,M583/ROUND(N583,4))</f>
        <v>#DIV/0!</v>
      </c>
      <c r="S583" s="95" t="e">
        <f>IF(ISBLANK(N583),0,R583*ROUND(O583,2))</f>
        <v>#DIV/0!</v>
      </c>
      <c r="T583" s="24" t="e">
        <f>ROUND(Q583,2)*R583</f>
        <v>#DIV/0!</v>
      </c>
      <c r="U583" s="95" t="e">
        <f>R583*dagenperjaar1</f>
        <v>#DIV/0!</v>
      </c>
      <c r="V583" s="25" t="e">
        <f>U583*ROUND(Q583,2)</f>
        <v>#DIV/0!</v>
      </c>
    </row>
    <row r="584" spans="1:22" x14ac:dyDescent="0.2">
      <c r="A584" s="92" t="s">
        <v>700</v>
      </c>
      <c r="B584" s="93" t="s">
        <v>47</v>
      </c>
      <c r="C584" s="93" t="s">
        <v>394</v>
      </c>
      <c r="D584" s="93" t="s">
        <v>418</v>
      </c>
      <c r="E584" s="94" t="s">
        <v>710</v>
      </c>
      <c r="F584" s="93" t="s">
        <v>442</v>
      </c>
      <c r="G584" s="93" t="s">
        <v>330</v>
      </c>
      <c r="H584" s="93" t="s">
        <v>21</v>
      </c>
      <c r="I584" s="93" t="s">
        <v>255</v>
      </c>
      <c r="J584" s="93" t="s">
        <v>47</v>
      </c>
      <c r="K584" s="93"/>
      <c r="L584" s="95">
        <v>80</v>
      </c>
      <c r="M584" s="95">
        <f>L584*VLOOKUP(H584,dagsoorttabel1,2,FALSE)</f>
        <v>16</v>
      </c>
      <c r="N584" s="96">
        <f>prodnorm103</f>
        <v>0</v>
      </c>
      <c r="O584" s="37">
        <f>dagwerk103</f>
        <v>0</v>
      </c>
      <c r="P584" s="93" t="s">
        <v>105</v>
      </c>
      <c r="Q584" s="24">
        <f>uurtarief103</f>
        <v>0</v>
      </c>
      <c r="R584" s="95" t="e">
        <f>IF(ISBLANK(N584),0,M584/ROUND(N584,4))</f>
        <v>#DIV/0!</v>
      </c>
      <c r="S584" s="95" t="e">
        <f>IF(ISBLANK(N584),0,R584*ROUND(O584,2))</f>
        <v>#DIV/0!</v>
      </c>
      <c r="T584" s="24" t="e">
        <f>ROUND(Q584,2)*R584</f>
        <v>#DIV/0!</v>
      </c>
      <c r="U584" s="95" t="e">
        <f>R584*dagenperjaar1</f>
        <v>#DIV/0!</v>
      </c>
      <c r="V584" s="25" t="e">
        <f>U584*ROUND(Q584,2)</f>
        <v>#DIV/0!</v>
      </c>
    </row>
    <row r="585" spans="1:22" x14ac:dyDescent="0.2">
      <c r="A585" s="92" t="s">
        <v>700</v>
      </c>
      <c r="B585" s="93" t="s">
        <v>47</v>
      </c>
      <c r="C585" s="93" t="s">
        <v>394</v>
      </c>
      <c r="D585" s="93" t="s">
        <v>419</v>
      </c>
      <c r="E585" s="94" t="s">
        <v>711</v>
      </c>
      <c r="F585" s="93" t="s">
        <v>442</v>
      </c>
      <c r="G585" s="93" t="s">
        <v>346</v>
      </c>
      <c r="H585" s="93" t="s">
        <v>21</v>
      </c>
      <c r="I585" s="93" t="s">
        <v>255</v>
      </c>
      <c r="J585" s="93" t="s">
        <v>47</v>
      </c>
      <c r="K585" s="93"/>
      <c r="L585" s="95">
        <v>80</v>
      </c>
      <c r="M585" s="95">
        <f>L585*VLOOKUP(H585,dagsoorttabel1,2,FALSE)</f>
        <v>16</v>
      </c>
      <c r="N585" s="96">
        <f>prodnorm113</f>
        <v>0</v>
      </c>
      <c r="O585" s="37">
        <f>dagwerk113</f>
        <v>0</v>
      </c>
      <c r="P585" s="93" t="s">
        <v>105</v>
      </c>
      <c r="Q585" s="24">
        <f>uurtarief113</f>
        <v>0</v>
      </c>
      <c r="R585" s="95" t="e">
        <f>IF(ISBLANK(N585),0,M585/ROUND(N585,4))</f>
        <v>#DIV/0!</v>
      </c>
      <c r="S585" s="95" t="e">
        <f>IF(ISBLANK(N585),0,R585*ROUND(O585,2))</f>
        <v>#DIV/0!</v>
      </c>
      <c r="T585" s="24" t="e">
        <f>ROUND(Q585,2)*R585</f>
        <v>#DIV/0!</v>
      </c>
      <c r="U585" s="95" t="e">
        <f>R585*dagenperjaar1</f>
        <v>#DIV/0!</v>
      </c>
      <c r="V585" s="25" t="e">
        <f>U585*ROUND(Q585,2)</f>
        <v>#DIV/0!</v>
      </c>
    </row>
    <row r="586" spans="1:22" x14ac:dyDescent="0.2">
      <c r="A586" s="92" t="s">
        <v>700</v>
      </c>
      <c r="B586" s="93" t="s">
        <v>47</v>
      </c>
      <c r="C586" s="93" t="s">
        <v>394</v>
      </c>
      <c r="D586" s="93" t="s">
        <v>420</v>
      </c>
      <c r="E586" s="94" t="s">
        <v>712</v>
      </c>
      <c r="F586" s="93" t="s">
        <v>442</v>
      </c>
      <c r="G586" s="93" t="s">
        <v>330</v>
      </c>
      <c r="H586" s="93" t="s">
        <v>21</v>
      </c>
      <c r="I586" s="93" t="s">
        <v>255</v>
      </c>
      <c r="J586" s="93" t="s">
        <v>47</v>
      </c>
      <c r="K586" s="93"/>
      <c r="L586" s="95">
        <v>10</v>
      </c>
      <c r="M586" s="95">
        <f>L586*VLOOKUP(H586,dagsoorttabel1,2,FALSE)</f>
        <v>2</v>
      </c>
      <c r="N586" s="96">
        <f>prodnorm103</f>
        <v>0</v>
      </c>
      <c r="O586" s="37">
        <f>dagwerk103</f>
        <v>0</v>
      </c>
      <c r="P586" s="93" t="s">
        <v>105</v>
      </c>
      <c r="Q586" s="24">
        <f>uurtarief103</f>
        <v>0</v>
      </c>
      <c r="R586" s="95" t="e">
        <f>IF(ISBLANK(N586),0,M586/ROUND(N586,4))</f>
        <v>#DIV/0!</v>
      </c>
      <c r="S586" s="95" t="e">
        <f>IF(ISBLANK(N586),0,R586*ROUND(O586,2))</f>
        <v>#DIV/0!</v>
      </c>
      <c r="T586" s="24" t="e">
        <f>ROUND(Q586,2)*R586</f>
        <v>#DIV/0!</v>
      </c>
      <c r="U586" s="95" t="e">
        <f>R586*dagenperjaar1</f>
        <v>#DIV/0!</v>
      </c>
      <c r="V586" s="25" t="e">
        <f>U586*ROUND(Q586,2)</f>
        <v>#DIV/0!</v>
      </c>
    </row>
    <row r="587" spans="1:22" x14ac:dyDescent="0.2">
      <c r="A587" s="92" t="s">
        <v>700</v>
      </c>
      <c r="B587" s="93" t="s">
        <v>47</v>
      </c>
      <c r="C587" s="93" t="s">
        <v>394</v>
      </c>
      <c r="D587" s="93" t="s">
        <v>422</v>
      </c>
      <c r="E587" s="94" t="s">
        <v>713</v>
      </c>
      <c r="F587" s="93" t="s">
        <v>442</v>
      </c>
      <c r="G587" s="93" t="s">
        <v>314</v>
      </c>
      <c r="H587" s="93" t="s">
        <v>21</v>
      </c>
      <c r="I587" s="93" t="s">
        <v>255</v>
      </c>
      <c r="J587" s="93" t="s">
        <v>47</v>
      </c>
      <c r="K587" s="93"/>
      <c r="L587" s="95">
        <v>280</v>
      </c>
      <c r="M587" s="95">
        <f>L587*VLOOKUP(H587,dagsoorttabel1,2,FALSE)</f>
        <v>56</v>
      </c>
      <c r="N587" s="96">
        <f>prodnorm91</f>
        <v>0</v>
      </c>
      <c r="O587" s="37">
        <f>dagwerk91</f>
        <v>0</v>
      </c>
      <c r="P587" s="93" t="s">
        <v>105</v>
      </c>
      <c r="Q587" s="24">
        <f>uurtarief91</f>
        <v>0</v>
      </c>
      <c r="R587" s="95" t="e">
        <f>IF(ISBLANK(N587),0,M587/ROUND(N587,4))</f>
        <v>#DIV/0!</v>
      </c>
      <c r="S587" s="95" t="e">
        <f>IF(ISBLANK(N587),0,R587*ROUND(O587,2))</f>
        <v>#DIV/0!</v>
      </c>
      <c r="T587" s="24" t="e">
        <f>ROUND(Q587,2)*R587</f>
        <v>#DIV/0!</v>
      </c>
      <c r="U587" s="95" t="e">
        <f>R587*dagenperjaar1</f>
        <v>#DIV/0!</v>
      </c>
      <c r="V587" s="25" t="e">
        <f>U587*ROUND(Q587,2)</f>
        <v>#DIV/0!</v>
      </c>
    </row>
    <row r="588" spans="1:22" x14ac:dyDescent="0.2">
      <c r="A588" s="92" t="s">
        <v>700</v>
      </c>
      <c r="B588" s="93" t="s">
        <v>47</v>
      </c>
      <c r="C588" s="93" t="s">
        <v>394</v>
      </c>
      <c r="D588" s="93" t="s">
        <v>424</v>
      </c>
      <c r="E588" s="94" t="s">
        <v>714</v>
      </c>
      <c r="F588" s="93" t="s">
        <v>442</v>
      </c>
      <c r="G588" s="93" t="s">
        <v>314</v>
      </c>
      <c r="H588" s="93" t="s">
        <v>21</v>
      </c>
      <c r="I588" s="93" t="s">
        <v>255</v>
      </c>
      <c r="J588" s="93" t="s">
        <v>47</v>
      </c>
      <c r="K588" s="93"/>
      <c r="L588" s="95">
        <v>35</v>
      </c>
      <c r="M588" s="95">
        <f>L588*VLOOKUP(H588,dagsoorttabel1,2,FALSE)</f>
        <v>7</v>
      </c>
      <c r="N588" s="96">
        <f>prodnorm91</f>
        <v>0</v>
      </c>
      <c r="O588" s="37">
        <f>dagwerk91</f>
        <v>0</v>
      </c>
      <c r="P588" s="93" t="s">
        <v>105</v>
      </c>
      <c r="Q588" s="24">
        <f>uurtarief91</f>
        <v>0</v>
      </c>
      <c r="R588" s="95" t="e">
        <f>IF(ISBLANK(N588),0,M588/ROUND(N588,4))</f>
        <v>#DIV/0!</v>
      </c>
      <c r="S588" s="95" t="e">
        <f>IF(ISBLANK(N588),0,R588*ROUND(O588,2))</f>
        <v>#DIV/0!</v>
      </c>
      <c r="T588" s="24" t="e">
        <f>ROUND(Q588,2)*R588</f>
        <v>#DIV/0!</v>
      </c>
      <c r="U588" s="95" t="e">
        <f>R588*dagenperjaar1</f>
        <v>#DIV/0!</v>
      </c>
      <c r="V588" s="25" t="e">
        <f>U588*ROUND(Q588,2)</f>
        <v>#DIV/0!</v>
      </c>
    </row>
    <row r="589" spans="1:22" x14ac:dyDescent="0.2">
      <c r="A589" s="92" t="s">
        <v>700</v>
      </c>
      <c r="B589" s="93" t="s">
        <v>47</v>
      </c>
      <c r="C589" s="93" t="s">
        <v>394</v>
      </c>
      <c r="D589" s="93" t="s">
        <v>427</v>
      </c>
      <c r="E589" s="94" t="s">
        <v>423</v>
      </c>
      <c r="F589" s="93" t="s">
        <v>442</v>
      </c>
      <c r="G589" s="93" t="s">
        <v>342</v>
      </c>
      <c r="H589" s="93" t="s">
        <v>21</v>
      </c>
      <c r="I589" s="93" t="s">
        <v>255</v>
      </c>
      <c r="J589" s="93" t="s">
        <v>47</v>
      </c>
      <c r="K589" s="93"/>
      <c r="L589" s="95">
        <v>5</v>
      </c>
      <c r="M589" s="95">
        <f>L589*VLOOKUP(H589,dagsoorttabel1,2,FALSE)</f>
        <v>1</v>
      </c>
      <c r="N589" s="96">
        <f>prodnorm110</f>
        <v>0</v>
      </c>
      <c r="O589" s="37">
        <f>dagwerk110</f>
        <v>0</v>
      </c>
      <c r="P589" s="93" t="s">
        <v>105</v>
      </c>
      <c r="Q589" s="24">
        <f>uurtarief110</f>
        <v>0</v>
      </c>
      <c r="R589" s="95" t="e">
        <f>IF(ISBLANK(N589),0,M589/ROUND(N589,4))</f>
        <v>#DIV/0!</v>
      </c>
      <c r="S589" s="95" t="e">
        <f>IF(ISBLANK(N589),0,R589*ROUND(O589,2))</f>
        <v>#DIV/0!</v>
      </c>
      <c r="T589" s="24" t="e">
        <f>ROUND(Q589,2)*R589</f>
        <v>#DIV/0!</v>
      </c>
      <c r="U589" s="95" t="e">
        <f>R589*dagenperjaar1</f>
        <v>#DIV/0!</v>
      </c>
      <c r="V589" s="25" t="e">
        <f>U589*ROUND(Q589,2)</f>
        <v>#DIV/0!</v>
      </c>
    </row>
    <row r="590" spans="1:22" x14ac:dyDescent="0.2">
      <c r="A590" s="92" t="s">
        <v>700</v>
      </c>
      <c r="B590" s="93" t="s">
        <v>47</v>
      </c>
      <c r="C590" s="93" t="s">
        <v>394</v>
      </c>
      <c r="D590" s="93" t="s">
        <v>429</v>
      </c>
      <c r="E590" s="94" t="s">
        <v>715</v>
      </c>
      <c r="F590" s="93" t="s">
        <v>442</v>
      </c>
      <c r="G590" s="93" t="s">
        <v>328</v>
      </c>
      <c r="H590" s="93" t="s">
        <v>21</v>
      </c>
      <c r="I590" s="93" t="s">
        <v>255</v>
      </c>
      <c r="J590" s="93" t="s">
        <v>47</v>
      </c>
      <c r="K590" s="93"/>
      <c r="L590" s="95">
        <v>150</v>
      </c>
      <c r="M590" s="95">
        <f>L590*VLOOKUP(H590,dagsoorttabel1,2,FALSE)</f>
        <v>30</v>
      </c>
      <c r="N590" s="96">
        <f>prodnorm100</f>
        <v>0</v>
      </c>
      <c r="O590" s="37">
        <f>dagwerk100</f>
        <v>0</v>
      </c>
      <c r="P590" s="93" t="s">
        <v>105</v>
      </c>
      <c r="Q590" s="24">
        <f>uurtarief100</f>
        <v>0</v>
      </c>
      <c r="R590" s="95" t="e">
        <f>IF(ISBLANK(N590),0,M590/ROUND(N590,4))</f>
        <v>#DIV/0!</v>
      </c>
      <c r="S590" s="95" t="e">
        <f>IF(ISBLANK(N590),0,R590*ROUND(O590,2))</f>
        <v>#DIV/0!</v>
      </c>
      <c r="T590" s="24" t="e">
        <f>ROUND(Q590,2)*R590</f>
        <v>#DIV/0!</v>
      </c>
      <c r="U590" s="95" t="e">
        <f>R590*dagenperjaar1</f>
        <v>#DIV/0!</v>
      </c>
      <c r="V590" s="25" t="e">
        <f>U590*ROUND(Q590,2)</f>
        <v>#DIV/0!</v>
      </c>
    </row>
    <row r="591" spans="1:22" x14ac:dyDescent="0.2">
      <c r="A591" s="92" t="s">
        <v>700</v>
      </c>
      <c r="B591" s="93" t="s">
        <v>47</v>
      </c>
      <c r="C591" s="93" t="s">
        <v>394</v>
      </c>
      <c r="D591" s="93" t="s">
        <v>434</v>
      </c>
      <c r="E591" s="94" t="s">
        <v>716</v>
      </c>
      <c r="F591" s="93" t="s">
        <v>442</v>
      </c>
      <c r="G591" s="93" t="s">
        <v>330</v>
      </c>
      <c r="H591" s="93" t="s">
        <v>21</v>
      </c>
      <c r="I591" s="93" t="s">
        <v>255</v>
      </c>
      <c r="J591" s="93" t="s">
        <v>47</v>
      </c>
      <c r="K591" s="93"/>
      <c r="L591" s="95">
        <v>6</v>
      </c>
      <c r="M591" s="95">
        <f>L591*VLOOKUP(H591,dagsoorttabel1,2,FALSE)</f>
        <v>1.2000000000000002</v>
      </c>
      <c r="N591" s="96">
        <f>prodnorm103</f>
        <v>0</v>
      </c>
      <c r="O591" s="37">
        <f>dagwerk103</f>
        <v>0</v>
      </c>
      <c r="P591" s="93" t="s">
        <v>105</v>
      </c>
      <c r="Q591" s="24">
        <f>uurtarief103</f>
        <v>0</v>
      </c>
      <c r="R591" s="95" t="e">
        <f>IF(ISBLANK(N591),0,M591/ROUND(N591,4))</f>
        <v>#DIV/0!</v>
      </c>
      <c r="S591" s="95" t="e">
        <f>IF(ISBLANK(N591),0,R591*ROUND(O591,2))</f>
        <v>#DIV/0!</v>
      </c>
      <c r="T591" s="24" t="e">
        <f>ROUND(Q591,2)*R591</f>
        <v>#DIV/0!</v>
      </c>
      <c r="U591" s="95" t="e">
        <f>R591*dagenperjaar1</f>
        <v>#DIV/0!</v>
      </c>
      <c r="V591" s="25" t="e">
        <f>U591*ROUND(Q591,2)</f>
        <v>#DIV/0!</v>
      </c>
    </row>
    <row r="592" spans="1:22" x14ac:dyDescent="0.2">
      <c r="A592" s="92" t="s">
        <v>700</v>
      </c>
      <c r="B592" s="93" t="s">
        <v>47</v>
      </c>
      <c r="C592" s="93" t="s">
        <v>394</v>
      </c>
      <c r="D592" s="93" t="s">
        <v>448</v>
      </c>
      <c r="E592" s="94" t="s">
        <v>717</v>
      </c>
      <c r="F592" s="93" t="s">
        <v>442</v>
      </c>
      <c r="G592" s="93" t="s">
        <v>342</v>
      </c>
      <c r="H592" s="93" t="s">
        <v>21</v>
      </c>
      <c r="I592" s="93" t="s">
        <v>255</v>
      </c>
      <c r="J592" s="93" t="s">
        <v>47</v>
      </c>
      <c r="K592" s="93"/>
      <c r="L592" s="95">
        <v>6</v>
      </c>
      <c r="M592" s="95">
        <f>L592*VLOOKUP(H592,dagsoorttabel1,2,FALSE)</f>
        <v>1.2000000000000002</v>
      </c>
      <c r="N592" s="96">
        <f>prodnorm110</f>
        <v>0</v>
      </c>
      <c r="O592" s="37">
        <f>dagwerk110</f>
        <v>0</v>
      </c>
      <c r="P592" s="93" t="s">
        <v>105</v>
      </c>
      <c r="Q592" s="24">
        <f>uurtarief110</f>
        <v>0</v>
      </c>
      <c r="R592" s="95" t="e">
        <f>IF(ISBLANK(N592),0,M592/ROUND(N592,4))</f>
        <v>#DIV/0!</v>
      </c>
      <c r="S592" s="95" t="e">
        <f>IF(ISBLANK(N592),0,R592*ROUND(O592,2))</f>
        <v>#DIV/0!</v>
      </c>
      <c r="T592" s="24" t="e">
        <f>ROUND(Q592,2)*R592</f>
        <v>#DIV/0!</v>
      </c>
      <c r="U592" s="95" t="e">
        <f>R592*dagenperjaar1</f>
        <v>#DIV/0!</v>
      </c>
      <c r="V592" s="25" t="e">
        <f>U592*ROUND(Q592,2)</f>
        <v>#DIV/0!</v>
      </c>
    </row>
    <row r="593" spans="1:22" x14ac:dyDescent="0.2">
      <c r="A593" s="92" t="s">
        <v>700</v>
      </c>
      <c r="B593" s="93" t="s">
        <v>47</v>
      </c>
      <c r="C593" s="93" t="s">
        <v>394</v>
      </c>
      <c r="D593" s="93" t="s">
        <v>449</v>
      </c>
      <c r="E593" s="94" t="s">
        <v>718</v>
      </c>
      <c r="F593" s="93" t="s">
        <v>442</v>
      </c>
      <c r="G593" s="93" t="s">
        <v>322</v>
      </c>
      <c r="H593" s="93" t="s">
        <v>19</v>
      </c>
      <c r="I593" s="93" t="s">
        <v>255</v>
      </c>
      <c r="J593" s="93" t="s">
        <v>47</v>
      </c>
      <c r="K593" s="93"/>
      <c r="L593" s="95">
        <v>10</v>
      </c>
      <c r="M593" s="95">
        <f>L593*VLOOKUP(H593,dagsoorttabel1,2,FALSE)</f>
        <v>2.0392156862745097</v>
      </c>
      <c r="N593" s="96">
        <f>prodnorm97</f>
        <v>0</v>
      </c>
      <c r="O593" s="37">
        <f>dagwerk97</f>
        <v>0</v>
      </c>
      <c r="P593" s="93" t="s">
        <v>105</v>
      </c>
      <c r="Q593" s="24">
        <f>uurtarief97</f>
        <v>0</v>
      </c>
      <c r="R593" s="95" t="e">
        <f>IF(ISBLANK(N593),0,M593/ROUND(N593,4))</f>
        <v>#DIV/0!</v>
      </c>
      <c r="S593" s="95" t="e">
        <f>IF(ISBLANK(N593),0,R593*ROUND(O593,2))</f>
        <v>#DIV/0!</v>
      </c>
      <c r="T593" s="24" t="e">
        <f>ROUND(Q593,2)*R593</f>
        <v>#DIV/0!</v>
      </c>
      <c r="U593" s="95" t="e">
        <f>R593*dagenperjaar1</f>
        <v>#DIV/0!</v>
      </c>
      <c r="V593" s="25" t="e">
        <f>U593*ROUND(Q593,2)</f>
        <v>#DIV/0!</v>
      </c>
    </row>
    <row r="594" spans="1:22" ht="25.2" x14ac:dyDescent="0.2">
      <c r="A594" s="92" t="s">
        <v>700</v>
      </c>
      <c r="B594" s="93" t="s">
        <v>47</v>
      </c>
      <c r="C594" s="93" t="s">
        <v>394</v>
      </c>
      <c r="D594" s="93" t="s">
        <v>450</v>
      </c>
      <c r="E594" s="94" t="s">
        <v>719</v>
      </c>
      <c r="F594" s="93" t="s">
        <v>442</v>
      </c>
      <c r="G594" s="93" t="s">
        <v>330</v>
      </c>
      <c r="H594" s="93" t="s">
        <v>21</v>
      </c>
      <c r="I594" s="93" t="s">
        <v>255</v>
      </c>
      <c r="J594" s="93" t="s">
        <v>47</v>
      </c>
      <c r="K594" s="93"/>
      <c r="L594" s="95">
        <v>15</v>
      </c>
      <c r="M594" s="95">
        <f>L594*VLOOKUP(H594,dagsoorttabel1,2,FALSE)</f>
        <v>3</v>
      </c>
      <c r="N594" s="96">
        <f>prodnorm103</f>
        <v>0</v>
      </c>
      <c r="O594" s="37">
        <f>dagwerk103</f>
        <v>0</v>
      </c>
      <c r="P594" s="93" t="s">
        <v>105</v>
      </c>
      <c r="Q594" s="24">
        <f>uurtarief103</f>
        <v>0</v>
      </c>
      <c r="R594" s="95" t="e">
        <f>IF(ISBLANK(N594),0,M594/ROUND(N594,4))</f>
        <v>#DIV/0!</v>
      </c>
      <c r="S594" s="95" t="e">
        <f>IF(ISBLANK(N594),0,R594*ROUND(O594,2))</f>
        <v>#DIV/0!</v>
      </c>
      <c r="T594" s="24" t="e">
        <f>ROUND(Q594,2)*R594</f>
        <v>#DIV/0!</v>
      </c>
      <c r="U594" s="95" t="e">
        <f>R594*dagenperjaar1</f>
        <v>#DIV/0!</v>
      </c>
      <c r="V594" s="25" t="e">
        <f>U594*ROUND(Q594,2)</f>
        <v>#DIV/0!</v>
      </c>
    </row>
    <row r="595" spans="1:22" ht="25.2" x14ac:dyDescent="0.2">
      <c r="A595" s="92" t="s">
        <v>700</v>
      </c>
      <c r="B595" s="93" t="s">
        <v>47</v>
      </c>
      <c r="C595" s="93" t="s">
        <v>394</v>
      </c>
      <c r="D595" s="93" t="s">
        <v>451</v>
      </c>
      <c r="E595" s="94" t="s">
        <v>720</v>
      </c>
      <c r="F595" s="93" t="s">
        <v>442</v>
      </c>
      <c r="G595" s="93" t="s">
        <v>330</v>
      </c>
      <c r="H595" s="93" t="s">
        <v>21</v>
      </c>
      <c r="I595" s="93" t="s">
        <v>255</v>
      </c>
      <c r="J595" s="93" t="s">
        <v>47</v>
      </c>
      <c r="K595" s="93"/>
      <c r="L595" s="95">
        <v>10</v>
      </c>
      <c r="M595" s="95">
        <f>L595*VLOOKUP(H595,dagsoorttabel1,2,FALSE)</f>
        <v>2</v>
      </c>
      <c r="N595" s="96">
        <f>prodnorm103</f>
        <v>0</v>
      </c>
      <c r="O595" s="37">
        <f>dagwerk103</f>
        <v>0</v>
      </c>
      <c r="P595" s="93" t="s">
        <v>105</v>
      </c>
      <c r="Q595" s="24">
        <f>uurtarief103</f>
        <v>0</v>
      </c>
      <c r="R595" s="95" t="e">
        <f>IF(ISBLANK(N595),0,M595/ROUND(N595,4))</f>
        <v>#DIV/0!</v>
      </c>
      <c r="S595" s="95" t="e">
        <f>IF(ISBLANK(N595),0,R595*ROUND(O595,2))</f>
        <v>#DIV/0!</v>
      </c>
      <c r="T595" s="24" t="e">
        <f>ROUND(Q595,2)*R595</f>
        <v>#DIV/0!</v>
      </c>
      <c r="U595" s="95" t="e">
        <f>R595*dagenperjaar1</f>
        <v>#DIV/0!</v>
      </c>
      <c r="V595" s="25" t="e">
        <f>U595*ROUND(Q595,2)</f>
        <v>#DIV/0!</v>
      </c>
    </row>
    <row r="596" spans="1:22" ht="25.2" x14ac:dyDescent="0.2">
      <c r="A596" s="92" t="s">
        <v>700</v>
      </c>
      <c r="B596" s="93" t="s">
        <v>47</v>
      </c>
      <c r="C596" s="93" t="s">
        <v>394</v>
      </c>
      <c r="D596" s="93" t="s">
        <v>453</v>
      </c>
      <c r="E596" s="94" t="s">
        <v>721</v>
      </c>
      <c r="F596" s="93" t="s">
        <v>442</v>
      </c>
      <c r="G596" s="93" t="s">
        <v>346</v>
      </c>
      <c r="H596" s="93" t="s">
        <v>21</v>
      </c>
      <c r="I596" s="93" t="s">
        <v>255</v>
      </c>
      <c r="J596" s="93" t="s">
        <v>47</v>
      </c>
      <c r="K596" s="93"/>
      <c r="L596" s="95">
        <v>20</v>
      </c>
      <c r="M596" s="95">
        <f>L596*VLOOKUP(H596,dagsoorttabel1,2,FALSE)</f>
        <v>4</v>
      </c>
      <c r="N596" s="96">
        <f>prodnorm113</f>
        <v>0</v>
      </c>
      <c r="O596" s="37">
        <f>dagwerk113</f>
        <v>0</v>
      </c>
      <c r="P596" s="93" t="s">
        <v>105</v>
      </c>
      <c r="Q596" s="24">
        <f>uurtarief113</f>
        <v>0</v>
      </c>
      <c r="R596" s="95" t="e">
        <f>IF(ISBLANK(N596),0,M596/ROUND(N596,4))</f>
        <v>#DIV/0!</v>
      </c>
      <c r="S596" s="95" t="e">
        <f>IF(ISBLANK(N596),0,R596*ROUND(O596,2))</f>
        <v>#DIV/0!</v>
      </c>
      <c r="T596" s="24" t="e">
        <f>ROUND(Q596,2)*R596</f>
        <v>#DIV/0!</v>
      </c>
      <c r="U596" s="95" t="e">
        <f>R596*dagenperjaar1</f>
        <v>#DIV/0!</v>
      </c>
      <c r="V596" s="25" t="e">
        <f>U596*ROUND(Q596,2)</f>
        <v>#DIV/0!</v>
      </c>
    </row>
    <row r="597" spans="1:22" x14ac:dyDescent="0.2">
      <c r="A597" s="92" t="s">
        <v>700</v>
      </c>
      <c r="B597" s="93" t="s">
        <v>47</v>
      </c>
      <c r="C597" s="93" t="s">
        <v>394</v>
      </c>
      <c r="D597" s="93" t="s">
        <v>454</v>
      </c>
      <c r="E597" s="94" t="s">
        <v>722</v>
      </c>
      <c r="F597" s="93" t="s">
        <v>442</v>
      </c>
      <c r="G597" s="93" t="s">
        <v>330</v>
      </c>
      <c r="H597" s="93" t="s">
        <v>21</v>
      </c>
      <c r="I597" s="93" t="s">
        <v>255</v>
      </c>
      <c r="J597" s="93" t="s">
        <v>47</v>
      </c>
      <c r="K597" s="93"/>
      <c r="L597" s="95">
        <v>15</v>
      </c>
      <c r="M597" s="95">
        <f>L597*VLOOKUP(H597,dagsoorttabel1,2,FALSE)</f>
        <v>3</v>
      </c>
      <c r="N597" s="96">
        <f>prodnorm103</f>
        <v>0</v>
      </c>
      <c r="O597" s="37">
        <f>dagwerk103</f>
        <v>0</v>
      </c>
      <c r="P597" s="93" t="s">
        <v>105</v>
      </c>
      <c r="Q597" s="24">
        <f>uurtarief103</f>
        <v>0</v>
      </c>
      <c r="R597" s="95" t="e">
        <f>IF(ISBLANK(N597),0,M597/ROUND(N597,4))</f>
        <v>#DIV/0!</v>
      </c>
      <c r="S597" s="95" t="e">
        <f>IF(ISBLANK(N597),0,R597*ROUND(O597,2))</f>
        <v>#DIV/0!</v>
      </c>
      <c r="T597" s="24" t="e">
        <f>ROUND(Q597,2)*R597</f>
        <v>#DIV/0!</v>
      </c>
      <c r="U597" s="95" t="e">
        <f>R597*dagenperjaar1</f>
        <v>#DIV/0!</v>
      </c>
      <c r="V597" s="25" t="e">
        <f>U597*ROUND(Q597,2)</f>
        <v>#DIV/0!</v>
      </c>
    </row>
    <row r="598" spans="1:22" ht="25.2" x14ac:dyDescent="0.2">
      <c r="A598" s="92" t="s">
        <v>700</v>
      </c>
      <c r="B598" s="93" t="s">
        <v>47</v>
      </c>
      <c r="C598" s="93" t="s">
        <v>394</v>
      </c>
      <c r="D598" s="93" t="s">
        <v>457</v>
      </c>
      <c r="E598" s="94" t="s">
        <v>723</v>
      </c>
      <c r="F598" s="93" t="s">
        <v>442</v>
      </c>
      <c r="G598" s="93" t="s">
        <v>346</v>
      </c>
      <c r="H598" s="93" t="s">
        <v>21</v>
      </c>
      <c r="I598" s="93" t="s">
        <v>255</v>
      </c>
      <c r="J598" s="93" t="s">
        <v>47</v>
      </c>
      <c r="K598" s="93"/>
      <c r="L598" s="95">
        <v>45</v>
      </c>
      <c r="M598" s="95">
        <f>L598*VLOOKUP(H598,dagsoorttabel1,2,FALSE)</f>
        <v>9</v>
      </c>
      <c r="N598" s="96">
        <f>prodnorm113</f>
        <v>0</v>
      </c>
      <c r="O598" s="37">
        <f>dagwerk113</f>
        <v>0</v>
      </c>
      <c r="P598" s="93" t="s">
        <v>105</v>
      </c>
      <c r="Q598" s="24">
        <f>uurtarief113</f>
        <v>0</v>
      </c>
      <c r="R598" s="95" t="e">
        <f>IF(ISBLANK(N598),0,M598/ROUND(N598,4))</f>
        <v>#DIV/0!</v>
      </c>
      <c r="S598" s="95" t="e">
        <f>IF(ISBLANK(N598),0,R598*ROUND(O598,2))</f>
        <v>#DIV/0!</v>
      </c>
      <c r="T598" s="24" t="e">
        <f>ROUND(Q598,2)*R598</f>
        <v>#DIV/0!</v>
      </c>
      <c r="U598" s="95" t="e">
        <f>R598*dagenperjaar1</f>
        <v>#DIV/0!</v>
      </c>
      <c r="V598" s="25" t="e">
        <f>U598*ROUND(Q598,2)</f>
        <v>#DIV/0!</v>
      </c>
    </row>
    <row r="599" spans="1:22" x14ac:dyDescent="0.2">
      <c r="A599" s="92" t="s">
        <v>700</v>
      </c>
      <c r="B599" s="93" t="s">
        <v>47</v>
      </c>
      <c r="C599" s="93" t="s">
        <v>394</v>
      </c>
      <c r="D599" s="93" t="s">
        <v>458</v>
      </c>
      <c r="E599" s="94" t="s">
        <v>525</v>
      </c>
      <c r="F599" s="93" t="s">
        <v>476</v>
      </c>
      <c r="G599" s="93" t="s">
        <v>274</v>
      </c>
      <c r="H599" s="93" t="s">
        <v>21</v>
      </c>
      <c r="I599" s="93" t="s">
        <v>255</v>
      </c>
      <c r="J599" s="93" t="s">
        <v>47</v>
      </c>
      <c r="K599" s="93"/>
      <c r="L599" s="95">
        <v>20</v>
      </c>
      <c r="M599" s="95">
        <f>L599*VLOOKUP(H599,dagsoorttabel1,2,FALSE)</f>
        <v>4</v>
      </c>
      <c r="N599" s="96">
        <f>prodnorm49</f>
        <v>0</v>
      </c>
      <c r="O599" s="37">
        <f>dagwerk49</f>
        <v>0</v>
      </c>
      <c r="P599" s="93" t="s">
        <v>105</v>
      </c>
      <c r="Q599" s="24">
        <f>uurtarief49</f>
        <v>0</v>
      </c>
      <c r="R599" s="95" t="e">
        <f>IF(ISBLANK(N599),0,M599/ROUND(N599,4))</f>
        <v>#DIV/0!</v>
      </c>
      <c r="S599" s="95" t="e">
        <f>IF(ISBLANK(N599),0,R599*ROUND(O599,2))</f>
        <v>#DIV/0!</v>
      </c>
      <c r="T599" s="24" t="e">
        <f>ROUND(Q599,2)*R599</f>
        <v>#DIV/0!</v>
      </c>
      <c r="U599" s="95" t="e">
        <f>R599*dagenperjaar1</f>
        <v>#DIV/0!</v>
      </c>
      <c r="V599" s="25" t="e">
        <f>U599*ROUND(Q599,2)</f>
        <v>#DIV/0!</v>
      </c>
    </row>
    <row r="600" spans="1:22" x14ac:dyDescent="0.2">
      <c r="A600" s="92" t="s">
        <v>700</v>
      </c>
      <c r="B600" s="93" t="s">
        <v>47</v>
      </c>
      <c r="C600" s="93" t="s">
        <v>394</v>
      </c>
      <c r="D600" s="93" t="s">
        <v>460</v>
      </c>
      <c r="E600" s="94" t="s">
        <v>724</v>
      </c>
      <c r="F600" s="93" t="s">
        <v>442</v>
      </c>
      <c r="G600" s="93" t="s">
        <v>314</v>
      </c>
      <c r="H600" s="93" t="s">
        <v>21</v>
      </c>
      <c r="I600" s="93" t="s">
        <v>255</v>
      </c>
      <c r="J600" s="93" t="s">
        <v>47</v>
      </c>
      <c r="K600" s="93"/>
      <c r="L600" s="95">
        <v>80</v>
      </c>
      <c r="M600" s="95">
        <f>L600*VLOOKUP(H600,dagsoorttabel1,2,FALSE)</f>
        <v>16</v>
      </c>
      <c r="N600" s="96">
        <f>prodnorm91</f>
        <v>0</v>
      </c>
      <c r="O600" s="37">
        <f>dagwerk91</f>
        <v>0</v>
      </c>
      <c r="P600" s="93" t="s">
        <v>105</v>
      </c>
      <c r="Q600" s="24">
        <f>uurtarief91</f>
        <v>0</v>
      </c>
      <c r="R600" s="95" t="e">
        <f>IF(ISBLANK(N600),0,M600/ROUND(N600,4))</f>
        <v>#DIV/0!</v>
      </c>
      <c r="S600" s="95" t="e">
        <f>IF(ISBLANK(N600),0,R600*ROUND(O600,2))</f>
        <v>#DIV/0!</v>
      </c>
      <c r="T600" s="24" t="e">
        <f>ROUND(Q600,2)*R600</f>
        <v>#DIV/0!</v>
      </c>
      <c r="U600" s="95" t="e">
        <f>R600*dagenperjaar1</f>
        <v>#DIV/0!</v>
      </c>
      <c r="V600" s="25" t="e">
        <f>U600*ROUND(Q600,2)</f>
        <v>#DIV/0!</v>
      </c>
    </row>
    <row r="601" spans="1:22" x14ac:dyDescent="0.2">
      <c r="A601" s="92" t="s">
        <v>700</v>
      </c>
      <c r="B601" s="93" t="s">
        <v>47</v>
      </c>
      <c r="C601" s="93" t="s">
        <v>394</v>
      </c>
      <c r="D601" s="93" t="s">
        <v>461</v>
      </c>
      <c r="E601" s="94" t="s">
        <v>725</v>
      </c>
      <c r="F601" s="93" t="s">
        <v>726</v>
      </c>
      <c r="G601" s="93" t="s">
        <v>308</v>
      </c>
      <c r="H601" s="93" t="s">
        <v>24</v>
      </c>
      <c r="I601" s="93" t="s">
        <v>255</v>
      </c>
      <c r="J601" s="93" t="s">
        <v>47</v>
      </c>
      <c r="K601" s="93"/>
      <c r="L601" s="95">
        <v>8</v>
      </c>
      <c r="M601" s="95">
        <f>L601*VLOOKUP(H601,dagsoorttabel1,2,FALSE)</f>
        <v>0.37647058823529411</v>
      </c>
      <c r="N601" s="96">
        <f>prodnorm80</f>
        <v>0</v>
      </c>
      <c r="O601" s="37">
        <f>dagwerk80</f>
        <v>0</v>
      </c>
      <c r="P601" s="93" t="s">
        <v>105</v>
      </c>
      <c r="Q601" s="24">
        <f>uurtarief80</f>
        <v>0</v>
      </c>
      <c r="R601" s="95" t="e">
        <f>IF(ISBLANK(N601),0,M601/ROUND(N601,4))</f>
        <v>#DIV/0!</v>
      </c>
      <c r="S601" s="95" t="e">
        <f>IF(ISBLANK(N601),0,R601*ROUND(O601,2))</f>
        <v>#DIV/0!</v>
      </c>
      <c r="T601" s="24" t="e">
        <f>ROUND(Q601,2)*R601</f>
        <v>#DIV/0!</v>
      </c>
      <c r="U601" s="95" t="e">
        <f>R601*dagenperjaar1</f>
        <v>#DIV/0!</v>
      </c>
      <c r="V601" s="25" t="e">
        <f>U601*ROUND(Q601,2)</f>
        <v>#DIV/0!</v>
      </c>
    </row>
    <row r="602" spans="1:22" x14ac:dyDescent="0.2">
      <c r="A602" s="92" t="s">
        <v>700</v>
      </c>
      <c r="B602" s="93" t="s">
        <v>47</v>
      </c>
      <c r="C602" s="93" t="s">
        <v>394</v>
      </c>
      <c r="D602" s="93" t="s">
        <v>462</v>
      </c>
      <c r="E602" s="94" t="s">
        <v>727</v>
      </c>
      <c r="F602" s="93" t="s">
        <v>442</v>
      </c>
      <c r="G602" s="93" t="s">
        <v>259</v>
      </c>
      <c r="H602" s="93" t="s">
        <v>24</v>
      </c>
      <c r="I602" s="93" t="s">
        <v>255</v>
      </c>
      <c r="J602" s="93" t="s">
        <v>47</v>
      </c>
      <c r="K602" s="93"/>
      <c r="L602" s="95">
        <v>10</v>
      </c>
      <c r="M602" s="95">
        <f>L602*VLOOKUP(H602,dagsoorttabel1,2,FALSE)</f>
        <v>0.47058823529411764</v>
      </c>
      <c r="N602" s="96">
        <f>prodnorm30</f>
        <v>0</v>
      </c>
      <c r="O602" s="37">
        <f>dagwerk30</f>
        <v>0</v>
      </c>
      <c r="P602" s="93" t="s">
        <v>105</v>
      </c>
      <c r="Q602" s="24">
        <f>uurtarief30</f>
        <v>0</v>
      </c>
      <c r="R602" s="95" t="e">
        <f>IF(ISBLANK(N602),0,M602/ROUND(N602,4))</f>
        <v>#DIV/0!</v>
      </c>
      <c r="S602" s="95" t="e">
        <f>IF(ISBLANK(N602),0,R602*ROUND(O602,2))</f>
        <v>#DIV/0!</v>
      </c>
      <c r="T602" s="24" t="e">
        <f>ROUND(Q602,2)*R602</f>
        <v>#DIV/0!</v>
      </c>
      <c r="U602" s="95" t="e">
        <f>R602*dagenperjaar1</f>
        <v>#DIV/0!</v>
      </c>
      <c r="V602" s="25" t="e">
        <f>U602*ROUND(Q602,2)</f>
        <v>#DIV/0!</v>
      </c>
    </row>
    <row r="603" spans="1:22" x14ac:dyDescent="0.2">
      <c r="A603" s="92" t="s">
        <v>700</v>
      </c>
      <c r="B603" s="93" t="s">
        <v>47</v>
      </c>
      <c r="C603" s="93" t="s">
        <v>394</v>
      </c>
      <c r="D603" s="93" t="s">
        <v>464</v>
      </c>
      <c r="E603" s="94" t="s">
        <v>728</v>
      </c>
      <c r="F603" s="93" t="s">
        <v>442</v>
      </c>
      <c r="G603" s="93" t="s">
        <v>304</v>
      </c>
      <c r="H603" s="93" t="s">
        <v>21</v>
      </c>
      <c r="I603" s="93" t="s">
        <v>255</v>
      </c>
      <c r="J603" s="93" t="s">
        <v>47</v>
      </c>
      <c r="K603" s="93"/>
      <c r="L603" s="95">
        <v>5</v>
      </c>
      <c r="M603" s="95">
        <f>L603*VLOOKUP(H603,dagsoorttabel1,2,FALSE)</f>
        <v>1</v>
      </c>
      <c r="N603" s="96">
        <f>prodnorm76</f>
        <v>0</v>
      </c>
      <c r="O603" s="37">
        <f>dagwerk76</f>
        <v>0</v>
      </c>
      <c r="P603" s="93" t="s">
        <v>105</v>
      </c>
      <c r="Q603" s="24">
        <f>uurtarief76</f>
        <v>0</v>
      </c>
      <c r="R603" s="95" t="e">
        <f>IF(ISBLANK(N603),0,M603/ROUND(N603,4))</f>
        <v>#DIV/0!</v>
      </c>
      <c r="S603" s="95" t="e">
        <f>IF(ISBLANK(N603),0,R603*ROUND(O603,2))</f>
        <v>#DIV/0!</v>
      </c>
      <c r="T603" s="24" t="e">
        <f>ROUND(Q603,2)*R603</f>
        <v>#DIV/0!</v>
      </c>
      <c r="U603" s="95" t="e">
        <f>R603*dagenperjaar1</f>
        <v>#DIV/0!</v>
      </c>
      <c r="V603" s="25" t="e">
        <f>U603*ROUND(Q603,2)</f>
        <v>#DIV/0!</v>
      </c>
    </row>
    <row r="604" spans="1:22" x14ac:dyDescent="0.2">
      <c r="A604" s="92" t="s">
        <v>700</v>
      </c>
      <c r="B604" s="93" t="s">
        <v>47</v>
      </c>
      <c r="C604" s="93" t="s">
        <v>394</v>
      </c>
      <c r="D604" s="93" t="s">
        <v>466</v>
      </c>
      <c r="E604" s="94" t="s">
        <v>729</v>
      </c>
      <c r="F604" s="93" t="s">
        <v>442</v>
      </c>
      <c r="G604" s="93" t="s">
        <v>304</v>
      </c>
      <c r="H604" s="93" t="s">
        <v>21</v>
      </c>
      <c r="I604" s="93" t="s">
        <v>255</v>
      </c>
      <c r="J604" s="93" t="s">
        <v>47</v>
      </c>
      <c r="K604" s="93"/>
      <c r="L604" s="95">
        <v>5</v>
      </c>
      <c r="M604" s="95">
        <f>L604*VLOOKUP(H604,dagsoorttabel1,2,FALSE)</f>
        <v>1</v>
      </c>
      <c r="N604" s="96">
        <f>prodnorm76</f>
        <v>0</v>
      </c>
      <c r="O604" s="37">
        <f>dagwerk76</f>
        <v>0</v>
      </c>
      <c r="P604" s="93" t="s">
        <v>105</v>
      </c>
      <c r="Q604" s="24">
        <f>uurtarief76</f>
        <v>0</v>
      </c>
      <c r="R604" s="95" t="e">
        <f>IF(ISBLANK(N604),0,M604/ROUND(N604,4))</f>
        <v>#DIV/0!</v>
      </c>
      <c r="S604" s="95" t="e">
        <f>IF(ISBLANK(N604),0,R604*ROUND(O604,2))</f>
        <v>#DIV/0!</v>
      </c>
      <c r="T604" s="24" t="e">
        <f>ROUND(Q604,2)*R604</f>
        <v>#DIV/0!</v>
      </c>
      <c r="U604" s="95" t="e">
        <f>R604*dagenperjaar1</f>
        <v>#DIV/0!</v>
      </c>
      <c r="V604" s="25" t="e">
        <f>U604*ROUND(Q604,2)</f>
        <v>#DIV/0!</v>
      </c>
    </row>
    <row r="605" spans="1:22" x14ac:dyDescent="0.2">
      <c r="A605" s="92" t="s">
        <v>700</v>
      </c>
      <c r="B605" s="93" t="s">
        <v>47</v>
      </c>
      <c r="C605" s="93" t="s">
        <v>394</v>
      </c>
      <c r="D605" s="93" t="s">
        <v>468</v>
      </c>
      <c r="E605" s="94" t="s">
        <v>730</v>
      </c>
      <c r="F605" s="93" t="s">
        <v>442</v>
      </c>
      <c r="G605" s="93" t="s">
        <v>304</v>
      </c>
      <c r="H605" s="93" t="s">
        <v>21</v>
      </c>
      <c r="I605" s="93" t="s">
        <v>255</v>
      </c>
      <c r="J605" s="93" t="s">
        <v>47</v>
      </c>
      <c r="K605" s="93"/>
      <c r="L605" s="95">
        <v>5</v>
      </c>
      <c r="M605" s="95">
        <f>L605*VLOOKUP(H605,dagsoorttabel1,2,FALSE)</f>
        <v>1</v>
      </c>
      <c r="N605" s="96">
        <f>prodnorm76</f>
        <v>0</v>
      </c>
      <c r="O605" s="37">
        <f>dagwerk76</f>
        <v>0</v>
      </c>
      <c r="P605" s="93" t="s">
        <v>105</v>
      </c>
      <c r="Q605" s="24">
        <f>uurtarief76</f>
        <v>0</v>
      </c>
      <c r="R605" s="95" t="e">
        <f>IF(ISBLANK(N605),0,M605/ROUND(N605,4))</f>
        <v>#DIV/0!</v>
      </c>
      <c r="S605" s="95" t="e">
        <f>IF(ISBLANK(N605),0,R605*ROUND(O605,2))</f>
        <v>#DIV/0!</v>
      </c>
      <c r="T605" s="24" t="e">
        <f>ROUND(Q605,2)*R605</f>
        <v>#DIV/0!</v>
      </c>
      <c r="U605" s="95" t="e">
        <f>R605*dagenperjaar1</f>
        <v>#DIV/0!</v>
      </c>
      <c r="V605" s="25" t="e">
        <f>U605*ROUND(Q605,2)</f>
        <v>#DIV/0!</v>
      </c>
    </row>
    <row r="606" spans="1:22" x14ac:dyDescent="0.2">
      <c r="A606" s="92" t="s">
        <v>700</v>
      </c>
      <c r="B606" s="93" t="s">
        <v>47</v>
      </c>
      <c r="C606" s="93" t="s">
        <v>394</v>
      </c>
      <c r="D606" s="93" t="s">
        <v>731</v>
      </c>
      <c r="E606" s="94" t="s">
        <v>732</v>
      </c>
      <c r="F606" s="93" t="s">
        <v>442</v>
      </c>
      <c r="G606" s="93" t="s">
        <v>300</v>
      </c>
      <c r="H606" s="93" t="s">
        <v>21</v>
      </c>
      <c r="I606" s="93" t="s">
        <v>255</v>
      </c>
      <c r="J606" s="93" t="s">
        <v>47</v>
      </c>
      <c r="K606" s="93"/>
      <c r="L606" s="95">
        <v>50</v>
      </c>
      <c r="M606" s="95">
        <f>L606*VLOOKUP(H606,dagsoorttabel1,2,FALSE)</f>
        <v>10</v>
      </c>
      <c r="N606" s="96">
        <f>prodnorm72</f>
        <v>0</v>
      </c>
      <c r="O606" s="37">
        <f>dagwerk72</f>
        <v>0</v>
      </c>
      <c r="P606" s="93" t="s">
        <v>105</v>
      </c>
      <c r="Q606" s="24">
        <f>uurtarief72</f>
        <v>0</v>
      </c>
      <c r="R606" s="95" t="e">
        <f>IF(ISBLANK(N606),0,M606/ROUND(N606,4))</f>
        <v>#DIV/0!</v>
      </c>
      <c r="S606" s="95" t="e">
        <f>IF(ISBLANK(N606),0,R606*ROUND(O606,2))</f>
        <v>#DIV/0!</v>
      </c>
      <c r="T606" s="24" t="e">
        <f>ROUND(Q606,2)*R606</f>
        <v>#DIV/0!</v>
      </c>
      <c r="U606" s="95" t="e">
        <f>R606*dagenperjaar1</f>
        <v>#DIV/0!</v>
      </c>
      <c r="V606" s="25" t="e">
        <f>U606*ROUND(Q606,2)</f>
        <v>#DIV/0!</v>
      </c>
    </row>
    <row r="607" spans="1:22" x14ac:dyDescent="0.2">
      <c r="A607" s="92" t="s">
        <v>700</v>
      </c>
      <c r="B607" s="93" t="s">
        <v>47</v>
      </c>
      <c r="C607" s="93" t="s">
        <v>394</v>
      </c>
      <c r="D607" s="93" t="s">
        <v>733</v>
      </c>
      <c r="E607" s="94" t="s">
        <v>732</v>
      </c>
      <c r="F607" s="93" t="s">
        <v>734</v>
      </c>
      <c r="G607" s="93" t="s">
        <v>300</v>
      </c>
      <c r="H607" s="93" t="s">
        <v>21</v>
      </c>
      <c r="I607" s="93" t="s">
        <v>255</v>
      </c>
      <c r="J607" s="93" t="s">
        <v>47</v>
      </c>
      <c r="K607" s="93"/>
      <c r="L607" s="95">
        <v>200</v>
      </c>
      <c r="M607" s="95">
        <f>L607*VLOOKUP(H607,dagsoorttabel1,2,FALSE)</f>
        <v>40</v>
      </c>
      <c r="N607" s="96">
        <f>prodnorm72</f>
        <v>0</v>
      </c>
      <c r="O607" s="37">
        <f>dagwerk72</f>
        <v>0</v>
      </c>
      <c r="P607" s="93" t="s">
        <v>105</v>
      </c>
      <c r="Q607" s="24">
        <f>uurtarief72</f>
        <v>0</v>
      </c>
      <c r="R607" s="95" t="e">
        <f>IF(ISBLANK(N607),0,M607/ROUND(N607,4))</f>
        <v>#DIV/0!</v>
      </c>
      <c r="S607" s="95" t="e">
        <f>IF(ISBLANK(N607),0,R607*ROUND(O607,2))</f>
        <v>#DIV/0!</v>
      </c>
      <c r="T607" s="24" t="e">
        <f>ROUND(Q607,2)*R607</f>
        <v>#DIV/0!</v>
      </c>
      <c r="U607" s="95" t="e">
        <f>R607*dagenperjaar1</f>
        <v>#DIV/0!</v>
      </c>
      <c r="V607" s="25" t="e">
        <f>U607*ROUND(Q607,2)</f>
        <v>#DIV/0!</v>
      </c>
    </row>
    <row r="608" spans="1:22" x14ac:dyDescent="0.2">
      <c r="A608" s="92" t="s">
        <v>700</v>
      </c>
      <c r="B608" s="93" t="s">
        <v>47</v>
      </c>
      <c r="C608" s="93" t="s">
        <v>394</v>
      </c>
      <c r="D608" s="93" t="s">
        <v>735</v>
      </c>
      <c r="E608" s="94" t="s">
        <v>459</v>
      </c>
      <c r="F608" s="93" t="s">
        <v>734</v>
      </c>
      <c r="G608" s="93" t="s">
        <v>314</v>
      </c>
      <c r="H608" s="93" t="s">
        <v>21</v>
      </c>
      <c r="I608" s="93" t="s">
        <v>255</v>
      </c>
      <c r="J608" s="93" t="s">
        <v>47</v>
      </c>
      <c r="K608" s="93"/>
      <c r="L608" s="95">
        <v>26</v>
      </c>
      <c r="M608" s="95">
        <f>L608*VLOOKUP(H608,dagsoorttabel1,2,FALSE)</f>
        <v>5.2</v>
      </c>
      <c r="N608" s="96">
        <f>prodnorm91</f>
        <v>0</v>
      </c>
      <c r="O608" s="37">
        <f>dagwerk91</f>
        <v>0</v>
      </c>
      <c r="P608" s="93" t="s">
        <v>105</v>
      </c>
      <c r="Q608" s="24">
        <f>uurtarief91</f>
        <v>0</v>
      </c>
      <c r="R608" s="95" t="e">
        <f>IF(ISBLANK(N608),0,M608/ROUND(N608,4))</f>
        <v>#DIV/0!</v>
      </c>
      <c r="S608" s="95" t="e">
        <f>IF(ISBLANK(N608),0,R608*ROUND(O608,2))</f>
        <v>#DIV/0!</v>
      </c>
      <c r="T608" s="24" t="e">
        <f>ROUND(Q608,2)*R608</f>
        <v>#DIV/0!</v>
      </c>
      <c r="U608" s="95" t="e">
        <f>R608*dagenperjaar1</f>
        <v>#DIV/0!</v>
      </c>
      <c r="V608" s="25" t="e">
        <f>U608*ROUND(Q608,2)</f>
        <v>#DIV/0!</v>
      </c>
    </row>
    <row r="609" spans="1:22" x14ac:dyDescent="0.2">
      <c r="A609" s="92" t="s">
        <v>700</v>
      </c>
      <c r="B609" s="93" t="s">
        <v>47</v>
      </c>
      <c r="C609" s="93" t="s">
        <v>394</v>
      </c>
      <c r="D609" s="93" t="s">
        <v>736</v>
      </c>
      <c r="E609" s="94" t="s">
        <v>737</v>
      </c>
      <c r="F609" s="93" t="s">
        <v>441</v>
      </c>
      <c r="G609" s="93" t="s">
        <v>300</v>
      </c>
      <c r="H609" s="93" t="s">
        <v>21</v>
      </c>
      <c r="I609" s="93" t="s">
        <v>255</v>
      </c>
      <c r="J609" s="93" t="s">
        <v>47</v>
      </c>
      <c r="K609" s="93"/>
      <c r="L609" s="95">
        <v>20</v>
      </c>
      <c r="M609" s="95">
        <f>L609*VLOOKUP(H609,dagsoorttabel1,2,FALSE)</f>
        <v>4</v>
      </c>
      <c r="N609" s="96">
        <f>prodnorm72</f>
        <v>0</v>
      </c>
      <c r="O609" s="37">
        <f>dagwerk72</f>
        <v>0</v>
      </c>
      <c r="P609" s="93" t="s">
        <v>105</v>
      </c>
      <c r="Q609" s="24">
        <f>uurtarief72</f>
        <v>0</v>
      </c>
      <c r="R609" s="95" t="e">
        <f>IF(ISBLANK(N609),0,M609/ROUND(N609,4))</f>
        <v>#DIV/0!</v>
      </c>
      <c r="S609" s="95" t="e">
        <f>IF(ISBLANK(N609),0,R609*ROUND(O609,2))</f>
        <v>#DIV/0!</v>
      </c>
      <c r="T609" s="24" t="e">
        <f>ROUND(Q609,2)*R609</f>
        <v>#DIV/0!</v>
      </c>
      <c r="U609" s="95" t="e">
        <f>R609*dagenperjaar1</f>
        <v>#DIV/0!</v>
      </c>
      <c r="V609" s="25" t="e">
        <f>U609*ROUND(Q609,2)</f>
        <v>#DIV/0!</v>
      </c>
    </row>
    <row r="610" spans="1:22" x14ac:dyDescent="0.2">
      <c r="A610" s="92" t="s">
        <v>700</v>
      </c>
      <c r="B610" s="93" t="s">
        <v>47</v>
      </c>
      <c r="C610" s="93" t="s">
        <v>394</v>
      </c>
      <c r="D610" s="93" t="s">
        <v>738</v>
      </c>
      <c r="E610" s="94" t="s">
        <v>739</v>
      </c>
      <c r="F610" s="93" t="s">
        <v>442</v>
      </c>
      <c r="G610" s="93" t="s">
        <v>330</v>
      </c>
      <c r="H610" s="93" t="s">
        <v>21</v>
      </c>
      <c r="I610" s="93" t="s">
        <v>255</v>
      </c>
      <c r="J610" s="93" t="s">
        <v>47</v>
      </c>
      <c r="K610" s="93"/>
      <c r="L610" s="95">
        <v>30</v>
      </c>
      <c r="M610" s="95">
        <f>L610*VLOOKUP(H610,dagsoorttabel1,2,FALSE)</f>
        <v>6</v>
      </c>
      <c r="N610" s="96">
        <f>prodnorm103</f>
        <v>0</v>
      </c>
      <c r="O610" s="37">
        <f>dagwerk103</f>
        <v>0</v>
      </c>
      <c r="P610" s="93" t="s">
        <v>105</v>
      </c>
      <c r="Q610" s="24">
        <f>uurtarief103</f>
        <v>0</v>
      </c>
      <c r="R610" s="95" t="e">
        <f>IF(ISBLANK(N610),0,M610/ROUND(N610,4))</f>
        <v>#DIV/0!</v>
      </c>
      <c r="S610" s="95" t="e">
        <f>IF(ISBLANK(N610),0,R610*ROUND(O610,2))</f>
        <v>#DIV/0!</v>
      </c>
      <c r="T610" s="24" t="e">
        <f>ROUND(Q610,2)*R610</f>
        <v>#DIV/0!</v>
      </c>
      <c r="U610" s="95" t="e">
        <f>R610*dagenperjaar1</f>
        <v>#DIV/0!</v>
      </c>
      <c r="V610" s="25" t="e">
        <f>U610*ROUND(Q610,2)</f>
        <v>#DIV/0!</v>
      </c>
    </row>
    <row r="611" spans="1:22" x14ac:dyDescent="0.2">
      <c r="A611" s="97" t="s">
        <v>700</v>
      </c>
      <c r="B611" s="98" t="s">
        <v>47</v>
      </c>
      <c r="C611" s="98" t="s">
        <v>394</v>
      </c>
      <c r="D611" s="98" t="s">
        <v>536</v>
      </c>
      <c r="E611" s="99" t="s">
        <v>740</v>
      </c>
      <c r="F611" s="98" t="s">
        <v>442</v>
      </c>
      <c r="G611" s="98" t="s">
        <v>328</v>
      </c>
      <c r="H611" s="98" t="s">
        <v>21</v>
      </c>
      <c r="I611" s="98" t="s">
        <v>255</v>
      </c>
      <c r="J611" s="98" t="s">
        <v>47</v>
      </c>
      <c r="K611" s="98"/>
      <c r="L611" s="100">
        <v>100</v>
      </c>
      <c r="M611" s="100">
        <f>L611*VLOOKUP(H611,dagsoorttabel1,2,FALSE)</f>
        <v>20</v>
      </c>
      <c r="N611" s="101">
        <f>prodnorm100</f>
        <v>0</v>
      </c>
      <c r="O611" s="102">
        <f>dagwerk100</f>
        <v>0</v>
      </c>
      <c r="P611" s="98" t="s">
        <v>105</v>
      </c>
      <c r="Q611" s="34">
        <f>uurtarief100</f>
        <v>0</v>
      </c>
      <c r="R611" s="100" t="e">
        <f>IF(ISBLANK(N611),0,M611/ROUND(N611,4))</f>
        <v>#DIV/0!</v>
      </c>
      <c r="S611" s="100" t="e">
        <f>IF(ISBLANK(N611),0,R611*ROUND(O611,2))</f>
        <v>#DIV/0!</v>
      </c>
      <c r="T611" s="34" t="e">
        <f>ROUND(Q611,2)*R611</f>
        <v>#DIV/0!</v>
      </c>
      <c r="U611" s="100" t="e">
        <f>R611*dagenperjaar1</f>
        <v>#DIV/0!</v>
      </c>
      <c r="V611" s="35" t="e">
        <f>U611*ROUND(Q611,2)</f>
        <v>#DIV/0!</v>
      </c>
    </row>
    <row r="612" spans="1:22" x14ac:dyDescent="0.2">
      <c r="A612" s="103" t="s">
        <v>436</v>
      </c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5" t="e">
        <f>IF(_xlfn.SINGLE(object14_urenjaar1)&gt;0,_xlfn.SINGLE(object14_prijsjaar1)/_xlfn.SINGLE(object14_urenjaar1),0)</f>
        <v>#DIV/0!</v>
      </c>
      <c r="R612" s="74" t="e">
        <f>SUM(R575:R611)</f>
        <v>#DIV/0!</v>
      </c>
      <c r="S612" s="74" t="e">
        <f>SUM(S575:S611)</f>
        <v>#DIV/0!</v>
      </c>
      <c r="T612" s="75" t="e">
        <f>SUM(T575:T611)</f>
        <v>#DIV/0!</v>
      </c>
      <c r="U612" s="74" t="e">
        <f>SUM(U575:U611)</f>
        <v>#DIV/0!</v>
      </c>
      <c r="V612" s="76" t="e">
        <f>SUM(V575:V611)</f>
        <v>#DIV/0!</v>
      </c>
    </row>
    <row r="613" spans="1:22" x14ac:dyDescent="0.2">
      <c r="A613" s="83" t="s">
        <v>741</v>
      </c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71"/>
    </row>
    <row r="614" spans="1:22" x14ac:dyDescent="0.2">
      <c r="A614" s="84" t="s">
        <v>742</v>
      </c>
      <c r="B614" s="85" t="s">
        <v>47</v>
      </c>
      <c r="C614" s="85" t="s">
        <v>394</v>
      </c>
      <c r="D614" s="85" t="s">
        <v>395</v>
      </c>
      <c r="E614" s="86" t="s">
        <v>743</v>
      </c>
      <c r="F614" s="85" t="s">
        <v>442</v>
      </c>
      <c r="G614" s="85" t="s">
        <v>300</v>
      </c>
      <c r="H614" s="85" t="s">
        <v>10</v>
      </c>
      <c r="I614" s="85" t="s">
        <v>255</v>
      </c>
      <c r="J614" s="85" t="s">
        <v>47</v>
      </c>
      <c r="K614" s="85"/>
      <c r="L614" s="87">
        <v>100</v>
      </c>
      <c r="M614" s="87">
        <f>L614*VLOOKUP(H614,dagsoorttabel1,2,FALSE)</f>
        <v>100</v>
      </c>
      <c r="N614" s="88">
        <f>prodnorm71</f>
        <v>0</v>
      </c>
      <c r="O614" s="89">
        <f>dagwerk71</f>
        <v>0</v>
      </c>
      <c r="P614" s="85" t="s">
        <v>105</v>
      </c>
      <c r="Q614" s="90">
        <f>uurtarief71</f>
        <v>0</v>
      </c>
      <c r="R614" s="87" t="e">
        <f>IF(ISBLANK(N614),0,M614/ROUND(N614,4))</f>
        <v>#DIV/0!</v>
      </c>
      <c r="S614" s="87" t="e">
        <f>IF(ISBLANK(N614),0,R614*ROUND(O614,2))</f>
        <v>#DIV/0!</v>
      </c>
      <c r="T614" s="90" t="e">
        <f>ROUND(Q614,2)*R614</f>
        <v>#DIV/0!</v>
      </c>
      <c r="U614" s="87" t="e">
        <f>R614*dagenperjaar1</f>
        <v>#DIV/0!</v>
      </c>
      <c r="V614" s="91" t="e">
        <f>U614*ROUND(Q614,2)</f>
        <v>#DIV/0!</v>
      </c>
    </row>
    <row r="615" spans="1:22" x14ac:dyDescent="0.2">
      <c r="A615" s="92" t="s">
        <v>742</v>
      </c>
      <c r="B615" s="93" t="s">
        <v>47</v>
      </c>
      <c r="C615" s="93" t="s">
        <v>394</v>
      </c>
      <c r="D615" s="93" t="s">
        <v>398</v>
      </c>
      <c r="E615" s="94" t="s">
        <v>649</v>
      </c>
      <c r="F615" s="93" t="s">
        <v>442</v>
      </c>
      <c r="G615" s="93" t="s">
        <v>294</v>
      </c>
      <c r="H615" s="93" t="s">
        <v>10</v>
      </c>
      <c r="I615" s="93" t="s">
        <v>255</v>
      </c>
      <c r="J615" s="93" t="s">
        <v>47</v>
      </c>
      <c r="K615" s="93"/>
      <c r="L615" s="95">
        <v>7.8</v>
      </c>
      <c r="M615" s="95">
        <f>L615*VLOOKUP(H615,dagsoorttabel1,2,FALSE)</f>
        <v>7.8</v>
      </c>
      <c r="N615" s="96">
        <f>prodnorm67</f>
        <v>0</v>
      </c>
      <c r="O615" s="37">
        <f>dagwerk67</f>
        <v>0</v>
      </c>
      <c r="P615" s="93" t="s">
        <v>105</v>
      </c>
      <c r="Q615" s="24">
        <f>uurtarief67</f>
        <v>0</v>
      </c>
      <c r="R615" s="95" t="e">
        <f>IF(ISBLANK(N615),0,M615/ROUND(N615,4))</f>
        <v>#DIV/0!</v>
      </c>
      <c r="S615" s="95" t="e">
        <f>IF(ISBLANK(N615),0,R615*ROUND(O615,2))</f>
        <v>#DIV/0!</v>
      </c>
      <c r="T615" s="24" t="e">
        <f>ROUND(Q615,2)*R615</f>
        <v>#DIV/0!</v>
      </c>
      <c r="U615" s="95" t="e">
        <f>R615*dagenperjaar1</f>
        <v>#DIV/0!</v>
      </c>
      <c r="V615" s="25" t="e">
        <f>U615*ROUND(Q615,2)</f>
        <v>#DIV/0!</v>
      </c>
    </row>
    <row r="616" spans="1:22" x14ac:dyDescent="0.2">
      <c r="A616" s="92" t="s">
        <v>742</v>
      </c>
      <c r="B616" s="93" t="s">
        <v>47</v>
      </c>
      <c r="C616" s="93" t="s">
        <v>394</v>
      </c>
      <c r="D616" s="93" t="s">
        <v>400</v>
      </c>
      <c r="E616" s="94" t="s">
        <v>649</v>
      </c>
      <c r="F616" s="93" t="s">
        <v>442</v>
      </c>
      <c r="G616" s="93" t="s">
        <v>294</v>
      </c>
      <c r="H616" s="93" t="s">
        <v>10</v>
      </c>
      <c r="I616" s="93" t="s">
        <v>255</v>
      </c>
      <c r="J616" s="93" t="s">
        <v>47</v>
      </c>
      <c r="K616" s="93"/>
      <c r="L616" s="95">
        <v>5.2</v>
      </c>
      <c r="M616" s="95">
        <f>L616*VLOOKUP(H616,dagsoorttabel1,2,FALSE)</f>
        <v>5.2</v>
      </c>
      <c r="N616" s="96">
        <f>prodnorm67</f>
        <v>0</v>
      </c>
      <c r="O616" s="37">
        <f>dagwerk67</f>
        <v>0</v>
      </c>
      <c r="P616" s="93" t="s">
        <v>105</v>
      </c>
      <c r="Q616" s="24">
        <f>uurtarief67</f>
        <v>0</v>
      </c>
      <c r="R616" s="95" t="e">
        <f>IF(ISBLANK(N616),0,M616/ROUND(N616,4))</f>
        <v>#DIV/0!</v>
      </c>
      <c r="S616" s="95" t="e">
        <f>IF(ISBLANK(N616),0,R616*ROUND(O616,2))</f>
        <v>#DIV/0!</v>
      </c>
      <c r="T616" s="24" t="e">
        <f>ROUND(Q616,2)*R616</f>
        <v>#DIV/0!</v>
      </c>
      <c r="U616" s="95" t="e">
        <f>R616*dagenperjaar1</f>
        <v>#DIV/0!</v>
      </c>
      <c r="V616" s="25" t="e">
        <f>U616*ROUND(Q616,2)</f>
        <v>#DIV/0!</v>
      </c>
    </row>
    <row r="617" spans="1:22" x14ac:dyDescent="0.2">
      <c r="A617" s="92" t="s">
        <v>742</v>
      </c>
      <c r="B617" s="93" t="s">
        <v>47</v>
      </c>
      <c r="C617" s="93" t="s">
        <v>394</v>
      </c>
      <c r="D617" s="93" t="s">
        <v>402</v>
      </c>
      <c r="E617" s="94" t="s">
        <v>744</v>
      </c>
      <c r="F617" s="93" t="s">
        <v>442</v>
      </c>
      <c r="G617" s="93" t="s">
        <v>284</v>
      </c>
      <c r="H617" s="93" t="s">
        <v>10</v>
      </c>
      <c r="I617" s="93" t="s">
        <v>255</v>
      </c>
      <c r="J617" s="93" t="s">
        <v>47</v>
      </c>
      <c r="K617" s="93"/>
      <c r="L617" s="95">
        <v>12.1</v>
      </c>
      <c r="M617" s="95">
        <f>L617*VLOOKUP(H617,dagsoorttabel1,2,FALSE)</f>
        <v>12.1</v>
      </c>
      <c r="N617" s="96">
        <f>prodnorm59</f>
        <v>0</v>
      </c>
      <c r="O617" s="37">
        <f>dagwerk59</f>
        <v>0</v>
      </c>
      <c r="P617" s="93" t="s">
        <v>105</v>
      </c>
      <c r="Q617" s="24">
        <f>uurtarief59</f>
        <v>0</v>
      </c>
      <c r="R617" s="95" t="e">
        <f>IF(ISBLANK(N617),0,M617/ROUND(N617,4))</f>
        <v>#DIV/0!</v>
      </c>
      <c r="S617" s="95" t="e">
        <f>IF(ISBLANK(N617),0,R617*ROUND(O617,2))</f>
        <v>#DIV/0!</v>
      </c>
      <c r="T617" s="24" t="e">
        <f>ROUND(Q617,2)*R617</f>
        <v>#DIV/0!</v>
      </c>
      <c r="U617" s="95" t="e">
        <f>R617*dagenperjaar1</f>
        <v>#DIV/0!</v>
      </c>
      <c r="V617" s="25" t="e">
        <f>U617*ROUND(Q617,2)</f>
        <v>#DIV/0!</v>
      </c>
    </row>
    <row r="618" spans="1:22" x14ac:dyDescent="0.2">
      <c r="A618" s="92" t="s">
        <v>742</v>
      </c>
      <c r="B618" s="93" t="s">
        <v>47</v>
      </c>
      <c r="C618" s="93" t="s">
        <v>394</v>
      </c>
      <c r="D618" s="93" t="s">
        <v>404</v>
      </c>
      <c r="E618" s="94" t="s">
        <v>744</v>
      </c>
      <c r="F618" s="93" t="s">
        <v>442</v>
      </c>
      <c r="G618" s="93" t="s">
        <v>284</v>
      </c>
      <c r="H618" s="93" t="s">
        <v>10</v>
      </c>
      <c r="I618" s="93" t="s">
        <v>255</v>
      </c>
      <c r="J618" s="93" t="s">
        <v>47</v>
      </c>
      <c r="K618" s="93"/>
      <c r="L618" s="95">
        <v>12.1</v>
      </c>
      <c r="M618" s="95">
        <f>L618*VLOOKUP(H618,dagsoorttabel1,2,FALSE)</f>
        <v>12.1</v>
      </c>
      <c r="N618" s="96">
        <f>prodnorm59</f>
        <v>0</v>
      </c>
      <c r="O618" s="37">
        <f>dagwerk59</f>
        <v>0</v>
      </c>
      <c r="P618" s="93" t="s">
        <v>105</v>
      </c>
      <c r="Q618" s="24">
        <f>uurtarief59</f>
        <v>0</v>
      </c>
      <c r="R618" s="95" t="e">
        <f>IF(ISBLANK(N618),0,M618/ROUND(N618,4))</f>
        <v>#DIV/0!</v>
      </c>
      <c r="S618" s="95" t="e">
        <f>IF(ISBLANK(N618),0,R618*ROUND(O618,2))</f>
        <v>#DIV/0!</v>
      </c>
      <c r="T618" s="24" t="e">
        <f>ROUND(Q618,2)*R618</f>
        <v>#DIV/0!</v>
      </c>
      <c r="U618" s="95" t="e">
        <f>R618*dagenperjaar1</f>
        <v>#DIV/0!</v>
      </c>
      <c r="V618" s="25" t="e">
        <f>U618*ROUND(Q618,2)</f>
        <v>#DIV/0!</v>
      </c>
    </row>
    <row r="619" spans="1:22" x14ac:dyDescent="0.2">
      <c r="A619" s="92" t="s">
        <v>742</v>
      </c>
      <c r="B619" s="93" t="s">
        <v>47</v>
      </c>
      <c r="C619" s="93" t="s">
        <v>394</v>
      </c>
      <c r="D619" s="93" t="s">
        <v>406</v>
      </c>
      <c r="E619" s="94" t="s">
        <v>745</v>
      </c>
      <c r="F619" s="93" t="s">
        <v>442</v>
      </c>
      <c r="G619" s="93" t="s">
        <v>270</v>
      </c>
      <c r="H619" s="93" t="s">
        <v>10</v>
      </c>
      <c r="I619" s="93" t="s">
        <v>255</v>
      </c>
      <c r="J619" s="93" t="s">
        <v>47</v>
      </c>
      <c r="K619" s="93"/>
      <c r="L619" s="95">
        <v>12.7</v>
      </c>
      <c r="M619" s="95">
        <f>L619*VLOOKUP(H619,dagsoorttabel1,2,FALSE)</f>
        <v>12.7</v>
      </c>
      <c r="N619" s="96">
        <f>prodnorm44</f>
        <v>0</v>
      </c>
      <c r="O619" s="37">
        <f>dagwerk44</f>
        <v>0</v>
      </c>
      <c r="P619" s="93" t="s">
        <v>105</v>
      </c>
      <c r="Q619" s="24">
        <f>uurtarief44</f>
        <v>0</v>
      </c>
      <c r="R619" s="95" t="e">
        <f>IF(ISBLANK(N619),0,M619/ROUND(N619,4))</f>
        <v>#DIV/0!</v>
      </c>
      <c r="S619" s="95" t="e">
        <f>IF(ISBLANK(N619),0,R619*ROUND(O619,2))</f>
        <v>#DIV/0!</v>
      </c>
      <c r="T619" s="24" t="e">
        <f>ROUND(Q619,2)*R619</f>
        <v>#DIV/0!</v>
      </c>
      <c r="U619" s="95" t="e">
        <f>R619*dagenperjaar1</f>
        <v>#DIV/0!</v>
      </c>
      <c r="V619" s="25" t="e">
        <f>U619*ROUND(Q619,2)</f>
        <v>#DIV/0!</v>
      </c>
    </row>
    <row r="620" spans="1:22" x14ac:dyDescent="0.2">
      <c r="A620" s="92" t="s">
        <v>742</v>
      </c>
      <c r="B620" s="93" t="s">
        <v>47</v>
      </c>
      <c r="C620" s="93" t="s">
        <v>394</v>
      </c>
      <c r="D620" s="93" t="s">
        <v>409</v>
      </c>
      <c r="E620" s="94" t="s">
        <v>745</v>
      </c>
      <c r="F620" s="93" t="s">
        <v>496</v>
      </c>
      <c r="G620" s="93" t="s">
        <v>274</v>
      </c>
      <c r="H620" s="93" t="s">
        <v>10</v>
      </c>
      <c r="I620" s="93" t="s">
        <v>255</v>
      </c>
      <c r="J620" s="93" t="s">
        <v>47</v>
      </c>
      <c r="K620" s="93"/>
      <c r="L620" s="95">
        <v>18</v>
      </c>
      <c r="M620" s="95">
        <f>L620*VLOOKUP(H620,dagsoorttabel1,2,FALSE)</f>
        <v>18</v>
      </c>
      <c r="N620" s="96">
        <f>prodnorm48</f>
        <v>0</v>
      </c>
      <c r="O620" s="37">
        <f>dagwerk48</f>
        <v>0</v>
      </c>
      <c r="P620" s="93" t="s">
        <v>105</v>
      </c>
      <c r="Q620" s="24">
        <f>uurtarief48</f>
        <v>0</v>
      </c>
      <c r="R620" s="95" t="e">
        <f>IF(ISBLANK(N620),0,M620/ROUND(N620,4))</f>
        <v>#DIV/0!</v>
      </c>
      <c r="S620" s="95" t="e">
        <f>IF(ISBLANK(N620),0,R620*ROUND(O620,2))</f>
        <v>#DIV/0!</v>
      </c>
      <c r="T620" s="24" t="e">
        <f>ROUND(Q620,2)*R620</f>
        <v>#DIV/0!</v>
      </c>
      <c r="U620" s="95" t="e">
        <f>R620*dagenperjaar1</f>
        <v>#DIV/0!</v>
      </c>
      <c r="V620" s="25" t="e">
        <f>U620*ROUND(Q620,2)</f>
        <v>#DIV/0!</v>
      </c>
    </row>
    <row r="621" spans="1:22" x14ac:dyDescent="0.2">
      <c r="A621" s="92" t="s">
        <v>742</v>
      </c>
      <c r="B621" s="93" t="s">
        <v>47</v>
      </c>
      <c r="C621" s="93" t="s">
        <v>394</v>
      </c>
      <c r="D621" s="93" t="s">
        <v>411</v>
      </c>
      <c r="E621" s="94" t="s">
        <v>745</v>
      </c>
      <c r="F621" s="93" t="s">
        <v>496</v>
      </c>
      <c r="G621" s="93" t="s">
        <v>274</v>
      </c>
      <c r="H621" s="93" t="s">
        <v>10</v>
      </c>
      <c r="I621" s="93" t="s">
        <v>255</v>
      </c>
      <c r="J621" s="93" t="s">
        <v>47</v>
      </c>
      <c r="K621" s="93"/>
      <c r="L621" s="95">
        <v>12.4</v>
      </c>
      <c r="M621" s="95">
        <f>L621*VLOOKUP(H621,dagsoorttabel1,2,FALSE)</f>
        <v>12.4</v>
      </c>
      <c r="N621" s="96">
        <f>prodnorm48</f>
        <v>0</v>
      </c>
      <c r="O621" s="37">
        <f>dagwerk48</f>
        <v>0</v>
      </c>
      <c r="P621" s="93" t="s">
        <v>105</v>
      </c>
      <c r="Q621" s="24">
        <f>uurtarief48</f>
        <v>0</v>
      </c>
      <c r="R621" s="95" t="e">
        <f>IF(ISBLANK(N621),0,M621/ROUND(N621,4))</f>
        <v>#DIV/0!</v>
      </c>
      <c r="S621" s="95" t="e">
        <f>IF(ISBLANK(N621),0,R621*ROUND(O621,2))</f>
        <v>#DIV/0!</v>
      </c>
      <c r="T621" s="24" t="e">
        <f>ROUND(Q621,2)*R621</f>
        <v>#DIV/0!</v>
      </c>
      <c r="U621" s="95" t="e">
        <f>R621*dagenperjaar1</f>
        <v>#DIV/0!</v>
      </c>
      <c r="V621" s="25" t="e">
        <f>U621*ROUND(Q621,2)</f>
        <v>#DIV/0!</v>
      </c>
    </row>
    <row r="622" spans="1:22" x14ac:dyDescent="0.2">
      <c r="A622" s="92" t="s">
        <v>742</v>
      </c>
      <c r="B622" s="93" t="s">
        <v>47</v>
      </c>
      <c r="C622" s="93" t="s">
        <v>394</v>
      </c>
      <c r="D622" s="93" t="s">
        <v>413</v>
      </c>
      <c r="E622" s="94" t="s">
        <v>745</v>
      </c>
      <c r="F622" s="93" t="s">
        <v>442</v>
      </c>
      <c r="G622" s="93" t="s">
        <v>270</v>
      </c>
      <c r="H622" s="93" t="s">
        <v>10</v>
      </c>
      <c r="I622" s="93" t="s">
        <v>255</v>
      </c>
      <c r="J622" s="93" t="s">
        <v>47</v>
      </c>
      <c r="K622" s="93"/>
      <c r="L622" s="95">
        <v>5.4</v>
      </c>
      <c r="M622" s="95">
        <f>L622*VLOOKUP(H622,dagsoorttabel1,2,FALSE)</f>
        <v>5.4</v>
      </c>
      <c r="N622" s="96">
        <f>prodnorm44</f>
        <v>0</v>
      </c>
      <c r="O622" s="37">
        <f>dagwerk44</f>
        <v>0</v>
      </c>
      <c r="P622" s="93" t="s">
        <v>105</v>
      </c>
      <c r="Q622" s="24">
        <f>uurtarief44</f>
        <v>0</v>
      </c>
      <c r="R622" s="95" t="e">
        <f>IF(ISBLANK(N622),0,M622/ROUND(N622,4))</f>
        <v>#DIV/0!</v>
      </c>
      <c r="S622" s="95" t="e">
        <f>IF(ISBLANK(N622),0,R622*ROUND(O622,2))</f>
        <v>#DIV/0!</v>
      </c>
      <c r="T622" s="24" t="e">
        <f>ROUND(Q622,2)*R622</f>
        <v>#DIV/0!</v>
      </c>
      <c r="U622" s="95" t="e">
        <f>R622*dagenperjaar1</f>
        <v>#DIV/0!</v>
      </c>
      <c r="V622" s="25" t="e">
        <f>U622*ROUND(Q622,2)</f>
        <v>#DIV/0!</v>
      </c>
    </row>
    <row r="623" spans="1:22" x14ac:dyDescent="0.2">
      <c r="A623" s="92" t="s">
        <v>742</v>
      </c>
      <c r="B623" s="93" t="s">
        <v>47</v>
      </c>
      <c r="C623" s="93" t="s">
        <v>394</v>
      </c>
      <c r="D623" s="93" t="s">
        <v>415</v>
      </c>
      <c r="E623" s="94" t="s">
        <v>746</v>
      </c>
      <c r="F623" s="93" t="s">
        <v>442</v>
      </c>
      <c r="G623" s="93" t="s">
        <v>266</v>
      </c>
      <c r="H623" s="93" t="s">
        <v>10</v>
      </c>
      <c r="I623" s="93" t="s">
        <v>255</v>
      </c>
      <c r="J623" s="93" t="s">
        <v>47</v>
      </c>
      <c r="K623" s="93"/>
      <c r="L623" s="95">
        <v>2.64</v>
      </c>
      <c r="M623" s="95">
        <f>L623*VLOOKUP(H623,dagsoorttabel1,2,FALSE)</f>
        <v>2.64</v>
      </c>
      <c r="N623" s="96">
        <f>prodnorm41</f>
        <v>0</v>
      </c>
      <c r="O623" s="37">
        <f>dagwerk41</f>
        <v>0</v>
      </c>
      <c r="P623" s="93" t="s">
        <v>105</v>
      </c>
      <c r="Q623" s="24">
        <f>uurtarief41</f>
        <v>0</v>
      </c>
      <c r="R623" s="95" t="e">
        <f>IF(ISBLANK(N623),0,M623/ROUND(N623,4))</f>
        <v>#DIV/0!</v>
      </c>
      <c r="S623" s="95" t="e">
        <f>IF(ISBLANK(N623),0,R623*ROUND(O623,2))</f>
        <v>#DIV/0!</v>
      </c>
      <c r="T623" s="24" t="e">
        <f>ROUND(Q623,2)*R623</f>
        <v>#DIV/0!</v>
      </c>
      <c r="U623" s="95" t="e">
        <f>R623*dagenperjaar1</f>
        <v>#DIV/0!</v>
      </c>
      <c r="V623" s="25" t="e">
        <f>U623*ROUND(Q623,2)</f>
        <v>#DIV/0!</v>
      </c>
    </row>
    <row r="624" spans="1:22" x14ac:dyDescent="0.2">
      <c r="A624" s="92" t="s">
        <v>742</v>
      </c>
      <c r="B624" s="93" t="s">
        <v>47</v>
      </c>
      <c r="C624" s="93" t="s">
        <v>394</v>
      </c>
      <c r="D624" s="93" t="s">
        <v>416</v>
      </c>
      <c r="E624" s="94" t="s">
        <v>747</v>
      </c>
      <c r="F624" s="93" t="s">
        <v>442</v>
      </c>
      <c r="G624" s="93" t="s">
        <v>266</v>
      </c>
      <c r="H624" s="93" t="s">
        <v>10</v>
      </c>
      <c r="I624" s="93" t="s">
        <v>255</v>
      </c>
      <c r="J624" s="93" t="s">
        <v>47</v>
      </c>
      <c r="K624" s="93"/>
      <c r="L624" s="95">
        <v>5.2</v>
      </c>
      <c r="M624" s="95">
        <f>L624*VLOOKUP(H624,dagsoorttabel1,2,FALSE)</f>
        <v>5.2</v>
      </c>
      <c r="N624" s="96">
        <f>prodnorm41</f>
        <v>0</v>
      </c>
      <c r="O624" s="37">
        <f>dagwerk41</f>
        <v>0</v>
      </c>
      <c r="P624" s="93" t="s">
        <v>105</v>
      </c>
      <c r="Q624" s="24">
        <f>uurtarief41</f>
        <v>0</v>
      </c>
      <c r="R624" s="95" t="e">
        <f>IF(ISBLANK(N624),0,M624/ROUND(N624,4))</f>
        <v>#DIV/0!</v>
      </c>
      <c r="S624" s="95" t="e">
        <f>IF(ISBLANK(N624),0,R624*ROUND(O624,2))</f>
        <v>#DIV/0!</v>
      </c>
      <c r="T624" s="24" t="e">
        <f>ROUND(Q624,2)*R624</f>
        <v>#DIV/0!</v>
      </c>
      <c r="U624" s="95" t="e">
        <f>R624*dagenperjaar1</f>
        <v>#DIV/0!</v>
      </c>
      <c r="V624" s="25" t="e">
        <f>U624*ROUND(Q624,2)</f>
        <v>#DIV/0!</v>
      </c>
    </row>
    <row r="625" spans="1:22" x14ac:dyDescent="0.2">
      <c r="A625" s="92" t="s">
        <v>742</v>
      </c>
      <c r="B625" s="93" t="s">
        <v>47</v>
      </c>
      <c r="C625" s="93" t="s">
        <v>394</v>
      </c>
      <c r="D625" s="93" t="s">
        <v>418</v>
      </c>
      <c r="E625" s="94" t="s">
        <v>748</v>
      </c>
      <c r="F625" s="93" t="s">
        <v>496</v>
      </c>
      <c r="G625" s="93" t="s">
        <v>274</v>
      </c>
      <c r="H625" s="93" t="s">
        <v>10</v>
      </c>
      <c r="I625" s="93" t="s">
        <v>255</v>
      </c>
      <c r="J625" s="93" t="s">
        <v>47</v>
      </c>
      <c r="K625" s="93"/>
      <c r="L625" s="95">
        <v>31.8</v>
      </c>
      <c r="M625" s="95">
        <f>L625*VLOOKUP(H625,dagsoorttabel1,2,FALSE)</f>
        <v>31.8</v>
      </c>
      <c r="N625" s="96">
        <f>prodnorm48</f>
        <v>0</v>
      </c>
      <c r="O625" s="37">
        <f>dagwerk48</f>
        <v>0</v>
      </c>
      <c r="P625" s="93" t="s">
        <v>105</v>
      </c>
      <c r="Q625" s="24">
        <f>uurtarief48</f>
        <v>0</v>
      </c>
      <c r="R625" s="95" t="e">
        <f>IF(ISBLANK(N625),0,M625/ROUND(N625,4))</f>
        <v>#DIV/0!</v>
      </c>
      <c r="S625" s="95" t="e">
        <f>IF(ISBLANK(N625),0,R625*ROUND(O625,2))</f>
        <v>#DIV/0!</v>
      </c>
      <c r="T625" s="24" t="e">
        <f>ROUND(Q625,2)*R625</f>
        <v>#DIV/0!</v>
      </c>
      <c r="U625" s="95" t="e">
        <f>R625*dagenperjaar1</f>
        <v>#DIV/0!</v>
      </c>
      <c r="V625" s="25" t="e">
        <f>U625*ROUND(Q625,2)</f>
        <v>#DIV/0!</v>
      </c>
    </row>
    <row r="626" spans="1:22" x14ac:dyDescent="0.2">
      <c r="A626" s="92" t="s">
        <v>742</v>
      </c>
      <c r="B626" s="93" t="s">
        <v>47</v>
      </c>
      <c r="C626" s="93" t="s">
        <v>394</v>
      </c>
      <c r="D626" s="93" t="s">
        <v>419</v>
      </c>
      <c r="E626" s="94" t="s">
        <v>749</v>
      </c>
      <c r="F626" s="93" t="s">
        <v>441</v>
      </c>
      <c r="G626" s="93" t="s">
        <v>288</v>
      </c>
      <c r="H626" s="93" t="s">
        <v>10</v>
      </c>
      <c r="I626" s="93" t="s">
        <v>255</v>
      </c>
      <c r="J626" s="93" t="s">
        <v>47</v>
      </c>
      <c r="K626" s="93"/>
      <c r="L626" s="95">
        <v>68.8</v>
      </c>
      <c r="M626" s="95">
        <f>L626*VLOOKUP(H626,dagsoorttabel1,2,FALSE)</f>
        <v>68.8</v>
      </c>
      <c r="N626" s="96">
        <f>prodnorm63</f>
        <v>0</v>
      </c>
      <c r="O626" s="37">
        <f>dagwerk63</f>
        <v>0</v>
      </c>
      <c r="P626" s="93" t="s">
        <v>105</v>
      </c>
      <c r="Q626" s="24">
        <f>uurtarief63</f>
        <v>0</v>
      </c>
      <c r="R626" s="95" t="e">
        <f>IF(ISBLANK(N626),0,M626/ROUND(N626,4))</f>
        <v>#DIV/0!</v>
      </c>
      <c r="S626" s="95" t="e">
        <f>IF(ISBLANK(N626),0,R626*ROUND(O626,2))</f>
        <v>#DIV/0!</v>
      </c>
      <c r="T626" s="24" t="e">
        <f>ROUND(Q626,2)*R626</f>
        <v>#DIV/0!</v>
      </c>
      <c r="U626" s="95" t="e">
        <f>R626*dagenperjaar1</f>
        <v>#DIV/0!</v>
      </c>
      <c r="V626" s="25" t="e">
        <f>U626*ROUND(Q626,2)</f>
        <v>#DIV/0!</v>
      </c>
    </row>
    <row r="627" spans="1:22" x14ac:dyDescent="0.2">
      <c r="A627" s="92" t="s">
        <v>742</v>
      </c>
      <c r="B627" s="93" t="s">
        <v>47</v>
      </c>
      <c r="C627" s="93" t="s">
        <v>394</v>
      </c>
      <c r="D627" s="93" t="s">
        <v>420</v>
      </c>
      <c r="E627" s="94" t="s">
        <v>750</v>
      </c>
      <c r="F627" s="93" t="s">
        <v>441</v>
      </c>
      <c r="G627" s="93" t="s">
        <v>254</v>
      </c>
      <c r="H627" s="93" t="s">
        <v>24</v>
      </c>
      <c r="I627" s="93" t="s">
        <v>255</v>
      </c>
      <c r="J627" s="93" t="s">
        <v>47</v>
      </c>
      <c r="K627" s="93"/>
      <c r="L627" s="95">
        <v>17.600000000000001</v>
      </c>
      <c r="M627" s="95">
        <f>L627*VLOOKUP(H627,dagsoorttabel1,2,FALSE)</f>
        <v>0.82823529411764707</v>
      </c>
      <c r="N627" s="96">
        <f>prodnorm25</f>
        <v>0</v>
      </c>
      <c r="O627" s="37">
        <f>dagwerk25</f>
        <v>0</v>
      </c>
      <c r="P627" s="93" t="s">
        <v>105</v>
      </c>
      <c r="Q627" s="24">
        <f>uurtarief25</f>
        <v>0</v>
      </c>
      <c r="R627" s="95" t="e">
        <f>IF(ISBLANK(N627),0,M627/ROUND(N627,4))</f>
        <v>#DIV/0!</v>
      </c>
      <c r="S627" s="95" t="e">
        <f>IF(ISBLANK(N627),0,R627*ROUND(O627,2))</f>
        <v>#DIV/0!</v>
      </c>
      <c r="T627" s="24" t="e">
        <f>ROUND(Q627,2)*R627</f>
        <v>#DIV/0!</v>
      </c>
      <c r="U627" s="95" t="e">
        <f>R627*dagenperjaar1</f>
        <v>#DIV/0!</v>
      </c>
      <c r="V627" s="25" t="e">
        <f>U627*ROUND(Q627,2)</f>
        <v>#DIV/0!</v>
      </c>
    </row>
    <row r="628" spans="1:22" x14ac:dyDescent="0.2">
      <c r="A628" s="92" t="s">
        <v>742</v>
      </c>
      <c r="B628" s="93" t="s">
        <v>47</v>
      </c>
      <c r="C628" s="93" t="s">
        <v>394</v>
      </c>
      <c r="D628" s="93" t="s">
        <v>422</v>
      </c>
      <c r="E628" s="94" t="s">
        <v>544</v>
      </c>
      <c r="F628" s="93" t="s">
        <v>441</v>
      </c>
      <c r="G628" s="93" t="s">
        <v>294</v>
      </c>
      <c r="H628" s="93" t="s">
        <v>10</v>
      </c>
      <c r="I628" s="93" t="s">
        <v>255</v>
      </c>
      <c r="J628" s="93" t="s">
        <v>47</v>
      </c>
      <c r="K628" s="93"/>
      <c r="L628" s="95">
        <v>25.1</v>
      </c>
      <c r="M628" s="95">
        <f>L628*VLOOKUP(H628,dagsoorttabel1,2,FALSE)</f>
        <v>25.1</v>
      </c>
      <c r="N628" s="96">
        <f>prodnorm67</f>
        <v>0</v>
      </c>
      <c r="O628" s="37">
        <f>dagwerk67</f>
        <v>0</v>
      </c>
      <c r="P628" s="93" t="s">
        <v>105</v>
      </c>
      <c r="Q628" s="24">
        <f>uurtarief67</f>
        <v>0</v>
      </c>
      <c r="R628" s="95" t="e">
        <f>IF(ISBLANK(N628),0,M628/ROUND(N628,4))</f>
        <v>#DIV/0!</v>
      </c>
      <c r="S628" s="95" t="e">
        <f>IF(ISBLANK(N628),0,R628*ROUND(O628,2))</f>
        <v>#DIV/0!</v>
      </c>
      <c r="T628" s="24" t="e">
        <f>ROUND(Q628,2)*R628</f>
        <v>#DIV/0!</v>
      </c>
      <c r="U628" s="95" t="e">
        <f>R628*dagenperjaar1</f>
        <v>#DIV/0!</v>
      </c>
      <c r="V628" s="25" t="e">
        <f>U628*ROUND(Q628,2)</f>
        <v>#DIV/0!</v>
      </c>
    </row>
    <row r="629" spans="1:22" x14ac:dyDescent="0.2">
      <c r="A629" s="92" t="s">
        <v>742</v>
      </c>
      <c r="B629" s="93" t="s">
        <v>47</v>
      </c>
      <c r="C629" s="93" t="s">
        <v>394</v>
      </c>
      <c r="D629" s="93" t="s">
        <v>424</v>
      </c>
      <c r="E629" s="94" t="s">
        <v>751</v>
      </c>
      <c r="F629" s="93" t="s">
        <v>442</v>
      </c>
      <c r="G629" s="93" t="s">
        <v>298</v>
      </c>
      <c r="H629" s="93" t="s">
        <v>10</v>
      </c>
      <c r="I629" s="93" t="s">
        <v>255</v>
      </c>
      <c r="J629" s="93" t="s">
        <v>47</v>
      </c>
      <c r="K629" s="93"/>
      <c r="L629" s="95">
        <v>40.700000000000003</v>
      </c>
      <c r="M629" s="95">
        <f>L629*VLOOKUP(H629,dagsoorttabel1,2,FALSE)</f>
        <v>40.700000000000003</v>
      </c>
      <c r="N629" s="96">
        <f>prodnorm69</f>
        <v>0</v>
      </c>
      <c r="O629" s="37">
        <f>dagwerk69</f>
        <v>0</v>
      </c>
      <c r="P629" s="93" t="s">
        <v>105</v>
      </c>
      <c r="Q629" s="24">
        <f>uurtarief69</f>
        <v>0</v>
      </c>
      <c r="R629" s="95" t="e">
        <f>IF(ISBLANK(N629),0,M629/ROUND(N629,4))</f>
        <v>#DIV/0!</v>
      </c>
      <c r="S629" s="95" t="e">
        <f>IF(ISBLANK(N629),0,R629*ROUND(O629,2))</f>
        <v>#DIV/0!</v>
      </c>
      <c r="T629" s="24" t="e">
        <f>ROUND(Q629,2)*R629</f>
        <v>#DIV/0!</v>
      </c>
      <c r="U629" s="95" t="e">
        <f>R629*dagenperjaar1</f>
        <v>#DIV/0!</v>
      </c>
      <c r="V629" s="25" t="e">
        <f>U629*ROUND(Q629,2)</f>
        <v>#DIV/0!</v>
      </c>
    </row>
    <row r="630" spans="1:22" x14ac:dyDescent="0.2">
      <c r="A630" s="92" t="s">
        <v>742</v>
      </c>
      <c r="B630" s="93" t="s">
        <v>47</v>
      </c>
      <c r="C630" s="93" t="s">
        <v>394</v>
      </c>
      <c r="D630" s="93" t="s">
        <v>446</v>
      </c>
      <c r="E630" s="94" t="s">
        <v>752</v>
      </c>
      <c r="F630" s="93" t="s">
        <v>496</v>
      </c>
      <c r="G630" s="93" t="s">
        <v>263</v>
      </c>
      <c r="H630" s="93" t="s">
        <v>18</v>
      </c>
      <c r="I630" s="93" t="s">
        <v>255</v>
      </c>
      <c r="J630" s="93" t="s">
        <v>47</v>
      </c>
      <c r="K630" s="93"/>
      <c r="L630" s="95">
        <v>8.6</v>
      </c>
      <c r="M630" s="95">
        <f>L630*VLOOKUP(H630,dagsoorttabel1,2,FALSE)</f>
        <v>3.44</v>
      </c>
      <c r="N630" s="96">
        <f>prodnorm35</f>
        <v>0</v>
      </c>
      <c r="O630" s="37">
        <f>dagwerk35</f>
        <v>0</v>
      </c>
      <c r="P630" s="93" t="s">
        <v>105</v>
      </c>
      <c r="Q630" s="24">
        <f>uurtarief35</f>
        <v>0</v>
      </c>
      <c r="R630" s="95" t="e">
        <f>IF(ISBLANK(N630),0,M630/ROUND(N630,4))</f>
        <v>#DIV/0!</v>
      </c>
      <c r="S630" s="95" t="e">
        <f>IF(ISBLANK(N630),0,R630*ROUND(O630,2))</f>
        <v>#DIV/0!</v>
      </c>
      <c r="T630" s="24" t="e">
        <f>ROUND(Q630,2)*R630</f>
        <v>#DIV/0!</v>
      </c>
      <c r="U630" s="95" t="e">
        <f>R630*dagenperjaar1</f>
        <v>#DIV/0!</v>
      </c>
      <c r="V630" s="25" t="e">
        <f>U630*ROUND(Q630,2)</f>
        <v>#DIV/0!</v>
      </c>
    </row>
    <row r="631" spans="1:22" x14ac:dyDescent="0.2">
      <c r="A631" s="92" t="s">
        <v>742</v>
      </c>
      <c r="B631" s="93" t="s">
        <v>47</v>
      </c>
      <c r="C631" s="93" t="s">
        <v>394</v>
      </c>
      <c r="D631" s="93" t="s">
        <v>425</v>
      </c>
      <c r="E631" s="94" t="s">
        <v>752</v>
      </c>
      <c r="F631" s="93" t="s">
        <v>496</v>
      </c>
      <c r="G631" s="93" t="s">
        <v>263</v>
      </c>
      <c r="H631" s="93" t="s">
        <v>18</v>
      </c>
      <c r="I631" s="93" t="s">
        <v>255</v>
      </c>
      <c r="J631" s="93" t="s">
        <v>47</v>
      </c>
      <c r="K631" s="93"/>
      <c r="L631" s="95">
        <v>26.3</v>
      </c>
      <c r="M631" s="95">
        <f>L631*VLOOKUP(H631,dagsoorttabel1,2,FALSE)</f>
        <v>10.520000000000001</v>
      </c>
      <c r="N631" s="96">
        <f>prodnorm35</f>
        <v>0</v>
      </c>
      <c r="O631" s="37">
        <f>dagwerk35</f>
        <v>0</v>
      </c>
      <c r="P631" s="93" t="s">
        <v>105</v>
      </c>
      <c r="Q631" s="24">
        <f>uurtarief35</f>
        <v>0</v>
      </c>
      <c r="R631" s="95" t="e">
        <f>IF(ISBLANK(N631),0,M631/ROUND(N631,4))</f>
        <v>#DIV/0!</v>
      </c>
      <c r="S631" s="95" t="e">
        <f>IF(ISBLANK(N631),0,R631*ROUND(O631,2))</f>
        <v>#DIV/0!</v>
      </c>
      <c r="T631" s="24" t="e">
        <f>ROUND(Q631,2)*R631</f>
        <v>#DIV/0!</v>
      </c>
      <c r="U631" s="95" t="e">
        <f>R631*dagenperjaar1</f>
        <v>#DIV/0!</v>
      </c>
      <c r="V631" s="25" t="e">
        <f>U631*ROUND(Q631,2)</f>
        <v>#DIV/0!</v>
      </c>
    </row>
    <row r="632" spans="1:22" x14ac:dyDescent="0.2">
      <c r="A632" s="92" t="s">
        <v>742</v>
      </c>
      <c r="B632" s="93" t="s">
        <v>47</v>
      </c>
      <c r="C632" s="93" t="s">
        <v>394</v>
      </c>
      <c r="D632" s="93" t="s">
        <v>426</v>
      </c>
      <c r="E632" s="94" t="s">
        <v>752</v>
      </c>
      <c r="F632" s="93" t="s">
        <v>496</v>
      </c>
      <c r="G632" s="93" t="s">
        <v>263</v>
      </c>
      <c r="H632" s="93" t="s">
        <v>18</v>
      </c>
      <c r="I632" s="93" t="s">
        <v>255</v>
      </c>
      <c r="J632" s="93" t="s">
        <v>47</v>
      </c>
      <c r="K632" s="93"/>
      <c r="L632" s="95">
        <v>12.1</v>
      </c>
      <c r="M632" s="95">
        <f>L632*VLOOKUP(H632,dagsoorttabel1,2,FALSE)</f>
        <v>4.84</v>
      </c>
      <c r="N632" s="96">
        <f>prodnorm35</f>
        <v>0</v>
      </c>
      <c r="O632" s="37">
        <f>dagwerk35</f>
        <v>0</v>
      </c>
      <c r="P632" s="93" t="s">
        <v>105</v>
      </c>
      <c r="Q632" s="24">
        <f>uurtarief35</f>
        <v>0</v>
      </c>
      <c r="R632" s="95" t="e">
        <f>IF(ISBLANK(N632),0,M632/ROUND(N632,4))</f>
        <v>#DIV/0!</v>
      </c>
      <c r="S632" s="95" t="e">
        <f>IF(ISBLANK(N632),0,R632*ROUND(O632,2))</f>
        <v>#DIV/0!</v>
      </c>
      <c r="T632" s="24" t="e">
        <f>ROUND(Q632,2)*R632</f>
        <v>#DIV/0!</v>
      </c>
      <c r="U632" s="95" t="e">
        <f>R632*dagenperjaar1</f>
        <v>#DIV/0!</v>
      </c>
      <c r="V632" s="25" t="e">
        <f>U632*ROUND(Q632,2)</f>
        <v>#DIV/0!</v>
      </c>
    </row>
    <row r="633" spans="1:22" x14ac:dyDescent="0.2">
      <c r="A633" s="92" t="s">
        <v>742</v>
      </c>
      <c r="B633" s="93" t="s">
        <v>47</v>
      </c>
      <c r="C633" s="93" t="s">
        <v>394</v>
      </c>
      <c r="D633" s="93" t="s">
        <v>427</v>
      </c>
      <c r="E633" s="94" t="s">
        <v>752</v>
      </c>
      <c r="F633" s="93" t="s">
        <v>496</v>
      </c>
      <c r="G633" s="93" t="s">
        <v>263</v>
      </c>
      <c r="H633" s="93" t="s">
        <v>18</v>
      </c>
      <c r="I633" s="93" t="s">
        <v>255</v>
      </c>
      <c r="J633" s="93" t="s">
        <v>47</v>
      </c>
      <c r="K633" s="93"/>
      <c r="L633" s="95">
        <v>34.4</v>
      </c>
      <c r="M633" s="95">
        <f>L633*VLOOKUP(H633,dagsoorttabel1,2,FALSE)</f>
        <v>13.76</v>
      </c>
      <c r="N633" s="96">
        <f>prodnorm35</f>
        <v>0</v>
      </c>
      <c r="O633" s="37">
        <f>dagwerk35</f>
        <v>0</v>
      </c>
      <c r="P633" s="93" t="s">
        <v>105</v>
      </c>
      <c r="Q633" s="24">
        <f>uurtarief35</f>
        <v>0</v>
      </c>
      <c r="R633" s="95" t="e">
        <f>IF(ISBLANK(N633),0,M633/ROUND(N633,4))</f>
        <v>#DIV/0!</v>
      </c>
      <c r="S633" s="95" t="e">
        <f>IF(ISBLANK(N633),0,R633*ROUND(O633,2))</f>
        <v>#DIV/0!</v>
      </c>
      <c r="T633" s="24" t="e">
        <f>ROUND(Q633,2)*R633</f>
        <v>#DIV/0!</v>
      </c>
      <c r="U633" s="95" t="e">
        <f>R633*dagenperjaar1</f>
        <v>#DIV/0!</v>
      </c>
      <c r="V633" s="25" t="e">
        <f>U633*ROUND(Q633,2)</f>
        <v>#DIV/0!</v>
      </c>
    </row>
    <row r="634" spans="1:22" x14ac:dyDescent="0.2">
      <c r="A634" s="92" t="s">
        <v>742</v>
      </c>
      <c r="B634" s="93" t="s">
        <v>47</v>
      </c>
      <c r="C634" s="93" t="s">
        <v>394</v>
      </c>
      <c r="D634" s="93" t="s">
        <v>429</v>
      </c>
      <c r="E634" s="94" t="s">
        <v>677</v>
      </c>
      <c r="F634" s="93" t="s">
        <v>441</v>
      </c>
      <c r="G634" s="93" t="s">
        <v>304</v>
      </c>
      <c r="H634" s="93" t="s">
        <v>10</v>
      </c>
      <c r="I634" s="93" t="s">
        <v>255</v>
      </c>
      <c r="J634" s="93" t="s">
        <v>47</v>
      </c>
      <c r="K634" s="93"/>
      <c r="L634" s="95">
        <v>1.2</v>
      </c>
      <c r="M634" s="95">
        <f>L634*VLOOKUP(H634,dagsoorttabel1,2,FALSE)</f>
        <v>1.2</v>
      </c>
      <c r="N634" s="96">
        <f>prodnorm75</f>
        <v>0</v>
      </c>
      <c r="O634" s="37">
        <f>dagwerk75</f>
        <v>0</v>
      </c>
      <c r="P634" s="93" t="s">
        <v>105</v>
      </c>
      <c r="Q634" s="24">
        <f>uurtarief75</f>
        <v>0</v>
      </c>
      <c r="R634" s="95" t="e">
        <f>IF(ISBLANK(N634),0,M634/ROUND(N634,4))</f>
        <v>#DIV/0!</v>
      </c>
      <c r="S634" s="95" t="e">
        <f>IF(ISBLANK(N634),0,R634*ROUND(O634,2))</f>
        <v>#DIV/0!</v>
      </c>
      <c r="T634" s="24" t="e">
        <f>ROUND(Q634,2)*R634</f>
        <v>#DIV/0!</v>
      </c>
      <c r="U634" s="95" t="e">
        <f>R634*dagenperjaar1</f>
        <v>#DIV/0!</v>
      </c>
      <c r="V634" s="25" t="e">
        <f>U634*ROUND(Q634,2)</f>
        <v>#DIV/0!</v>
      </c>
    </row>
    <row r="635" spans="1:22" x14ac:dyDescent="0.2">
      <c r="A635" s="92" t="s">
        <v>742</v>
      </c>
      <c r="B635" s="93" t="s">
        <v>47</v>
      </c>
      <c r="C635" s="93" t="s">
        <v>394</v>
      </c>
      <c r="D635" s="93" t="s">
        <v>432</v>
      </c>
      <c r="E635" s="94" t="s">
        <v>677</v>
      </c>
      <c r="F635" s="93" t="s">
        <v>442</v>
      </c>
      <c r="G635" s="93" t="s">
        <v>304</v>
      </c>
      <c r="H635" s="93" t="s">
        <v>10</v>
      </c>
      <c r="I635" s="93" t="s">
        <v>255</v>
      </c>
      <c r="J635" s="93" t="s">
        <v>47</v>
      </c>
      <c r="K635" s="93"/>
      <c r="L635" s="95">
        <v>1.2</v>
      </c>
      <c r="M635" s="95">
        <f>L635*VLOOKUP(H635,dagsoorttabel1,2,FALSE)</f>
        <v>1.2</v>
      </c>
      <c r="N635" s="96">
        <f>prodnorm75</f>
        <v>0</v>
      </c>
      <c r="O635" s="37">
        <f>dagwerk75</f>
        <v>0</v>
      </c>
      <c r="P635" s="93" t="s">
        <v>105</v>
      </c>
      <c r="Q635" s="24">
        <f>uurtarief75</f>
        <v>0</v>
      </c>
      <c r="R635" s="95" t="e">
        <f>IF(ISBLANK(N635),0,M635/ROUND(N635,4))</f>
        <v>#DIV/0!</v>
      </c>
      <c r="S635" s="95" t="e">
        <f>IF(ISBLANK(N635),0,R635*ROUND(O635,2))</f>
        <v>#DIV/0!</v>
      </c>
      <c r="T635" s="24" t="e">
        <f>ROUND(Q635,2)*R635</f>
        <v>#DIV/0!</v>
      </c>
      <c r="U635" s="95" t="e">
        <f>R635*dagenperjaar1</f>
        <v>#DIV/0!</v>
      </c>
      <c r="V635" s="25" t="e">
        <f>U635*ROUND(Q635,2)</f>
        <v>#DIV/0!</v>
      </c>
    </row>
    <row r="636" spans="1:22" x14ac:dyDescent="0.2">
      <c r="A636" s="92" t="s">
        <v>742</v>
      </c>
      <c r="B636" s="93" t="s">
        <v>47</v>
      </c>
      <c r="C636" s="93" t="s">
        <v>394</v>
      </c>
      <c r="D636" s="93" t="s">
        <v>434</v>
      </c>
      <c r="E636" s="94" t="s">
        <v>677</v>
      </c>
      <c r="F636" s="93" t="s">
        <v>442</v>
      </c>
      <c r="G636" s="93" t="s">
        <v>304</v>
      </c>
      <c r="H636" s="93" t="s">
        <v>10</v>
      </c>
      <c r="I636" s="93" t="s">
        <v>255</v>
      </c>
      <c r="J636" s="93" t="s">
        <v>47</v>
      </c>
      <c r="K636" s="93"/>
      <c r="L636" s="95">
        <v>5.7</v>
      </c>
      <c r="M636" s="95">
        <f>L636*VLOOKUP(H636,dagsoorttabel1,2,FALSE)</f>
        <v>5.7</v>
      </c>
      <c r="N636" s="96">
        <f>prodnorm75</f>
        <v>0</v>
      </c>
      <c r="O636" s="37">
        <f>dagwerk75</f>
        <v>0</v>
      </c>
      <c r="P636" s="93" t="s">
        <v>105</v>
      </c>
      <c r="Q636" s="24">
        <f>uurtarief75</f>
        <v>0</v>
      </c>
      <c r="R636" s="95" t="e">
        <f>IF(ISBLANK(N636),0,M636/ROUND(N636,4))</f>
        <v>#DIV/0!</v>
      </c>
      <c r="S636" s="95" t="e">
        <f>IF(ISBLANK(N636),0,R636*ROUND(O636,2))</f>
        <v>#DIV/0!</v>
      </c>
      <c r="T636" s="24" t="e">
        <f>ROUND(Q636,2)*R636</f>
        <v>#DIV/0!</v>
      </c>
      <c r="U636" s="95" t="e">
        <f>R636*dagenperjaar1</f>
        <v>#DIV/0!</v>
      </c>
      <c r="V636" s="25" t="e">
        <f>U636*ROUND(Q636,2)</f>
        <v>#DIV/0!</v>
      </c>
    </row>
    <row r="637" spans="1:22" x14ac:dyDescent="0.2">
      <c r="A637" s="92" t="s">
        <v>742</v>
      </c>
      <c r="B637" s="93" t="s">
        <v>47</v>
      </c>
      <c r="C637" s="93" t="s">
        <v>394</v>
      </c>
      <c r="D637" s="93" t="s">
        <v>753</v>
      </c>
      <c r="E637" s="94" t="s">
        <v>677</v>
      </c>
      <c r="F637" s="93" t="s">
        <v>442</v>
      </c>
      <c r="G637" s="93" t="s">
        <v>304</v>
      </c>
      <c r="H637" s="93" t="s">
        <v>10</v>
      </c>
      <c r="I637" s="93" t="s">
        <v>255</v>
      </c>
      <c r="J637" s="93" t="s">
        <v>47</v>
      </c>
      <c r="K637" s="93"/>
      <c r="L637" s="95">
        <v>3.6</v>
      </c>
      <c r="M637" s="95">
        <f>L637*VLOOKUP(H637,dagsoorttabel1,2,FALSE)</f>
        <v>3.6</v>
      </c>
      <c r="N637" s="96">
        <f>prodnorm75</f>
        <v>0</v>
      </c>
      <c r="O637" s="37">
        <f>dagwerk75</f>
        <v>0</v>
      </c>
      <c r="P637" s="93" t="s">
        <v>105</v>
      </c>
      <c r="Q637" s="24">
        <f>uurtarief75</f>
        <v>0</v>
      </c>
      <c r="R637" s="95" t="e">
        <f>IF(ISBLANK(N637),0,M637/ROUND(N637,4))</f>
        <v>#DIV/0!</v>
      </c>
      <c r="S637" s="95" t="e">
        <f>IF(ISBLANK(N637),0,R637*ROUND(O637,2))</f>
        <v>#DIV/0!</v>
      </c>
      <c r="T637" s="24" t="e">
        <f>ROUND(Q637,2)*R637</f>
        <v>#DIV/0!</v>
      </c>
      <c r="U637" s="95" t="e">
        <f>R637*dagenperjaar1</f>
        <v>#DIV/0!</v>
      </c>
      <c r="V637" s="25" t="e">
        <f>U637*ROUND(Q637,2)</f>
        <v>#DIV/0!</v>
      </c>
    </row>
    <row r="638" spans="1:22" x14ac:dyDescent="0.2">
      <c r="A638" s="92" t="s">
        <v>742</v>
      </c>
      <c r="B638" s="93" t="s">
        <v>47</v>
      </c>
      <c r="C638" s="93" t="s">
        <v>394</v>
      </c>
      <c r="D638" s="93" t="s">
        <v>754</v>
      </c>
      <c r="E638" s="94" t="s">
        <v>677</v>
      </c>
      <c r="F638" s="93" t="s">
        <v>442</v>
      </c>
      <c r="G638" s="93" t="s">
        <v>304</v>
      </c>
      <c r="H638" s="93" t="s">
        <v>10</v>
      </c>
      <c r="I638" s="93" t="s">
        <v>255</v>
      </c>
      <c r="J638" s="93" t="s">
        <v>47</v>
      </c>
      <c r="K638" s="93"/>
      <c r="L638" s="95">
        <v>3.6</v>
      </c>
      <c r="M638" s="95">
        <f>L638*VLOOKUP(H638,dagsoorttabel1,2,FALSE)</f>
        <v>3.6</v>
      </c>
      <c r="N638" s="96">
        <f>prodnorm75</f>
        <v>0</v>
      </c>
      <c r="O638" s="37">
        <f>dagwerk75</f>
        <v>0</v>
      </c>
      <c r="P638" s="93" t="s">
        <v>105</v>
      </c>
      <c r="Q638" s="24">
        <f>uurtarief75</f>
        <v>0</v>
      </c>
      <c r="R638" s="95" t="e">
        <f>IF(ISBLANK(N638),0,M638/ROUND(N638,4))</f>
        <v>#DIV/0!</v>
      </c>
      <c r="S638" s="95" t="e">
        <f>IF(ISBLANK(N638),0,R638*ROUND(O638,2))</f>
        <v>#DIV/0!</v>
      </c>
      <c r="T638" s="24" t="e">
        <f>ROUND(Q638,2)*R638</f>
        <v>#DIV/0!</v>
      </c>
      <c r="U638" s="95" t="e">
        <f>R638*dagenperjaar1</f>
        <v>#DIV/0!</v>
      </c>
      <c r="V638" s="25" t="e">
        <f>U638*ROUND(Q638,2)</f>
        <v>#DIV/0!</v>
      </c>
    </row>
    <row r="639" spans="1:22" x14ac:dyDescent="0.2">
      <c r="A639" s="92" t="s">
        <v>742</v>
      </c>
      <c r="B639" s="93" t="s">
        <v>47</v>
      </c>
      <c r="C639" s="93" t="s">
        <v>394</v>
      </c>
      <c r="D639" s="93" t="s">
        <v>449</v>
      </c>
      <c r="E639" s="94" t="s">
        <v>677</v>
      </c>
      <c r="F639" s="93" t="s">
        <v>442</v>
      </c>
      <c r="G639" s="93" t="s">
        <v>304</v>
      </c>
      <c r="H639" s="93" t="s">
        <v>10</v>
      </c>
      <c r="I639" s="93" t="s">
        <v>255</v>
      </c>
      <c r="J639" s="93" t="s">
        <v>47</v>
      </c>
      <c r="K639" s="93"/>
      <c r="L639" s="95">
        <v>1.1000000000000001</v>
      </c>
      <c r="M639" s="95">
        <f>L639*VLOOKUP(H639,dagsoorttabel1,2,FALSE)</f>
        <v>1.1000000000000001</v>
      </c>
      <c r="N639" s="96">
        <f>prodnorm75</f>
        <v>0</v>
      </c>
      <c r="O639" s="37">
        <f>dagwerk75</f>
        <v>0</v>
      </c>
      <c r="P639" s="93" t="s">
        <v>105</v>
      </c>
      <c r="Q639" s="24">
        <f>uurtarief75</f>
        <v>0</v>
      </c>
      <c r="R639" s="95" t="e">
        <f>IF(ISBLANK(N639),0,M639/ROUND(N639,4))</f>
        <v>#DIV/0!</v>
      </c>
      <c r="S639" s="95" t="e">
        <f>IF(ISBLANK(N639),0,R639*ROUND(O639,2))</f>
        <v>#DIV/0!</v>
      </c>
      <c r="T639" s="24" t="e">
        <f>ROUND(Q639,2)*R639</f>
        <v>#DIV/0!</v>
      </c>
      <c r="U639" s="95" t="e">
        <f>R639*dagenperjaar1</f>
        <v>#DIV/0!</v>
      </c>
      <c r="V639" s="25" t="e">
        <f>U639*ROUND(Q639,2)</f>
        <v>#DIV/0!</v>
      </c>
    </row>
    <row r="640" spans="1:22" x14ac:dyDescent="0.2">
      <c r="A640" s="97" t="s">
        <v>742</v>
      </c>
      <c r="B640" s="98" t="s">
        <v>47</v>
      </c>
      <c r="C640" s="98" t="s">
        <v>394</v>
      </c>
      <c r="D640" s="98" t="s">
        <v>450</v>
      </c>
      <c r="E640" s="99" t="s">
        <v>755</v>
      </c>
      <c r="F640" s="98" t="s">
        <v>441</v>
      </c>
      <c r="G640" s="98" t="s">
        <v>314</v>
      </c>
      <c r="H640" s="98" t="s">
        <v>10</v>
      </c>
      <c r="I640" s="98" t="s">
        <v>255</v>
      </c>
      <c r="J640" s="98" t="s">
        <v>47</v>
      </c>
      <c r="K640" s="98"/>
      <c r="L640" s="100">
        <v>12</v>
      </c>
      <c r="M640" s="100">
        <f>L640*VLOOKUP(H640,dagsoorttabel1,2,FALSE)</f>
        <v>12</v>
      </c>
      <c r="N640" s="101">
        <f>prodnorm89</f>
        <v>0</v>
      </c>
      <c r="O640" s="102">
        <f>dagwerk89</f>
        <v>0</v>
      </c>
      <c r="P640" s="98" t="s">
        <v>105</v>
      </c>
      <c r="Q640" s="34">
        <f>uurtarief89</f>
        <v>0</v>
      </c>
      <c r="R640" s="100" t="e">
        <f>IF(ISBLANK(N640),0,M640/ROUND(N640,4))</f>
        <v>#DIV/0!</v>
      </c>
      <c r="S640" s="100" t="e">
        <f>IF(ISBLANK(N640),0,R640*ROUND(O640,2))</f>
        <v>#DIV/0!</v>
      </c>
      <c r="T640" s="34" t="e">
        <f>ROUND(Q640,2)*R640</f>
        <v>#DIV/0!</v>
      </c>
      <c r="U640" s="100" t="e">
        <f>R640*dagenperjaar1</f>
        <v>#DIV/0!</v>
      </c>
      <c r="V640" s="35" t="e">
        <f>U640*ROUND(Q640,2)</f>
        <v>#DIV/0!</v>
      </c>
    </row>
    <row r="641" spans="1:22" x14ac:dyDescent="0.2">
      <c r="A641" s="103" t="s">
        <v>436</v>
      </c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5" t="e">
        <f>IF(_xlfn.SINGLE(object15_urenjaar1)&gt;0,_xlfn.SINGLE(object15_prijsjaar1)/_xlfn.SINGLE(object15_urenjaar1),0)</f>
        <v>#DIV/0!</v>
      </c>
      <c r="R641" s="74" t="e">
        <f>SUM(R614:R640)</f>
        <v>#DIV/0!</v>
      </c>
      <c r="S641" s="74" t="e">
        <f>SUM(S614:S640)</f>
        <v>#DIV/0!</v>
      </c>
      <c r="T641" s="75" t="e">
        <f>SUM(T614:T640)</f>
        <v>#DIV/0!</v>
      </c>
      <c r="U641" s="74" t="e">
        <f>SUM(U614:U640)</f>
        <v>#DIV/0!</v>
      </c>
      <c r="V641" s="76" t="e">
        <f>SUM(V614:V640)</f>
        <v>#DIV/0!</v>
      </c>
    </row>
    <row r="642" spans="1:22" x14ac:dyDescent="0.2">
      <c r="A642" s="83" t="s">
        <v>756</v>
      </c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71"/>
    </row>
    <row r="643" spans="1:22" x14ac:dyDescent="0.2">
      <c r="A643" s="84" t="s">
        <v>757</v>
      </c>
      <c r="B643" s="85" t="s">
        <v>47</v>
      </c>
      <c r="C643" s="85" t="s">
        <v>394</v>
      </c>
      <c r="D643" s="85" t="s">
        <v>47</v>
      </c>
      <c r="E643" s="86" t="s">
        <v>531</v>
      </c>
      <c r="F643" s="85" t="s">
        <v>441</v>
      </c>
      <c r="G643" s="85" t="s">
        <v>308</v>
      </c>
      <c r="H643" s="85" t="s">
        <v>13</v>
      </c>
      <c r="I643" s="85" t="s">
        <v>255</v>
      </c>
      <c r="J643" s="85" t="s">
        <v>47</v>
      </c>
      <c r="K643" s="85"/>
      <c r="L643" s="87">
        <v>24</v>
      </c>
      <c r="M643" s="87">
        <f>L643*VLOOKUP(H643,dagsoorttabel1,2,FALSE)</f>
        <v>18.823529411764707</v>
      </c>
      <c r="N643" s="88">
        <f>prodnorm81</f>
        <v>0</v>
      </c>
      <c r="O643" s="89">
        <f>dagwerk81</f>
        <v>0</v>
      </c>
      <c r="P643" s="85" t="s">
        <v>105</v>
      </c>
      <c r="Q643" s="90">
        <f>uurtarief81</f>
        <v>0</v>
      </c>
      <c r="R643" s="87" t="e">
        <f>IF(ISBLANK(N643),0,M643/ROUND(N643,4))</f>
        <v>#DIV/0!</v>
      </c>
      <c r="S643" s="87" t="e">
        <f>IF(ISBLANK(N643),0,R643*ROUND(O643,2))</f>
        <v>#DIV/0!</v>
      </c>
      <c r="T643" s="90" t="e">
        <f>ROUND(Q643,2)*R643</f>
        <v>#DIV/0!</v>
      </c>
      <c r="U643" s="87" t="e">
        <f>R643*dagenperjaar1</f>
        <v>#DIV/0!</v>
      </c>
      <c r="V643" s="91" t="e">
        <f>U643*ROUND(Q643,2)</f>
        <v>#DIV/0!</v>
      </c>
    </row>
    <row r="644" spans="1:22" x14ac:dyDescent="0.2">
      <c r="A644" s="92" t="s">
        <v>757</v>
      </c>
      <c r="B644" s="93" t="s">
        <v>47</v>
      </c>
      <c r="C644" s="93" t="s">
        <v>394</v>
      </c>
      <c r="D644" s="93" t="s">
        <v>47</v>
      </c>
      <c r="E644" s="94" t="s">
        <v>531</v>
      </c>
      <c r="F644" s="93" t="s">
        <v>397</v>
      </c>
      <c r="G644" s="93" t="s">
        <v>308</v>
      </c>
      <c r="H644" s="93" t="s">
        <v>13</v>
      </c>
      <c r="I644" s="93" t="s">
        <v>255</v>
      </c>
      <c r="J644" s="93" t="s">
        <v>47</v>
      </c>
      <c r="K644" s="93"/>
      <c r="L644" s="95">
        <v>16</v>
      </c>
      <c r="M644" s="95">
        <f>L644*VLOOKUP(H644,dagsoorttabel1,2,FALSE)</f>
        <v>12.549019607843137</v>
      </c>
      <c r="N644" s="96">
        <f>prodnorm81</f>
        <v>0</v>
      </c>
      <c r="O644" s="37">
        <f>dagwerk81</f>
        <v>0</v>
      </c>
      <c r="P644" s="93" t="s">
        <v>105</v>
      </c>
      <c r="Q644" s="24">
        <f>uurtarief81</f>
        <v>0</v>
      </c>
      <c r="R644" s="95" t="e">
        <f>IF(ISBLANK(N644),0,M644/ROUND(N644,4))</f>
        <v>#DIV/0!</v>
      </c>
      <c r="S644" s="95" t="e">
        <f>IF(ISBLANK(N644),0,R644*ROUND(O644,2))</f>
        <v>#DIV/0!</v>
      </c>
      <c r="T644" s="24" t="e">
        <f>ROUND(Q644,2)*R644</f>
        <v>#DIV/0!</v>
      </c>
      <c r="U644" s="95" t="e">
        <f>R644*dagenperjaar1</f>
        <v>#DIV/0!</v>
      </c>
      <c r="V644" s="25" t="e">
        <f>U644*ROUND(Q644,2)</f>
        <v>#DIV/0!</v>
      </c>
    </row>
    <row r="645" spans="1:22" x14ac:dyDescent="0.2">
      <c r="A645" s="92" t="s">
        <v>757</v>
      </c>
      <c r="B645" s="93" t="s">
        <v>47</v>
      </c>
      <c r="C645" s="93" t="s">
        <v>394</v>
      </c>
      <c r="D645" s="93" t="s">
        <v>47</v>
      </c>
      <c r="E645" s="94" t="s">
        <v>531</v>
      </c>
      <c r="F645" s="93" t="s">
        <v>456</v>
      </c>
      <c r="G645" s="93" t="s">
        <v>308</v>
      </c>
      <c r="H645" s="93" t="s">
        <v>13</v>
      </c>
      <c r="I645" s="93" t="s">
        <v>255</v>
      </c>
      <c r="J645" s="93" t="s">
        <v>47</v>
      </c>
      <c r="K645" s="93"/>
      <c r="L645" s="95">
        <v>16</v>
      </c>
      <c r="M645" s="95">
        <f>L645*VLOOKUP(H645,dagsoorttabel1,2,FALSE)</f>
        <v>12.549019607843137</v>
      </c>
      <c r="N645" s="96">
        <f>prodnorm81</f>
        <v>0</v>
      </c>
      <c r="O645" s="37">
        <f>dagwerk81</f>
        <v>0</v>
      </c>
      <c r="P645" s="93" t="s">
        <v>105</v>
      </c>
      <c r="Q645" s="24">
        <f>uurtarief81</f>
        <v>0</v>
      </c>
      <c r="R645" s="95" t="e">
        <f>IF(ISBLANK(N645),0,M645/ROUND(N645,4))</f>
        <v>#DIV/0!</v>
      </c>
      <c r="S645" s="95" t="e">
        <f>IF(ISBLANK(N645),0,R645*ROUND(O645,2))</f>
        <v>#DIV/0!</v>
      </c>
      <c r="T645" s="24" t="e">
        <f>ROUND(Q645,2)*R645</f>
        <v>#DIV/0!</v>
      </c>
      <c r="U645" s="95" t="e">
        <f>R645*dagenperjaar1</f>
        <v>#DIV/0!</v>
      </c>
      <c r="V645" s="25" t="e">
        <f>U645*ROUND(Q645,2)</f>
        <v>#DIV/0!</v>
      </c>
    </row>
    <row r="646" spans="1:22" x14ac:dyDescent="0.2">
      <c r="A646" s="92" t="s">
        <v>757</v>
      </c>
      <c r="B646" s="93" t="s">
        <v>47</v>
      </c>
      <c r="C646" s="93" t="s">
        <v>394</v>
      </c>
      <c r="D646" s="93" t="s">
        <v>47</v>
      </c>
      <c r="E646" s="94" t="s">
        <v>531</v>
      </c>
      <c r="F646" s="93" t="s">
        <v>704</v>
      </c>
      <c r="G646" s="93" t="s">
        <v>308</v>
      </c>
      <c r="H646" s="93" t="s">
        <v>13</v>
      </c>
      <c r="I646" s="93" t="s">
        <v>255</v>
      </c>
      <c r="J646" s="93" t="s">
        <v>47</v>
      </c>
      <c r="K646" s="93"/>
      <c r="L646" s="95">
        <v>16</v>
      </c>
      <c r="M646" s="95">
        <f>L646*VLOOKUP(H646,dagsoorttabel1,2,FALSE)</f>
        <v>12.549019607843137</v>
      </c>
      <c r="N646" s="96">
        <f>prodnorm81</f>
        <v>0</v>
      </c>
      <c r="O646" s="37">
        <f>dagwerk81</f>
        <v>0</v>
      </c>
      <c r="P646" s="93" t="s">
        <v>105</v>
      </c>
      <c r="Q646" s="24">
        <f>uurtarief81</f>
        <v>0</v>
      </c>
      <c r="R646" s="95" t="e">
        <f>IF(ISBLANK(N646),0,M646/ROUND(N646,4))</f>
        <v>#DIV/0!</v>
      </c>
      <c r="S646" s="95" t="e">
        <f>IF(ISBLANK(N646),0,R646*ROUND(O646,2))</f>
        <v>#DIV/0!</v>
      </c>
      <c r="T646" s="24" t="e">
        <f>ROUND(Q646,2)*R646</f>
        <v>#DIV/0!</v>
      </c>
      <c r="U646" s="95" t="e">
        <f>R646*dagenperjaar1</f>
        <v>#DIV/0!</v>
      </c>
      <c r="V646" s="25" t="e">
        <f>U646*ROUND(Q646,2)</f>
        <v>#DIV/0!</v>
      </c>
    </row>
    <row r="647" spans="1:22" x14ac:dyDescent="0.2">
      <c r="A647" s="92" t="s">
        <v>757</v>
      </c>
      <c r="B647" s="93" t="s">
        <v>47</v>
      </c>
      <c r="C647" s="93" t="s">
        <v>394</v>
      </c>
      <c r="D647" s="93" t="s">
        <v>47</v>
      </c>
      <c r="E647" s="94" t="s">
        <v>531</v>
      </c>
      <c r="F647" s="93" t="s">
        <v>456</v>
      </c>
      <c r="G647" s="93" t="s">
        <v>308</v>
      </c>
      <c r="H647" s="93" t="s">
        <v>13</v>
      </c>
      <c r="I647" s="93" t="s">
        <v>255</v>
      </c>
      <c r="J647" s="93" t="s">
        <v>47</v>
      </c>
      <c r="K647" s="93"/>
      <c r="L647" s="95">
        <v>16</v>
      </c>
      <c r="M647" s="95">
        <f>L647*VLOOKUP(H647,dagsoorttabel1,2,FALSE)</f>
        <v>12.549019607843137</v>
      </c>
      <c r="N647" s="96">
        <f>prodnorm81</f>
        <v>0</v>
      </c>
      <c r="O647" s="37">
        <f>dagwerk81</f>
        <v>0</v>
      </c>
      <c r="P647" s="93" t="s">
        <v>105</v>
      </c>
      <c r="Q647" s="24">
        <f>uurtarief81</f>
        <v>0</v>
      </c>
      <c r="R647" s="95" t="e">
        <f>IF(ISBLANK(N647),0,M647/ROUND(N647,4))</f>
        <v>#DIV/0!</v>
      </c>
      <c r="S647" s="95" t="e">
        <f>IF(ISBLANK(N647),0,R647*ROUND(O647,2))</f>
        <v>#DIV/0!</v>
      </c>
      <c r="T647" s="24" t="e">
        <f>ROUND(Q647,2)*R647</f>
        <v>#DIV/0!</v>
      </c>
      <c r="U647" s="95" t="e">
        <f>R647*dagenperjaar1</f>
        <v>#DIV/0!</v>
      </c>
      <c r="V647" s="25" t="e">
        <f>U647*ROUND(Q647,2)</f>
        <v>#DIV/0!</v>
      </c>
    </row>
    <row r="648" spans="1:22" x14ac:dyDescent="0.2">
      <c r="A648" s="92" t="s">
        <v>757</v>
      </c>
      <c r="B648" s="93" t="s">
        <v>47</v>
      </c>
      <c r="C648" s="93" t="s">
        <v>394</v>
      </c>
      <c r="D648" s="93" t="s">
        <v>47</v>
      </c>
      <c r="E648" s="94" t="s">
        <v>531</v>
      </c>
      <c r="F648" s="93" t="s">
        <v>456</v>
      </c>
      <c r="G648" s="93" t="s">
        <v>308</v>
      </c>
      <c r="H648" s="93" t="s">
        <v>13</v>
      </c>
      <c r="I648" s="93" t="s">
        <v>255</v>
      </c>
      <c r="J648" s="93" t="s">
        <v>47</v>
      </c>
      <c r="K648" s="93"/>
      <c r="L648" s="95">
        <v>16</v>
      </c>
      <c r="M648" s="95">
        <f>L648*VLOOKUP(H648,dagsoorttabel1,2,FALSE)</f>
        <v>12.549019607843137</v>
      </c>
      <c r="N648" s="96">
        <f>prodnorm81</f>
        <v>0</v>
      </c>
      <c r="O648" s="37">
        <f>dagwerk81</f>
        <v>0</v>
      </c>
      <c r="P648" s="93" t="s">
        <v>105</v>
      </c>
      <c r="Q648" s="24">
        <f>uurtarief81</f>
        <v>0</v>
      </c>
      <c r="R648" s="95" t="e">
        <f>IF(ISBLANK(N648),0,M648/ROUND(N648,4))</f>
        <v>#DIV/0!</v>
      </c>
      <c r="S648" s="95" t="e">
        <f>IF(ISBLANK(N648),0,R648*ROUND(O648,2))</f>
        <v>#DIV/0!</v>
      </c>
      <c r="T648" s="24" t="e">
        <f>ROUND(Q648,2)*R648</f>
        <v>#DIV/0!</v>
      </c>
      <c r="U648" s="95" t="e">
        <f>R648*dagenperjaar1</f>
        <v>#DIV/0!</v>
      </c>
      <c r="V648" s="25" t="e">
        <f>U648*ROUND(Q648,2)</f>
        <v>#DIV/0!</v>
      </c>
    </row>
    <row r="649" spans="1:22" x14ac:dyDescent="0.2">
      <c r="A649" s="92" t="s">
        <v>757</v>
      </c>
      <c r="B649" s="93" t="s">
        <v>47</v>
      </c>
      <c r="C649" s="93" t="s">
        <v>394</v>
      </c>
      <c r="D649" s="93" t="s">
        <v>47</v>
      </c>
      <c r="E649" s="94" t="s">
        <v>518</v>
      </c>
      <c r="F649" s="93" t="s">
        <v>456</v>
      </c>
      <c r="G649" s="93" t="s">
        <v>308</v>
      </c>
      <c r="H649" s="93" t="s">
        <v>13</v>
      </c>
      <c r="I649" s="93" t="s">
        <v>255</v>
      </c>
      <c r="J649" s="93" t="s">
        <v>47</v>
      </c>
      <c r="K649" s="93"/>
      <c r="L649" s="95">
        <v>16</v>
      </c>
      <c r="M649" s="95">
        <f>L649*VLOOKUP(H649,dagsoorttabel1,2,FALSE)</f>
        <v>12.549019607843137</v>
      </c>
      <c r="N649" s="96">
        <f>prodnorm81</f>
        <v>0</v>
      </c>
      <c r="O649" s="37">
        <f>dagwerk81</f>
        <v>0</v>
      </c>
      <c r="P649" s="93" t="s">
        <v>105</v>
      </c>
      <c r="Q649" s="24">
        <f>uurtarief81</f>
        <v>0</v>
      </c>
      <c r="R649" s="95" t="e">
        <f>IF(ISBLANK(N649),0,M649/ROUND(N649,4))</f>
        <v>#DIV/0!</v>
      </c>
      <c r="S649" s="95" t="e">
        <f>IF(ISBLANK(N649),0,R649*ROUND(O649,2))</f>
        <v>#DIV/0!</v>
      </c>
      <c r="T649" s="24" t="e">
        <f>ROUND(Q649,2)*R649</f>
        <v>#DIV/0!</v>
      </c>
      <c r="U649" s="95" t="e">
        <f>R649*dagenperjaar1</f>
        <v>#DIV/0!</v>
      </c>
      <c r="V649" s="25" t="e">
        <f>U649*ROUND(Q649,2)</f>
        <v>#DIV/0!</v>
      </c>
    </row>
    <row r="650" spans="1:22" x14ac:dyDescent="0.2">
      <c r="A650" s="92" t="s">
        <v>757</v>
      </c>
      <c r="B650" s="93" t="s">
        <v>47</v>
      </c>
      <c r="C650" s="93" t="s">
        <v>394</v>
      </c>
      <c r="D650" s="93" t="s">
        <v>47</v>
      </c>
      <c r="E650" s="94" t="s">
        <v>531</v>
      </c>
      <c r="F650" s="93" t="s">
        <v>456</v>
      </c>
      <c r="G650" s="93" t="s">
        <v>308</v>
      </c>
      <c r="H650" s="93" t="s">
        <v>13</v>
      </c>
      <c r="I650" s="93" t="s">
        <v>255</v>
      </c>
      <c r="J650" s="93" t="s">
        <v>47</v>
      </c>
      <c r="K650" s="93"/>
      <c r="L650" s="95">
        <v>5</v>
      </c>
      <c r="M650" s="95">
        <f>L650*VLOOKUP(H650,dagsoorttabel1,2,FALSE)</f>
        <v>3.9215686274509802</v>
      </c>
      <c r="N650" s="96">
        <f>prodnorm81</f>
        <v>0</v>
      </c>
      <c r="O650" s="37">
        <f>dagwerk81</f>
        <v>0</v>
      </c>
      <c r="P650" s="93" t="s">
        <v>105</v>
      </c>
      <c r="Q650" s="24">
        <f>uurtarief81</f>
        <v>0</v>
      </c>
      <c r="R650" s="95" t="e">
        <f>IF(ISBLANK(N650),0,M650/ROUND(N650,4))</f>
        <v>#DIV/0!</v>
      </c>
      <c r="S650" s="95" t="e">
        <f>IF(ISBLANK(N650),0,R650*ROUND(O650,2))</f>
        <v>#DIV/0!</v>
      </c>
      <c r="T650" s="24" t="e">
        <f>ROUND(Q650,2)*R650</f>
        <v>#DIV/0!</v>
      </c>
      <c r="U650" s="95" t="e">
        <f>R650*dagenperjaar1</f>
        <v>#DIV/0!</v>
      </c>
      <c r="V650" s="25" t="e">
        <f>U650*ROUND(Q650,2)</f>
        <v>#DIV/0!</v>
      </c>
    </row>
    <row r="651" spans="1:22" x14ac:dyDescent="0.2">
      <c r="A651" s="92" t="s">
        <v>757</v>
      </c>
      <c r="B651" s="93" t="s">
        <v>47</v>
      </c>
      <c r="C651" s="93" t="s">
        <v>394</v>
      </c>
      <c r="D651" s="93" t="s">
        <v>758</v>
      </c>
      <c r="E651" s="94" t="s">
        <v>759</v>
      </c>
      <c r="F651" s="93" t="s">
        <v>441</v>
      </c>
      <c r="G651" s="93" t="s">
        <v>300</v>
      </c>
      <c r="H651" s="93" t="s">
        <v>13</v>
      </c>
      <c r="I651" s="93" t="s">
        <v>255</v>
      </c>
      <c r="J651" s="93" t="s">
        <v>47</v>
      </c>
      <c r="K651" s="93"/>
      <c r="L651" s="95">
        <v>35.700000000000003</v>
      </c>
      <c r="M651" s="95">
        <f>L651*VLOOKUP(H651,dagsoorttabel1,2,FALSE)</f>
        <v>28.000000000000004</v>
      </c>
      <c r="N651" s="96">
        <f>prodnorm70</f>
        <v>0</v>
      </c>
      <c r="O651" s="37">
        <f>dagwerk70</f>
        <v>0</v>
      </c>
      <c r="P651" s="93" t="s">
        <v>105</v>
      </c>
      <c r="Q651" s="24">
        <f>uurtarief70</f>
        <v>0</v>
      </c>
      <c r="R651" s="95" t="e">
        <f>IF(ISBLANK(N651),0,M651/ROUND(N651,4))</f>
        <v>#DIV/0!</v>
      </c>
      <c r="S651" s="95" t="e">
        <f>IF(ISBLANK(N651),0,R651*ROUND(O651,2))</f>
        <v>#DIV/0!</v>
      </c>
      <c r="T651" s="24" t="e">
        <f>ROUND(Q651,2)*R651</f>
        <v>#DIV/0!</v>
      </c>
      <c r="U651" s="95" t="e">
        <f>R651*dagenperjaar1</f>
        <v>#DIV/0!</v>
      </c>
      <c r="V651" s="25" t="e">
        <f>U651*ROUND(Q651,2)</f>
        <v>#DIV/0!</v>
      </c>
    </row>
    <row r="652" spans="1:22" x14ac:dyDescent="0.2">
      <c r="A652" s="92" t="s">
        <v>757</v>
      </c>
      <c r="B652" s="93" t="s">
        <v>47</v>
      </c>
      <c r="C652" s="93" t="s">
        <v>394</v>
      </c>
      <c r="D652" s="93" t="s">
        <v>760</v>
      </c>
      <c r="E652" s="94" t="s">
        <v>761</v>
      </c>
      <c r="F652" s="93" t="s">
        <v>441</v>
      </c>
      <c r="G652" s="93" t="s">
        <v>300</v>
      </c>
      <c r="H652" s="93" t="s">
        <v>13</v>
      </c>
      <c r="I652" s="93" t="s">
        <v>255</v>
      </c>
      <c r="J652" s="93" t="s">
        <v>47</v>
      </c>
      <c r="K652" s="93"/>
      <c r="L652" s="95">
        <v>19.100000000000001</v>
      </c>
      <c r="M652" s="95">
        <f>L652*VLOOKUP(H652,dagsoorttabel1,2,FALSE)</f>
        <v>14.980392156862745</v>
      </c>
      <c r="N652" s="96">
        <f>prodnorm70</f>
        <v>0</v>
      </c>
      <c r="O652" s="37">
        <f>dagwerk70</f>
        <v>0</v>
      </c>
      <c r="P652" s="93" t="s">
        <v>105</v>
      </c>
      <c r="Q652" s="24">
        <f>uurtarief70</f>
        <v>0</v>
      </c>
      <c r="R652" s="95" t="e">
        <f>IF(ISBLANK(N652),0,M652/ROUND(N652,4))</f>
        <v>#DIV/0!</v>
      </c>
      <c r="S652" s="95" t="e">
        <f>IF(ISBLANK(N652),0,R652*ROUND(O652,2))</f>
        <v>#DIV/0!</v>
      </c>
      <c r="T652" s="24" t="e">
        <f>ROUND(Q652,2)*R652</f>
        <v>#DIV/0!</v>
      </c>
      <c r="U652" s="95" t="e">
        <f>R652*dagenperjaar1</f>
        <v>#DIV/0!</v>
      </c>
      <c r="V652" s="25" t="e">
        <f>U652*ROUND(Q652,2)</f>
        <v>#DIV/0!</v>
      </c>
    </row>
    <row r="653" spans="1:22" x14ac:dyDescent="0.2">
      <c r="A653" s="92" t="s">
        <v>757</v>
      </c>
      <c r="B653" s="93" t="s">
        <v>47</v>
      </c>
      <c r="C653" s="93" t="s">
        <v>394</v>
      </c>
      <c r="D653" s="93" t="s">
        <v>762</v>
      </c>
      <c r="E653" s="94" t="s">
        <v>763</v>
      </c>
      <c r="F653" s="93" t="s">
        <v>764</v>
      </c>
      <c r="G653" s="93" t="s">
        <v>294</v>
      </c>
      <c r="H653" s="93" t="s">
        <v>13</v>
      </c>
      <c r="I653" s="93" t="s">
        <v>255</v>
      </c>
      <c r="J653" s="93" t="s">
        <v>47</v>
      </c>
      <c r="K653" s="93"/>
      <c r="L653" s="95">
        <v>19.100000000000001</v>
      </c>
      <c r="M653" s="95">
        <f>L653*VLOOKUP(H653,dagsoorttabel1,2,FALSE)</f>
        <v>14.980392156862745</v>
      </c>
      <c r="N653" s="96">
        <f>prodnorm66</f>
        <v>0</v>
      </c>
      <c r="O653" s="37">
        <f>dagwerk66</f>
        <v>0</v>
      </c>
      <c r="P653" s="93" t="s">
        <v>105</v>
      </c>
      <c r="Q653" s="24">
        <f>uurtarief66</f>
        <v>0</v>
      </c>
      <c r="R653" s="95" t="e">
        <f>IF(ISBLANK(N653),0,M653/ROUND(N653,4))</f>
        <v>#DIV/0!</v>
      </c>
      <c r="S653" s="95" t="e">
        <f>IF(ISBLANK(N653),0,R653*ROUND(O653,2))</f>
        <v>#DIV/0!</v>
      </c>
      <c r="T653" s="24" t="e">
        <f>ROUND(Q653,2)*R653</f>
        <v>#DIV/0!</v>
      </c>
      <c r="U653" s="95" t="e">
        <f>R653*dagenperjaar1</f>
        <v>#DIV/0!</v>
      </c>
      <c r="V653" s="25" t="e">
        <f>U653*ROUND(Q653,2)</f>
        <v>#DIV/0!</v>
      </c>
    </row>
    <row r="654" spans="1:22" x14ac:dyDescent="0.2">
      <c r="A654" s="92" t="s">
        <v>757</v>
      </c>
      <c r="B654" s="93" t="s">
        <v>47</v>
      </c>
      <c r="C654" s="93" t="s">
        <v>394</v>
      </c>
      <c r="D654" s="93" t="s">
        <v>765</v>
      </c>
      <c r="E654" s="94" t="s">
        <v>681</v>
      </c>
      <c r="F654" s="93" t="s">
        <v>496</v>
      </c>
      <c r="G654" s="93" t="s">
        <v>263</v>
      </c>
      <c r="H654" s="93" t="s">
        <v>13</v>
      </c>
      <c r="I654" s="93" t="s">
        <v>255</v>
      </c>
      <c r="J654" s="93" t="s">
        <v>47</v>
      </c>
      <c r="K654" s="93"/>
      <c r="L654" s="95">
        <v>60.1</v>
      </c>
      <c r="M654" s="95">
        <f>L654*VLOOKUP(H654,dagsoorttabel1,2,FALSE)</f>
        <v>47.137254901960787</v>
      </c>
      <c r="N654" s="96">
        <f>prodnorm36</f>
        <v>0</v>
      </c>
      <c r="O654" s="37">
        <f>dagwerk36</f>
        <v>0</v>
      </c>
      <c r="P654" s="93" t="s">
        <v>105</v>
      </c>
      <c r="Q654" s="24">
        <f>uurtarief36</f>
        <v>0</v>
      </c>
      <c r="R654" s="95" t="e">
        <f>IF(ISBLANK(N654),0,M654/ROUND(N654,4))</f>
        <v>#DIV/0!</v>
      </c>
      <c r="S654" s="95" t="e">
        <f>IF(ISBLANK(N654),0,R654*ROUND(O654,2))</f>
        <v>#DIV/0!</v>
      </c>
      <c r="T654" s="24" t="e">
        <f>ROUND(Q654,2)*R654</f>
        <v>#DIV/0!</v>
      </c>
      <c r="U654" s="95" t="e">
        <f>R654*dagenperjaar1</f>
        <v>#DIV/0!</v>
      </c>
      <c r="V654" s="25" t="e">
        <f>U654*ROUND(Q654,2)</f>
        <v>#DIV/0!</v>
      </c>
    </row>
    <row r="655" spans="1:22" x14ac:dyDescent="0.2">
      <c r="A655" s="92" t="s">
        <v>757</v>
      </c>
      <c r="B655" s="93" t="s">
        <v>47</v>
      </c>
      <c r="C655" s="93" t="s">
        <v>394</v>
      </c>
      <c r="D655" s="93" t="s">
        <v>766</v>
      </c>
      <c r="E655" s="94" t="s">
        <v>525</v>
      </c>
      <c r="F655" s="93" t="s">
        <v>476</v>
      </c>
      <c r="G655" s="93" t="s">
        <v>274</v>
      </c>
      <c r="H655" s="93" t="s">
        <v>13</v>
      </c>
      <c r="I655" s="93" t="s">
        <v>255</v>
      </c>
      <c r="J655" s="93" t="s">
        <v>47</v>
      </c>
      <c r="K655" s="93"/>
      <c r="L655" s="95">
        <v>7.2</v>
      </c>
      <c r="M655" s="95">
        <f>L655*VLOOKUP(H655,dagsoorttabel1,2,FALSE)</f>
        <v>5.6470588235294121</v>
      </c>
      <c r="N655" s="96">
        <f>prodnorm47</f>
        <v>0</v>
      </c>
      <c r="O655" s="37">
        <f>dagwerk47</f>
        <v>0</v>
      </c>
      <c r="P655" s="93" t="s">
        <v>105</v>
      </c>
      <c r="Q655" s="24">
        <f>uurtarief47</f>
        <v>0</v>
      </c>
      <c r="R655" s="95" t="e">
        <f>IF(ISBLANK(N655),0,M655/ROUND(N655,4))</f>
        <v>#DIV/0!</v>
      </c>
      <c r="S655" s="95" t="e">
        <f>IF(ISBLANK(N655),0,R655*ROUND(O655,2))</f>
        <v>#DIV/0!</v>
      </c>
      <c r="T655" s="24" t="e">
        <f>ROUND(Q655,2)*R655</f>
        <v>#DIV/0!</v>
      </c>
      <c r="U655" s="95" t="e">
        <f>R655*dagenperjaar1</f>
        <v>#DIV/0!</v>
      </c>
      <c r="V655" s="25" t="e">
        <f>U655*ROUND(Q655,2)</f>
        <v>#DIV/0!</v>
      </c>
    </row>
    <row r="656" spans="1:22" x14ac:dyDescent="0.2">
      <c r="A656" s="92" t="s">
        <v>757</v>
      </c>
      <c r="B656" s="93" t="s">
        <v>47</v>
      </c>
      <c r="C656" s="93" t="s">
        <v>394</v>
      </c>
      <c r="D656" s="93" t="s">
        <v>767</v>
      </c>
      <c r="E656" s="94" t="s">
        <v>459</v>
      </c>
      <c r="F656" s="93" t="s">
        <v>441</v>
      </c>
      <c r="G656" s="93" t="s">
        <v>314</v>
      </c>
      <c r="H656" s="93" t="s">
        <v>13</v>
      </c>
      <c r="I656" s="93" t="s">
        <v>255</v>
      </c>
      <c r="J656" s="93" t="s">
        <v>47</v>
      </c>
      <c r="K656" s="93"/>
      <c r="L656" s="95">
        <v>3.2</v>
      </c>
      <c r="M656" s="95">
        <f>L656*VLOOKUP(H656,dagsoorttabel1,2,FALSE)</f>
        <v>2.5098039215686274</v>
      </c>
      <c r="N656" s="96">
        <f>prodnorm88</f>
        <v>0</v>
      </c>
      <c r="O656" s="37">
        <f>dagwerk88</f>
        <v>0</v>
      </c>
      <c r="P656" s="93" t="s">
        <v>105</v>
      </c>
      <c r="Q656" s="24">
        <f>uurtarief88</f>
        <v>0</v>
      </c>
      <c r="R656" s="95" t="e">
        <f>IF(ISBLANK(N656),0,M656/ROUND(N656,4))</f>
        <v>#DIV/0!</v>
      </c>
      <c r="S656" s="95" t="e">
        <f>IF(ISBLANK(N656),0,R656*ROUND(O656,2))</f>
        <v>#DIV/0!</v>
      </c>
      <c r="T656" s="24" t="e">
        <f>ROUND(Q656,2)*R656</f>
        <v>#DIV/0!</v>
      </c>
      <c r="U656" s="95" t="e">
        <f>R656*dagenperjaar1</f>
        <v>#DIV/0!</v>
      </c>
      <c r="V656" s="25" t="e">
        <f>U656*ROUND(Q656,2)</f>
        <v>#DIV/0!</v>
      </c>
    </row>
    <row r="657" spans="1:22" x14ac:dyDescent="0.2">
      <c r="A657" s="92" t="s">
        <v>757</v>
      </c>
      <c r="B657" s="93" t="s">
        <v>47</v>
      </c>
      <c r="C657" s="93" t="s">
        <v>394</v>
      </c>
      <c r="D657" s="93" t="s">
        <v>768</v>
      </c>
      <c r="E657" s="94" t="s">
        <v>407</v>
      </c>
      <c r="F657" s="93" t="s">
        <v>764</v>
      </c>
      <c r="G657" s="93" t="s">
        <v>266</v>
      </c>
      <c r="H657" s="93" t="s">
        <v>13</v>
      </c>
      <c r="I657" s="93" t="s">
        <v>255</v>
      </c>
      <c r="J657" s="93" t="s">
        <v>47</v>
      </c>
      <c r="K657" s="93"/>
      <c r="L657" s="95">
        <v>8.3000000000000007</v>
      </c>
      <c r="M657" s="95">
        <f>L657*VLOOKUP(H657,dagsoorttabel1,2,FALSE)</f>
        <v>6.5098039215686283</v>
      </c>
      <c r="N657" s="96">
        <f>prodnorm40</f>
        <v>0</v>
      </c>
      <c r="O657" s="37">
        <f>dagwerk40</f>
        <v>0</v>
      </c>
      <c r="P657" s="93" t="s">
        <v>105</v>
      </c>
      <c r="Q657" s="24">
        <f>uurtarief40</f>
        <v>0</v>
      </c>
      <c r="R657" s="95" t="e">
        <f>IF(ISBLANK(N657),0,M657/ROUND(N657,4))</f>
        <v>#DIV/0!</v>
      </c>
      <c r="S657" s="95" t="e">
        <f>IF(ISBLANK(N657),0,R657*ROUND(O657,2))</f>
        <v>#DIV/0!</v>
      </c>
      <c r="T657" s="24" t="e">
        <f>ROUND(Q657,2)*R657</f>
        <v>#DIV/0!</v>
      </c>
      <c r="U657" s="95" t="e">
        <f>R657*dagenperjaar1</f>
        <v>#DIV/0!</v>
      </c>
      <c r="V657" s="25" t="e">
        <f>U657*ROUND(Q657,2)</f>
        <v>#DIV/0!</v>
      </c>
    </row>
    <row r="658" spans="1:22" x14ac:dyDescent="0.2">
      <c r="A658" s="92" t="s">
        <v>757</v>
      </c>
      <c r="B658" s="93" t="s">
        <v>47</v>
      </c>
      <c r="C658" s="93" t="s">
        <v>394</v>
      </c>
      <c r="D658" s="93" t="s">
        <v>768</v>
      </c>
      <c r="E658" s="94" t="s">
        <v>407</v>
      </c>
      <c r="F658" s="93" t="s">
        <v>764</v>
      </c>
      <c r="G658" s="93" t="s">
        <v>268</v>
      </c>
      <c r="H658" s="93" t="s">
        <v>13</v>
      </c>
      <c r="I658" s="93" t="s">
        <v>255</v>
      </c>
      <c r="J658" s="93" t="s">
        <v>47</v>
      </c>
      <c r="K658" s="93"/>
      <c r="L658" s="95">
        <v>8.3000000000000007</v>
      </c>
      <c r="M658" s="95">
        <f>L658*VLOOKUP(H658,dagsoorttabel1,2,FALSE)</f>
        <v>6.5098039215686283</v>
      </c>
      <c r="N658" s="96">
        <f>prodnorm42</f>
        <v>0</v>
      </c>
      <c r="O658" s="37">
        <f>dagwerk42</f>
        <v>0</v>
      </c>
      <c r="P658" s="93" t="s">
        <v>105</v>
      </c>
      <c r="Q658" s="24">
        <f>uurtarief42</f>
        <v>0</v>
      </c>
      <c r="R658" s="95" t="e">
        <f>IF(ISBLANK(N658),0,M658/ROUND(N658,4))</f>
        <v>#DIV/0!</v>
      </c>
      <c r="S658" s="95" t="e">
        <f>IF(ISBLANK(N658),0,R658*ROUND(O658,2))</f>
        <v>#DIV/0!</v>
      </c>
      <c r="T658" s="24" t="e">
        <f>ROUND(Q658,2)*R658</f>
        <v>#DIV/0!</v>
      </c>
      <c r="U658" s="95" t="e">
        <f>R658*dagenperjaar1</f>
        <v>#DIV/0!</v>
      </c>
      <c r="V658" s="25" t="e">
        <f>U658*ROUND(Q658,2)</f>
        <v>#DIV/0!</v>
      </c>
    </row>
    <row r="659" spans="1:22" x14ac:dyDescent="0.2">
      <c r="A659" s="92" t="s">
        <v>757</v>
      </c>
      <c r="B659" s="93" t="s">
        <v>47</v>
      </c>
      <c r="C659" s="93" t="s">
        <v>394</v>
      </c>
      <c r="D659" s="93" t="s">
        <v>769</v>
      </c>
      <c r="E659" s="94" t="s">
        <v>447</v>
      </c>
      <c r="F659" s="93" t="s">
        <v>764</v>
      </c>
      <c r="G659" s="93" t="s">
        <v>284</v>
      </c>
      <c r="H659" s="93" t="s">
        <v>13</v>
      </c>
      <c r="I659" s="93" t="s">
        <v>255</v>
      </c>
      <c r="J659" s="93" t="s">
        <v>47</v>
      </c>
      <c r="K659" s="93"/>
      <c r="L659" s="95">
        <v>18.100000000000001</v>
      </c>
      <c r="M659" s="95">
        <f>L659*VLOOKUP(H659,dagsoorttabel1,2,FALSE)</f>
        <v>14.19607843137255</v>
      </c>
      <c r="N659" s="96">
        <f>prodnorm58</f>
        <v>0</v>
      </c>
      <c r="O659" s="37">
        <f>dagwerk58</f>
        <v>0</v>
      </c>
      <c r="P659" s="93" t="s">
        <v>105</v>
      </c>
      <c r="Q659" s="24">
        <f>uurtarief58</f>
        <v>0</v>
      </c>
      <c r="R659" s="95" t="e">
        <f>IF(ISBLANK(N659),0,M659/ROUND(N659,4))</f>
        <v>#DIV/0!</v>
      </c>
      <c r="S659" s="95" t="e">
        <f>IF(ISBLANK(N659),0,R659*ROUND(O659,2))</f>
        <v>#DIV/0!</v>
      </c>
      <c r="T659" s="24" t="e">
        <f>ROUND(Q659,2)*R659</f>
        <v>#DIV/0!</v>
      </c>
      <c r="U659" s="95" t="e">
        <f>R659*dagenperjaar1</f>
        <v>#DIV/0!</v>
      </c>
      <c r="V659" s="25" t="e">
        <f>U659*ROUND(Q659,2)</f>
        <v>#DIV/0!</v>
      </c>
    </row>
    <row r="660" spans="1:22" x14ac:dyDescent="0.2">
      <c r="A660" s="92" t="s">
        <v>757</v>
      </c>
      <c r="B660" s="93" t="s">
        <v>47</v>
      </c>
      <c r="C660" s="93" t="s">
        <v>394</v>
      </c>
      <c r="D660" s="93" t="s">
        <v>769</v>
      </c>
      <c r="E660" s="94" t="s">
        <v>447</v>
      </c>
      <c r="F660" s="93" t="s">
        <v>764</v>
      </c>
      <c r="G660" s="93" t="s">
        <v>286</v>
      </c>
      <c r="H660" s="93" t="s">
        <v>13</v>
      </c>
      <c r="I660" s="93" t="s">
        <v>255</v>
      </c>
      <c r="J660" s="93" t="s">
        <v>47</v>
      </c>
      <c r="K660" s="93"/>
      <c r="L660" s="95">
        <v>18.100000000000001</v>
      </c>
      <c r="M660" s="95">
        <f>L660*VLOOKUP(H660,dagsoorttabel1,2,FALSE)</f>
        <v>14.19607843137255</v>
      </c>
      <c r="N660" s="96">
        <f>prodnorm61</f>
        <v>0</v>
      </c>
      <c r="O660" s="37">
        <f>dagwerk61</f>
        <v>0</v>
      </c>
      <c r="P660" s="93" t="s">
        <v>105</v>
      </c>
      <c r="Q660" s="24">
        <f>uurtarief61</f>
        <v>0</v>
      </c>
      <c r="R660" s="95" t="e">
        <f>IF(ISBLANK(N660),0,M660/ROUND(N660,4))</f>
        <v>#DIV/0!</v>
      </c>
      <c r="S660" s="95" t="e">
        <f>IF(ISBLANK(N660),0,R660*ROUND(O660,2))</f>
        <v>#DIV/0!</v>
      </c>
      <c r="T660" s="24" t="e">
        <f>ROUND(Q660,2)*R660</f>
        <v>#DIV/0!</v>
      </c>
      <c r="U660" s="95" t="e">
        <f>R660*dagenperjaar1</f>
        <v>#DIV/0!</v>
      </c>
      <c r="V660" s="25" t="e">
        <f>U660*ROUND(Q660,2)</f>
        <v>#DIV/0!</v>
      </c>
    </row>
    <row r="661" spans="1:22" x14ac:dyDescent="0.2">
      <c r="A661" s="92" t="s">
        <v>757</v>
      </c>
      <c r="B661" s="93" t="s">
        <v>47</v>
      </c>
      <c r="C661" s="93" t="s">
        <v>394</v>
      </c>
      <c r="D661" s="93" t="s">
        <v>770</v>
      </c>
      <c r="E661" s="94" t="s">
        <v>423</v>
      </c>
      <c r="F661" s="93" t="s">
        <v>764</v>
      </c>
      <c r="G661" s="93" t="s">
        <v>304</v>
      </c>
      <c r="H661" s="93" t="s">
        <v>13</v>
      </c>
      <c r="I661" s="93" t="s">
        <v>255</v>
      </c>
      <c r="J661" s="93" t="s">
        <v>47</v>
      </c>
      <c r="K661" s="93"/>
      <c r="L661" s="95">
        <v>1.1000000000000001</v>
      </c>
      <c r="M661" s="95">
        <f>L661*VLOOKUP(H661,dagsoorttabel1,2,FALSE)</f>
        <v>0.86274509803921573</v>
      </c>
      <c r="N661" s="96">
        <f>prodnorm74</f>
        <v>0</v>
      </c>
      <c r="O661" s="37">
        <f>dagwerk74</f>
        <v>0</v>
      </c>
      <c r="P661" s="93" t="s">
        <v>105</v>
      </c>
      <c r="Q661" s="24">
        <f>uurtarief74</f>
        <v>0</v>
      </c>
      <c r="R661" s="95" t="e">
        <f>IF(ISBLANK(N661),0,M661/ROUND(N661,4))</f>
        <v>#DIV/0!</v>
      </c>
      <c r="S661" s="95" t="e">
        <f>IF(ISBLANK(N661),0,R661*ROUND(O661,2))</f>
        <v>#DIV/0!</v>
      </c>
      <c r="T661" s="24" t="e">
        <f>ROUND(Q661,2)*R661</f>
        <v>#DIV/0!</v>
      </c>
      <c r="U661" s="95" t="e">
        <f>R661*dagenperjaar1</f>
        <v>#DIV/0!</v>
      </c>
      <c r="V661" s="25" t="e">
        <f>U661*ROUND(Q661,2)</f>
        <v>#DIV/0!</v>
      </c>
    </row>
    <row r="662" spans="1:22" x14ac:dyDescent="0.2">
      <c r="A662" s="92" t="s">
        <v>757</v>
      </c>
      <c r="B662" s="93" t="s">
        <v>47</v>
      </c>
      <c r="C662" s="93" t="s">
        <v>394</v>
      </c>
      <c r="D662" s="93" t="s">
        <v>770</v>
      </c>
      <c r="E662" s="94" t="s">
        <v>423</v>
      </c>
      <c r="F662" s="93" t="s">
        <v>764</v>
      </c>
      <c r="G662" s="93" t="s">
        <v>306</v>
      </c>
      <c r="H662" s="93" t="s">
        <v>13</v>
      </c>
      <c r="I662" s="93" t="s">
        <v>255</v>
      </c>
      <c r="J662" s="93" t="s">
        <v>47</v>
      </c>
      <c r="K662" s="93"/>
      <c r="L662" s="95">
        <v>1.1000000000000001</v>
      </c>
      <c r="M662" s="95">
        <f>L662*VLOOKUP(H662,dagsoorttabel1,2,FALSE)</f>
        <v>0.86274509803921573</v>
      </c>
      <c r="N662" s="96">
        <f>prodnorm78</f>
        <v>0</v>
      </c>
      <c r="O662" s="37">
        <f>dagwerk78</f>
        <v>0</v>
      </c>
      <c r="P662" s="93" t="s">
        <v>105</v>
      </c>
      <c r="Q662" s="24">
        <f>uurtarief78</f>
        <v>0</v>
      </c>
      <c r="R662" s="95" t="e">
        <f>IF(ISBLANK(N662),0,M662/ROUND(N662,4))</f>
        <v>#DIV/0!</v>
      </c>
      <c r="S662" s="95" t="e">
        <f>IF(ISBLANK(N662),0,R662*ROUND(O662,2))</f>
        <v>#DIV/0!</v>
      </c>
      <c r="T662" s="24" t="e">
        <f>ROUND(Q662,2)*R662</f>
        <v>#DIV/0!</v>
      </c>
      <c r="U662" s="95" t="e">
        <f>R662*dagenperjaar1</f>
        <v>#DIV/0!</v>
      </c>
      <c r="V662" s="25" t="e">
        <f>U662*ROUND(Q662,2)</f>
        <v>#DIV/0!</v>
      </c>
    </row>
    <row r="663" spans="1:22" x14ac:dyDescent="0.2">
      <c r="A663" s="92" t="s">
        <v>757</v>
      </c>
      <c r="B663" s="93" t="s">
        <v>47</v>
      </c>
      <c r="C663" s="93" t="s">
        <v>394</v>
      </c>
      <c r="D663" s="93" t="s">
        <v>771</v>
      </c>
      <c r="E663" s="94" t="s">
        <v>423</v>
      </c>
      <c r="F663" s="93" t="s">
        <v>764</v>
      </c>
      <c r="G663" s="93" t="s">
        <v>304</v>
      </c>
      <c r="H663" s="93" t="s">
        <v>13</v>
      </c>
      <c r="I663" s="93" t="s">
        <v>255</v>
      </c>
      <c r="J663" s="93" t="s">
        <v>47</v>
      </c>
      <c r="K663" s="93"/>
      <c r="L663" s="95">
        <v>7.4</v>
      </c>
      <c r="M663" s="95">
        <f>L663*VLOOKUP(H663,dagsoorttabel1,2,FALSE)</f>
        <v>5.8039215686274508</v>
      </c>
      <c r="N663" s="96">
        <f>prodnorm74</f>
        <v>0</v>
      </c>
      <c r="O663" s="37">
        <f>dagwerk74</f>
        <v>0</v>
      </c>
      <c r="P663" s="93" t="s">
        <v>105</v>
      </c>
      <c r="Q663" s="24">
        <f>uurtarief74</f>
        <v>0</v>
      </c>
      <c r="R663" s="95" t="e">
        <f>IF(ISBLANK(N663),0,M663/ROUND(N663,4))</f>
        <v>#DIV/0!</v>
      </c>
      <c r="S663" s="95" t="e">
        <f>IF(ISBLANK(N663),0,R663*ROUND(O663,2))</f>
        <v>#DIV/0!</v>
      </c>
      <c r="T663" s="24" t="e">
        <f>ROUND(Q663,2)*R663</f>
        <v>#DIV/0!</v>
      </c>
      <c r="U663" s="95" t="e">
        <f>R663*dagenperjaar1</f>
        <v>#DIV/0!</v>
      </c>
      <c r="V663" s="25" t="e">
        <f>U663*ROUND(Q663,2)</f>
        <v>#DIV/0!</v>
      </c>
    </row>
    <row r="664" spans="1:22" x14ac:dyDescent="0.2">
      <c r="A664" s="92" t="s">
        <v>757</v>
      </c>
      <c r="B664" s="93" t="s">
        <v>47</v>
      </c>
      <c r="C664" s="93" t="s">
        <v>394</v>
      </c>
      <c r="D664" s="93" t="s">
        <v>771</v>
      </c>
      <c r="E664" s="94" t="s">
        <v>423</v>
      </c>
      <c r="F664" s="93" t="s">
        <v>764</v>
      </c>
      <c r="G664" s="93" t="s">
        <v>306</v>
      </c>
      <c r="H664" s="93" t="s">
        <v>13</v>
      </c>
      <c r="I664" s="93" t="s">
        <v>255</v>
      </c>
      <c r="J664" s="93" t="s">
        <v>47</v>
      </c>
      <c r="K664" s="93"/>
      <c r="L664" s="95">
        <v>7.4</v>
      </c>
      <c r="M664" s="95">
        <f>L664*VLOOKUP(H664,dagsoorttabel1,2,FALSE)</f>
        <v>5.8039215686274508</v>
      </c>
      <c r="N664" s="96">
        <f>prodnorm78</f>
        <v>0</v>
      </c>
      <c r="O664" s="37">
        <f>dagwerk78</f>
        <v>0</v>
      </c>
      <c r="P664" s="93" t="s">
        <v>105</v>
      </c>
      <c r="Q664" s="24">
        <f>uurtarief78</f>
        <v>0</v>
      </c>
      <c r="R664" s="95" t="e">
        <f>IF(ISBLANK(N664),0,M664/ROUND(N664,4))</f>
        <v>#DIV/0!</v>
      </c>
      <c r="S664" s="95" t="e">
        <f>IF(ISBLANK(N664),0,R664*ROUND(O664,2))</f>
        <v>#DIV/0!</v>
      </c>
      <c r="T664" s="24" t="e">
        <f>ROUND(Q664,2)*R664</f>
        <v>#DIV/0!</v>
      </c>
      <c r="U664" s="95" t="e">
        <f>R664*dagenperjaar1</f>
        <v>#DIV/0!</v>
      </c>
      <c r="V664" s="25" t="e">
        <f>U664*ROUND(Q664,2)</f>
        <v>#DIV/0!</v>
      </c>
    </row>
    <row r="665" spans="1:22" x14ac:dyDescent="0.2">
      <c r="A665" s="92" t="s">
        <v>757</v>
      </c>
      <c r="B665" s="93" t="s">
        <v>47</v>
      </c>
      <c r="C665" s="93" t="s">
        <v>394</v>
      </c>
      <c r="D665" s="93" t="s">
        <v>772</v>
      </c>
      <c r="E665" s="94" t="s">
        <v>773</v>
      </c>
      <c r="F665" s="93" t="s">
        <v>439</v>
      </c>
      <c r="G665" s="93" t="s">
        <v>280</v>
      </c>
      <c r="H665" s="93" t="s">
        <v>13</v>
      </c>
      <c r="I665" s="93" t="s">
        <v>255</v>
      </c>
      <c r="J665" s="93" t="s">
        <v>47</v>
      </c>
      <c r="K665" s="93"/>
      <c r="L665" s="95">
        <v>261.3</v>
      </c>
      <c r="M665" s="95">
        <f>L665*VLOOKUP(H665,dagsoorttabel1,2,FALSE)</f>
        <v>204.94117647058823</v>
      </c>
      <c r="N665" s="96">
        <f>prodnorm52</f>
        <v>0</v>
      </c>
      <c r="O665" s="37">
        <f>dagwerk52</f>
        <v>0</v>
      </c>
      <c r="P665" s="93" t="s">
        <v>105</v>
      </c>
      <c r="Q665" s="24">
        <f>uurtarief52</f>
        <v>0</v>
      </c>
      <c r="R665" s="95" t="e">
        <f>IF(ISBLANK(N665),0,M665/ROUND(N665,4))</f>
        <v>#DIV/0!</v>
      </c>
      <c r="S665" s="95" t="e">
        <f>IF(ISBLANK(N665),0,R665*ROUND(O665,2))</f>
        <v>#DIV/0!</v>
      </c>
      <c r="T665" s="24" t="e">
        <f>ROUND(Q665,2)*R665</f>
        <v>#DIV/0!</v>
      </c>
      <c r="U665" s="95" t="e">
        <f>R665*dagenperjaar1</f>
        <v>#DIV/0!</v>
      </c>
      <c r="V665" s="25" t="e">
        <f>U665*ROUND(Q665,2)</f>
        <v>#DIV/0!</v>
      </c>
    </row>
    <row r="666" spans="1:22" x14ac:dyDescent="0.2">
      <c r="A666" s="92" t="s">
        <v>757</v>
      </c>
      <c r="B666" s="93" t="s">
        <v>47</v>
      </c>
      <c r="C666" s="93" t="s">
        <v>394</v>
      </c>
      <c r="D666" s="93" t="s">
        <v>772</v>
      </c>
      <c r="E666" s="94" t="s">
        <v>773</v>
      </c>
      <c r="F666" s="93" t="s">
        <v>439</v>
      </c>
      <c r="G666" s="93" t="s">
        <v>282</v>
      </c>
      <c r="H666" s="93" t="s">
        <v>13</v>
      </c>
      <c r="I666" s="93" t="s">
        <v>255</v>
      </c>
      <c r="J666" s="93" t="s">
        <v>47</v>
      </c>
      <c r="K666" s="93"/>
      <c r="L666" s="95">
        <v>261.3</v>
      </c>
      <c r="M666" s="95">
        <f>L666*VLOOKUP(H666,dagsoorttabel1,2,FALSE)</f>
        <v>204.94117647058823</v>
      </c>
      <c r="N666" s="96">
        <f>prodnorm55</f>
        <v>0</v>
      </c>
      <c r="O666" s="37">
        <f>dagwerk55</f>
        <v>0</v>
      </c>
      <c r="P666" s="93" t="s">
        <v>105</v>
      </c>
      <c r="Q666" s="24">
        <f>uurtarief55</f>
        <v>0</v>
      </c>
      <c r="R666" s="95" t="e">
        <f>IF(ISBLANK(N666),0,M666/ROUND(N666,4))</f>
        <v>#DIV/0!</v>
      </c>
      <c r="S666" s="95" t="e">
        <f>IF(ISBLANK(N666),0,R666*ROUND(O666,2))</f>
        <v>#DIV/0!</v>
      </c>
      <c r="T666" s="24" t="e">
        <f>ROUND(Q666,2)*R666</f>
        <v>#DIV/0!</v>
      </c>
      <c r="U666" s="95" t="e">
        <f>R666*dagenperjaar1</f>
        <v>#DIV/0!</v>
      </c>
      <c r="V666" s="25" t="e">
        <f>U666*ROUND(Q666,2)</f>
        <v>#DIV/0!</v>
      </c>
    </row>
    <row r="667" spans="1:22" x14ac:dyDescent="0.2">
      <c r="A667" s="92" t="s">
        <v>757</v>
      </c>
      <c r="B667" s="93" t="s">
        <v>47</v>
      </c>
      <c r="C667" s="93" t="s">
        <v>394</v>
      </c>
      <c r="D667" s="93" t="s">
        <v>774</v>
      </c>
      <c r="E667" s="94" t="s">
        <v>423</v>
      </c>
      <c r="F667" s="93" t="s">
        <v>764</v>
      </c>
      <c r="G667" s="93" t="s">
        <v>304</v>
      </c>
      <c r="H667" s="93" t="s">
        <v>13</v>
      </c>
      <c r="I667" s="93" t="s">
        <v>255</v>
      </c>
      <c r="J667" s="93" t="s">
        <v>47</v>
      </c>
      <c r="K667" s="93"/>
      <c r="L667" s="95">
        <v>1.1000000000000001</v>
      </c>
      <c r="M667" s="95">
        <f>L667*VLOOKUP(H667,dagsoorttabel1,2,FALSE)</f>
        <v>0.86274509803921573</v>
      </c>
      <c r="N667" s="96">
        <f>prodnorm74</f>
        <v>0</v>
      </c>
      <c r="O667" s="37">
        <f>dagwerk74</f>
        <v>0</v>
      </c>
      <c r="P667" s="93" t="s">
        <v>105</v>
      </c>
      <c r="Q667" s="24">
        <f>uurtarief74</f>
        <v>0</v>
      </c>
      <c r="R667" s="95" t="e">
        <f>IF(ISBLANK(N667),0,M667/ROUND(N667,4))</f>
        <v>#DIV/0!</v>
      </c>
      <c r="S667" s="95" t="e">
        <f>IF(ISBLANK(N667),0,R667*ROUND(O667,2))</f>
        <v>#DIV/0!</v>
      </c>
      <c r="T667" s="24" t="e">
        <f>ROUND(Q667,2)*R667</f>
        <v>#DIV/0!</v>
      </c>
      <c r="U667" s="95" t="e">
        <f>R667*dagenperjaar1</f>
        <v>#DIV/0!</v>
      </c>
      <c r="V667" s="25" t="e">
        <f>U667*ROUND(Q667,2)</f>
        <v>#DIV/0!</v>
      </c>
    </row>
    <row r="668" spans="1:22" x14ac:dyDescent="0.2">
      <c r="A668" s="92" t="s">
        <v>757</v>
      </c>
      <c r="B668" s="93" t="s">
        <v>47</v>
      </c>
      <c r="C668" s="93" t="s">
        <v>394</v>
      </c>
      <c r="D668" s="93" t="s">
        <v>774</v>
      </c>
      <c r="E668" s="94" t="s">
        <v>423</v>
      </c>
      <c r="F668" s="93" t="s">
        <v>764</v>
      </c>
      <c r="G668" s="93" t="s">
        <v>306</v>
      </c>
      <c r="H668" s="93" t="s">
        <v>13</v>
      </c>
      <c r="I668" s="93" t="s">
        <v>255</v>
      </c>
      <c r="J668" s="93" t="s">
        <v>47</v>
      </c>
      <c r="K668" s="93"/>
      <c r="L668" s="95">
        <v>1.1000000000000001</v>
      </c>
      <c r="M668" s="95">
        <f>L668*VLOOKUP(H668,dagsoorttabel1,2,FALSE)</f>
        <v>0.86274509803921573</v>
      </c>
      <c r="N668" s="96">
        <f>prodnorm78</f>
        <v>0</v>
      </c>
      <c r="O668" s="37">
        <f>dagwerk78</f>
        <v>0</v>
      </c>
      <c r="P668" s="93" t="s">
        <v>105</v>
      </c>
      <c r="Q668" s="24">
        <f>uurtarief78</f>
        <v>0</v>
      </c>
      <c r="R668" s="95" t="e">
        <f>IF(ISBLANK(N668),0,M668/ROUND(N668,4))</f>
        <v>#DIV/0!</v>
      </c>
      <c r="S668" s="95" t="e">
        <f>IF(ISBLANK(N668),0,R668*ROUND(O668,2))</f>
        <v>#DIV/0!</v>
      </c>
      <c r="T668" s="24" t="e">
        <f>ROUND(Q668,2)*R668</f>
        <v>#DIV/0!</v>
      </c>
      <c r="U668" s="95" t="e">
        <f>R668*dagenperjaar1</f>
        <v>#DIV/0!</v>
      </c>
      <c r="V668" s="25" t="e">
        <f>U668*ROUND(Q668,2)</f>
        <v>#DIV/0!</v>
      </c>
    </row>
    <row r="669" spans="1:22" x14ac:dyDescent="0.2">
      <c r="A669" s="92" t="s">
        <v>757</v>
      </c>
      <c r="B669" s="93" t="s">
        <v>47</v>
      </c>
      <c r="C669" s="93" t="s">
        <v>394</v>
      </c>
      <c r="D669" s="93" t="s">
        <v>775</v>
      </c>
      <c r="E669" s="94" t="s">
        <v>447</v>
      </c>
      <c r="F669" s="93" t="s">
        <v>764</v>
      </c>
      <c r="G669" s="93" t="s">
        <v>284</v>
      </c>
      <c r="H669" s="93" t="s">
        <v>13</v>
      </c>
      <c r="I669" s="93" t="s">
        <v>255</v>
      </c>
      <c r="J669" s="93" t="s">
        <v>47</v>
      </c>
      <c r="K669" s="93"/>
      <c r="L669" s="95">
        <v>18.100000000000001</v>
      </c>
      <c r="M669" s="95">
        <f>L669*VLOOKUP(H669,dagsoorttabel1,2,FALSE)</f>
        <v>14.19607843137255</v>
      </c>
      <c r="N669" s="96">
        <f>prodnorm58</f>
        <v>0</v>
      </c>
      <c r="O669" s="37">
        <f>dagwerk58</f>
        <v>0</v>
      </c>
      <c r="P669" s="93" t="s">
        <v>105</v>
      </c>
      <c r="Q669" s="24">
        <f>uurtarief58</f>
        <v>0</v>
      </c>
      <c r="R669" s="95" t="e">
        <f>IF(ISBLANK(N669),0,M669/ROUND(N669,4))</f>
        <v>#DIV/0!</v>
      </c>
      <c r="S669" s="95" t="e">
        <f>IF(ISBLANK(N669),0,R669*ROUND(O669,2))</f>
        <v>#DIV/0!</v>
      </c>
      <c r="T669" s="24" t="e">
        <f>ROUND(Q669,2)*R669</f>
        <v>#DIV/0!</v>
      </c>
      <c r="U669" s="95" t="e">
        <f>R669*dagenperjaar1</f>
        <v>#DIV/0!</v>
      </c>
      <c r="V669" s="25" t="e">
        <f>U669*ROUND(Q669,2)</f>
        <v>#DIV/0!</v>
      </c>
    </row>
    <row r="670" spans="1:22" x14ac:dyDescent="0.2">
      <c r="A670" s="92" t="s">
        <v>757</v>
      </c>
      <c r="B670" s="93" t="s">
        <v>47</v>
      </c>
      <c r="C670" s="93" t="s">
        <v>394</v>
      </c>
      <c r="D670" s="93" t="s">
        <v>775</v>
      </c>
      <c r="E670" s="94" t="s">
        <v>447</v>
      </c>
      <c r="F670" s="93" t="s">
        <v>764</v>
      </c>
      <c r="G670" s="93" t="s">
        <v>286</v>
      </c>
      <c r="H670" s="93" t="s">
        <v>13</v>
      </c>
      <c r="I670" s="93" t="s">
        <v>255</v>
      </c>
      <c r="J670" s="93" t="s">
        <v>47</v>
      </c>
      <c r="K670" s="93"/>
      <c r="L670" s="95">
        <v>18.100000000000001</v>
      </c>
      <c r="M670" s="95">
        <f>L670*VLOOKUP(H670,dagsoorttabel1,2,FALSE)</f>
        <v>14.19607843137255</v>
      </c>
      <c r="N670" s="96">
        <f>prodnorm61</f>
        <v>0</v>
      </c>
      <c r="O670" s="37">
        <f>dagwerk61</f>
        <v>0</v>
      </c>
      <c r="P670" s="93" t="s">
        <v>105</v>
      </c>
      <c r="Q670" s="24">
        <f>uurtarief61</f>
        <v>0</v>
      </c>
      <c r="R670" s="95" t="e">
        <f>IF(ISBLANK(N670),0,M670/ROUND(N670,4))</f>
        <v>#DIV/0!</v>
      </c>
      <c r="S670" s="95" t="e">
        <f>IF(ISBLANK(N670),0,R670*ROUND(O670,2))</f>
        <v>#DIV/0!</v>
      </c>
      <c r="T670" s="24" t="e">
        <f>ROUND(Q670,2)*R670</f>
        <v>#DIV/0!</v>
      </c>
      <c r="U670" s="95" t="e">
        <f>R670*dagenperjaar1</f>
        <v>#DIV/0!</v>
      </c>
      <c r="V670" s="25" t="e">
        <f>U670*ROUND(Q670,2)</f>
        <v>#DIV/0!</v>
      </c>
    </row>
    <row r="671" spans="1:22" x14ac:dyDescent="0.2">
      <c r="A671" s="92" t="s">
        <v>757</v>
      </c>
      <c r="B671" s="93" t="s">
        <v>47</v>
      </c>
      <c r="C671" s="93" t="s">
        <v>394</v>
      </c>
      <c r="D671" s="93" t="s">
        <v>776</v>
      </c>
      <c r="E671" s="94" t="s">
        <v>407</v>
      </c>
      <c r="F671" s="93" t="s">
        <v>764</v>
      </c>
      <c r="G671" s="93" t="s">
        <v>266</v>
      </c>
      <c r="H671" s="93" t="s">
        <v>13</v>
      </c>
      <c r="I671" s="93" t="s">
        <v>255</v>
      </c>
      <c r="J671" s="93" t="s">
        <v>47</v>
      </c>
      <c r="K671" s="93"/>
      <c r="L671" s="95">
        <v>8.3000000000000007</v>
      </c>
      <c r="M671" s="95">
        <f>L671*VLOOKUP(H671,dagsoorttabel1,2,FALSE)</f>
        <v>6.5098039215686283</v>
      </c>
      <c r="N671" s="96">
        <f>prodnorm40</f>
        <v>0</v>
      </c>
      <c r="O671" s="37">
        <f>dagwerk40</f>
        <v>0</v>
      </c>
      <c r="P671" s="93" t="s">
        <v>105</v>
      </c>
      <c r="Q671" s="24">
        <f>uurtarief40</f>
        <v>0</v>
      </c>
      <c r="R671" s="95" t="e">
        <f>IF(ISBLANK(N671),0,M671/ROUND(N671,4))</f>
        <v>#DIV/0!</v>
      </c>
      <c r="S671" s="95" t="e">
        <f>IF(ISBLANK(N671),0,R671*ROUND(O671,2))</f>
        <v>#DIV/0!</v>
      </c>
      <c r="T671" s="24" t="e">
        <f>ROUND(Q671,2)*R671</f>
        <v>#DIV/0!</v>
      </c>
      <c r="U671" s="95" t="e">
        <f>R671*dagenperjaar1</f>
        <v>#DIV/0!</v>
      </c>
      <c r="V671" s="25" t="e">
        <f>U671*ROUND(Q671,2)</f>
        <v>#DIV/0!</v>
      </c>
    </row>
    <row r="672" spans="1:22" x14ac:dyDescent="0.2">
      <c r="A672" s="92" t="s">
        <v>757</v>
      </c>
      <c r="B672" s="93" t="s">
        <v>47</v>
      </c>
      <c r="C672" s="93" t="s">
        <v>394</v>
      </c>
      <c r="D672" s="93" t="s">
        <v>776</v>
      </c>
      <c r="E672" s="94" t="s">
        <v>407</v>
      </c>
      <c r="F672" s="93" t="s">
        <v>764</v>
      </c>
      <c r="G672" s="93" t="s">
        <v>268</v>
      </c>
      <c r="H672" s="93" t="s">
        <v>13</v>
      </c>
      <c r="I672" s="93" t="s">
        <v>255</v>
      </c>
      <c r="J672" s="93" t="s">
        <v>47</v>
      </c>
      <c r="K672" s="93"/>
      <c r="L672" s="95">
        <v>8.3000000000000007</v>
      </c>
      <c r="M672" s="95">
        <f>L672*VLOOKUP(H672,dagsoorttabel1,2,FALSE)</f>
        <v>6.5098039215686283</v>
      </c>
      <c r="N672" s="96">
        <f>prodnorm42</f>
        <v>0</v>
      </c>
      <c r="O672" s="37">
        <f>dagwerk42</f>
        <v>0</v>
      </c>
      <c r="P672" s="93" t="s">
        <v>105</v>
      </c>
      <c r="Q672" s="24">
        <f>uurtarief42</f>
        <v>0</v>
      </c>
      <c r="R672" s="95" t="e">
        <f>IF(ISBLANK(N672),0,M672/ROUND(N672,4))</f>
        <v>#DIV/0!</v>
      </c>
      <c r="S672" s="95" t="e">
        <f>IF(ISBLANK(N672),0,R672*ROUND(O672,2))</f>
        <v>#DIV/0!</v>
      </c>
      <c r="T672" s="24" t="e">
        <f>ROUND(Q672,2)*R672</f>
        <v>#DIV/0!</v>
      </c>
      <c r="U672" s="95" t="e">
        <f>R672*dagenperjaar1</f>
        <v>#DIV/0!</v>
      </c>
      <c r="V672" s="25" t="e">
        <f>U672*ROUND(Q672,2)</f>
        <v>#DIV/0!</v>
      </c>
    </row>
    <row r="673" spans="1:22" x14ac:dyDescent="0.2">
      <c r="A673" s="92" t="s">
        <v>757</v>
      </c>
      <c r="B673" s="93" t="s">
        <v>47</v>
      </c>
      <c r="C673" s="93" t="s">
        <v>394</v>
      </c>
      <c r="D673" s="93" t="s">
        <v>777</v>
      </c>
      <c r="E673" s="94" t="s">
        <v>433</v>
      </c>
      <c r="F673" s="93" t="s">
        <v>439</v>
      </c>
      <c r="G673" s="93" t="s">
        <v>280</v>
      </c>
      <c r="H673" s="93" t="s">
        <v>22</v>
      </c>
      <c r="I673" s="93" t="s">
        <v>255</v>
      </c>
      <c r="J673" s="93" t="s">
        <v>47</v>
      </c>
      <c r="K673" s="93"/>
      <c r="L673" s="95">
        <v>28</v>
      </c>
      <c r="M673" s="95">
        <f>L673*VLOOKUP(H673,dagsoorttabel1,2,FALSE)</f>
        <v>4.3921568627450984</v>
      </c>
      <c r="N673" s="96">
        <f>prodnorm54</f>
        <v>0</v>
      </c>
      <c r="O673" s="37">
        <f>dagwerk54</f>
        <v>0</v>
      </c>
      <c r="P673" s="93" t="s">
        <v>105</v>
      </c>
      <c r="Q673" s="24">
        <f>uurtarief54</f>
        <v>0</v>
      </c>
      <c r="R673" s="95" t="e">
        <f>IF(ISBLANK(N673),0,M673/ROUND(N673,4))</f>
        <v>#DIV/0!</v>
      </c>
      <c r="S673" s="95" t="e">
        <f>IF(ISBLANK(N673),0,R673*ROUND(O673,2))</f>
        <v>#DIV/0!</v>
      </c>
      <c r="T673" s="24" t="e">
        <f>ROUND(Q673,2)*R673</f>
        <v>#DIV/0!</v>
      </c>
      <c r="U673" s="95" t="e">
        <f>R673*dagenperjaar1</f>
        <v>#DIV/0!</v>
      </c>
      <c r="V673" s="25" t="e">
        <f>U673*ROUND(Q673,2)</f>
        <v>#DIV/0!</v>
      </c>
    </row>
    <row r="674" spans="1:22" x14ac:dyDescent="0.2">
      <c r="A674" s="92" t="s">
        <v>757</v>
      </c>
      <c r="B674" s="93" t="s">
        <v>47</v>
      </c>
      <c r="C674" s="93" t="s">
        <v>394</v>
      </c>
      <c r="D674" s="93" t="s">
        <v>777</v>
      </c>
      <c r="E674" s="94" t="s">
        <v>433</v>
      </c>
      <c r="F674" s="93" t="s">
        <v>439</v>
      </c>
      <c r="G674" s="93" t="s">
        <v>282</v>
      </c>
      <c r="H674" s="93" t="s">
        <v>22</v>
      </c>
      <c r="I674" s="93" t="s">
        <v>255</v>
      </c>
      <c r="J674" s="93" t="s">
        <v>47</v>
      </c>
      <c r="K674" s="93"/>
      <c r="L674" s="95">
        <v>28</v>
      </c>
      <c r="M674" s="95">
        <f>L674*VLOOKUP(H674,dagsoorttabel1,2,FALSE)</f>
        <v>4.3921568627450984</v>
      </c>
      <c r="N674" s="96">
        <f>prodnorm56</f>
        <v>0</v>
      </c>
      <c r="O674" s="37">
        <f>dagwerk56</f>
        <v>0</v>
      </c>
      <c r="P674" s="93" t="s">
        <v>105</v>
      </c>
      <c r="Q674" s="24">
        <f>uurtarief56</f>
        <v>0</v>
      </c>
      <c r="R674" s="95" t="e">
        <f>IF(ISBLANK(N674),0,M674/ROUND(N674,4))</f>
        <v>#DIV/0!</v>
      </c>
      <c r="S674" s="95" t="e">
        <f>IF(ISBLANK(N674),0,R674*ROUND(O674,2))</f>
        <v>#DIV/0!</v>
      </c>
      <c r="T674" s="24" t="e">
        <f>ROUND(Q674,2)*R674</f>
        <v>#DIV/0!</v>
      </c>
      <c r="U674" s="95" t="e">
        <f>R674*dagenperjaar1</f>
        <v>#DIV/0!</v>
      </c>
      <c r="V674" s="25" t="e">
        <f>U674*ROUND(Q674,2)</f>
        <v>#DIV/0!</v>
      </c>
    </row>
    <row r="675" spans="1:22" x14ac:dyDescent="0.2">
      <c r="A675" s="92" t="s">
        <v>757</v>
      </c>
      <c r="B675" s="93" t="s">
        <v>47</v>
      </c>
      <c r="C675" s="93" t="s">
        <v>394</v>
      </c>
      <c r="D675" s="93" t="s">
        <v>778</v>
      </c>
      <c r="E675" s="94" t="s">
        <v>779</v>
      </c>
      <c r="F675" s="93" t="s">
        <v>441</v>
      </c>
      <c r="G675" s="93" t="s">
        <v>290</v>
      </c>
      <c r="H675" s="93" t="s">
        <v>13</v>
      </c>
      <c r="I675" s="93" t="s">
        <v>255</v>
      </c>
      <c r="J675" s="93" t="s">
        <v>47</v>
      </c>
      <c r="K675" s="93"/>
      <c r="L675" s="95">
        <v>69.400000000000006</v>
      </c>
      <c r="M675" s="95">
        <f>L675*VLOOKUP(H675,dagsoorttabel1,2,FALSE)</f>
        <v>54.431372549019613</v>
      </c>
      <c r="N675" s="96">
        <f>prodnorm64</f>
        <v>0</v>
      </c>
      <c r="O675" s="37">
        <f>dagwerk64</f>
        <v>0</v>
      </c>
      <c r="P675" s="93" t="s">
        <v>105</v>
      </c>
      <c r="Q675" s="24">
        <f>uurtarief64</f>
        <v>0</v>
      </c>
      <c r="R675" s="95" t="e">
        <f>IF(ISBLANK(N675),0,M675/ROUND(N675,4))</f>
        <v>#DIV/0!</v>
      </c>
      <c r="S675" s="95" t="e">
        <f>IF(ISBLANK(N675),0,R675*ROUND(O675,2))</f>
        <v>#DIV/0!</v>
      </c>
      <c r="T675" s="24" t="e">
        <f>ROUND(Q675,2)*R675</f>
        <v>#DIV/0!</v>
      </c>
      <c r="U675" s="95" t="e">
        <f>R675*dagenperjaar1</f>
        <v>#DIV/0!</v>
      </c>
      <c r="V675" s="25" t="e">
        <f>U675*ROUND(Q675,2)</f>
        <v>#DIV/0!</v>
      </c>
    </row>
    <row r="676" spans="1:22" x14ac:dyDescent="0.2">
      <c r="A676" s="92" t="s">
        <v>757</v>
      </c>
      <c r="B676" s="93" t="s">
        <v>47</v>
      </c>
      <c r="C676" s="93" t="s">
        <v>394</v>
      </c>
      <c r="D676" s="93" t="s">
        <v>780</v>
      </c>
      <c r="E676" s="94" t="s">
        <v>423</v>
      </c>
      <c r="F676" s="93" t="s">
        <v>397</v>
      </c>
      <c r="G676" s="93" t="s">
        <v>304</v>
      </c>
      <c r="H676" s="93" t="s">
        <v>13</v>
      </c>
      <c r="I676" s="93" t="s">
        <v>255</v>
      </c>
      <c r="J676" s="93" t="s">
        <v>47</v>
      </c>
      <c r="K676" s="93"/>
      <c r="L676" s="95">
        <v>5.3</v>
      </c>
      <c r="M676" s="95">
        <f>L676*VLOOKUP(H676,dagsoorttabel1,2,FALSE)</f>
        <v>4.1568627450980387</v>
      </c>
      <c r="N676" s="96">
        <f>prodnorm74</f>
        <v>0</v>
      </c>
      <c r="O676" s="37">
        <f>dagwerk74</f>
        <v>0</v>
      </c>
      <c r="P676" s="93" t="s">
        <v>105</v>
      </c>
      <c r="Q676" s="24">
        <f>uurtarief74</f>
        <v>0</v>
      </c>
      <c r="R676" s="95" t="e">
        <f>IF(ISBLANK(N676),0,M676/ROUND(N676,4))</f>
        <v>#DIV/0!</v>
      </c>
      <c r="S676" s="95" t="e">
        <f>IF(ISBLANK(N676),0,R676*ROUND(O676,2))</f>
        <v>#DIV/0!</v>
      </c>
      <c r="T676" s="24" t="e">
        <f>ROUND(Q676,2)*R676</f>
        <v>#DIV/0!</v>
      </c>
      <c r="U676" s="95" t="e">
        <f>R676*dagenperjaar1</f>
        <v>#DIV/0!</v>
      </c>
      <c r="V676" s="25" t="e">
        <f>U676*ROUND(Q676,2)</f>
        <v>#DIV/0!</v>
      </c>
    </row>
    <row r="677" spans="1:22" x14ac:dyDescent="0.2">
      <c r="A677" s="92" t="s">
        <v>757</v>
      </c>
      <c r="B677" s="93" t="s">
        <v>47</v>
      </c>
      <c r="C677" s="93" t="s">
        <v>394</v>
      </c>
      <c r="D677" s="93" t="s">
        <v>781</v>
      </c>
      <c r="E677" s="94" t="s">
        <v>525</v>
      </c>
      <c r="F677" s="93" t="s">
        <v>441</v>
      </c>
      <c r="G677" s="93" t="s">
        <v>270</v>
      </c>
      <c r="H677" s="93" t="s">
        <v>13</v>
      </c>
      <c r="I677" s="93" t="s">
        <v>255</v>
      </c>
      <c r="J677" s="93" t="s">
        <v>47</v>
      </c>
      <c r="K677" s="93"/>
      <c r="L677" s="95">
        <v>14</v>
      </c>
      <c r="M677" s="95">
        <f>L677*VLOOKUP(H677,dagsoorttabel1,2,FALSE)</f>
        <v>10.980392156862745</v>
      </c>
      <c r="N677" s="96">
        <f>prodnorm43</f>
        <v>0</v>
      </c>
      <c r="O677" s="37">
        <f>dagwerk43</f>
        <v>0</v>
      </c>
      <c r="P677" s="93" t="s">
        <v>105</v>
      </c>
      <c r="Q677" s="24">
        <f>uurtarief43</f>
        <v>0</v>
      </c>
      <c r="R677" s="95" t="e">
        <f>IF(ISBLANK(N677),0,M677/ROUND(N677,4))</f>
        <v>#DIV/0!</v>
      </c>
      <c r="S677" s="95" t="e">
        <f>IF(ISBLANK(N677),0,R677*ROUND(O677,2))</f>
        <v>#DIV/0!</v>
      </c>
      <c r="T677" s="24" t="e">
        <f>ROUND(Q677,2)*R677</f>
        <v>#DIV/0!</v>
      </c>
      <c r="U677" s="95" t="e">
        <f>R677*dagenperjaar1</f>
        <v>#DIV/0!</v>
      </c>
      <c r="V677" s="25" t="e">
        <f>U677*ROUND(Q677,2)</f>
        <v>#DIV/0!</v>
      </c>
    </row>
    <row r="678" spans="1:22" x14ac:dyDescent="0.2">
      <c r="A678" s="92" t="s">
        <v>757</v>
      </c>
      <c r="B678" s="93" t="s">
        <v>47</v>
      </c>
      <c r="C678" s="93" t="s">
        <v>394</v>
      </c>
      <c r="D678" s="93" t="s">
        <v>782</v>
      </c>
      <c r="E678" s="94" t="s">
        <v>783</v>
      </c>
      <c r="F678" s="93" t="s">
        <v>397</v>
      </c>
      <c r="G678" s="93" t="s">
        <v>304</v>
      </c>
      <c r="H678" s="93" t="s">
        <v>13</v>
      </c>
      <c r="I678" s="93" t="s">
        <v>255</v>
      </c>
      <c r="J678" s="93" t="s">
        <v>47</v>
      </c>
      <c r="K678" s="93"/>
      <c r="L678" s="95">
        <v>4.8</v>
      </c>
      <c r="M678" s="95">
        <f>L678*VLOOKUP(H678,dagsoorttabel1,2,FALSE)</f>
        <v>3.7647058823529411</v>
      </c>
      <c r="N678" s="96">
        <f>prodnorm74</f>
        <v>0</v>
      </c>
      <c r="O678" s="37">
        <f>dagwerk74</f>
        <v>0</v>
      </c>
      <c r="P678" s="93" t="s">
        <v>105</v>
      </c>
      <c r="Q678" s="24">
        <f>uurtarief74</f>
        <v>0</v>
      </c>
      <c r="R678" s="95" t="e">
        <f>IF(ISBLANK(N678),0,M678/ROUND(N678,4))</f>
        <v>#DIV/0!</v>
      </c>
      <c r="S678" s="95" t="e">
        <f>IF(ISBLANK(N678),0,R678*ROUND(O678,2))</f>
        <v>#DIV/0!</v>
      </c>
      <c r="T678" s="24" t="e">
        <f>ROUND(Q678,2)*R678</f>
        <v>#DIV/0!</v>
      </c>
      <c r="U678" s="95" t="e">
        <f>R678*dagenperjaar1</f>
        <v>#DIV/0!</v>
      </c>
      <c r="V678" s="25" t="e">
        <f>U678*ROUND(Q678,2)</f>
        <v>#DIV/0!</v>
      </c>
    </row>
    <row r="679" spans="1:22" x14ac:dyDescent="0.2">
      <c r="A679" s="92" t="s">
        <v>757</v>
      </c>
      <c r="B679" s="93" t="s">
        <v>47</v>
      </c>
      <c r="C679" s="93" t="s">
        <v>394</v>
      </c>
      <c r="D679" s="93" t="s">
        <v>784</v>
      </c>
      <c r="E679" s="94" t="s">
        <v>459</v>
      </c>
      <c r="F679" s="93" t="s">
        <v>441</v>
      </c>
      <c r="G679" s="93" t="s">
        <v>314</v>
      </c>
      <c r="H679" s="93" t="s">
        <v>13</v>
      </c>
      <c r="I679" s="93" t="s">
        <v>255</v>
      </c>
      <c r="J679" s="93" t="s">
        <v>47</v>
      </c>
      <c r="K679" s="93"/>
      <c r="L679" s="95">
        <v>6.5</v>
      </c>
      <c r="M679" s="95">
        <f>L679*VLOOKUP(H679,dagsoorttabel1,2,FALSE)</f>
        <v>5.0980392156862742</v>
      </c>
      <c r="N679" s="96">
        <f>prodnorm88</f>
        <v>0</v>
      </c>
      <c r="O679" s="37">
        <f>dagwerk88</f>
        <v>0</v>
      </c>
      <c r="P679" s="93" t="s">
        <v>105</v>
      </c>
      <c r="Q679" s="24">
        <f>uurtarief88</f>
        <v>0</v>
      </c>
      <c r="R679" s="95" t="e">
        <f>IF(ISBLANK(N679),0,M679/ROUND(N679,4))</f>
        <v>#DIV/0!</v>
      </c>
      <c r="S679" s="95" t="e">
        <f>IF(ISBLANK(N679),0,R679*ROUND(O679,2))</f>
        <v>#DIV/0!</v>
      </c>
      <c r="T679" s="24" t="e">
        <f>ROUND(Q679,2)*R679</f>
        <v>#DIV/0!</v>
      </c>
      <c r="U679" s="95" t="e">
        <f>R679*dagenperjaar1</f>
        <v>#DIV/0!</v>
      </c>
      <c r="V679" s="25" t="e">
        <f>U679*ROUND(Q679,2)</f>
        <v>#DIV/0!</v>
      </c>
    </row>
    <row r="680" spans="1:22" x14ac:dyDescent="0.2">
      <c r="A680" s="92" t="s">
        <v>757</v>
      </c>
      <c r="B680" s="93" t="s">
        <v>47</v>
      </c>
      <c r="C680" s="93" t="s">
        <v>394</v>
      </c>
      <c r="D680" s="93" t="s">
        <v>785</v>
      </c>
      <c r="E680" s="94" t="s">
        <v>414</v>
      </c>
      <c r="F680" s="93" t="s">
        <v>397</v>
      </c>
      <c r="G680" s="93" t="s">
        <v>304</v>
      </c>
      <c r="H680" s="93" t="s">
        <v>13</v>
      </c>
      <c r="I680" s="93" t="s">
        <v>255</v>
      </c>
      <c r="J680" s="93" t="s">
        <v>47</v>
      </c>
      <c r="K680" s="93"/>
      <c r="L680" s="95">
        <v>3.8</v>
      </c>
      <c r="M680" s="95">
        <f>L680*VLOOKUP(H680,dagsoorttabel1,2,FALSE)</f>
        <v>2.9803921568627447</v>
      </c>
      <c r="N680" s="96">
        <f>prodnorm74</f>
        <v>0</v>
      </c>
      <c r="O680" s="37">
        <f>dagwerk74</f>
        <v>0</v>
      </c>
      <c r="P680" s="93" t="s">
        <v>105</v>
      </c>
      <c r="Q680" s="24">
        <f>uurtarief74</f>
        <v>0</v>
      </c>
      <c r="R680" s="95" t="e">
        <f>IF(ISBLANK(N680),0,M680/ROUND(N680,4))</f>
        <v>#DIV/0!</v>
      </c>
      <c r="S680" s="95" t="e">
        <f>IF(ISBLANK(N680),0,R680*ROUND(O680,2))</f>
        <v>#DIV/0!</v>
      </c>
      <c r="T680" s="24" t="e">
        <f>ROUND(Q680,2)*R680</f>
        <v>#DIV/0!</v>
      </c>
      <c r="U680" s="95" t="e">
        <f>R680*dagenperjaar1</f>
        <v>#DIV/0!</v>
      </c>
      <c r="V680" s="25" t="e">
        <f>U680*ROUND(Q680,2)</f>
        <v>#DIV/0!</v>
      </c>
    </row>
    <row r="681" spans="1:22" x14ac:dyDescent="0.2">
      <c r="A681" s="92" t="s">
        <v>757</v>
      </c>
      <c r="B681" s="93" t="s">
        <v>47</v>
      </c>
      <c r="C681" s="93" t="s">
        <v>394</v>
      </c>
      <c r="D681" s="93" t="s">
        <v>786</v>
      </c>
      <c r="E681" s="94" t="s">
        <v>410</v>
      </c>
      <c r="F681" s="93" t="s">
        <v>397</v>
      </c>
      <c r="G681" s="93" t="s">
        <v>304</v>
      </c>
      <c r="H681" s="93" t="s">
        <v>13</v>
      </c>
      <c r="I681" s="93" t="s">
        <v>255</v>
      </c>
      <c r="J681" s="93" t="s">
        <v>47</v>
      </c>
      <c r="K681" s="93"/>
      <c r="L681" s="95">
        <v>3.8</v>
      </c>
      <c r="M681" s="95">
        <f>L681*VLOOKUP(H681,dagsoorttabel1,2,FALSE)</f>
        <v>2.9803921568627447</v>
      </c>
      <c r="N681" s="96">
        <f>prodnorm74</f>
        <v>0</v>
      </c>
      <c r="O681" s="37">
        <f>dagwerk74</f>
        <v>0</v>
      </c>
      <c r="P681" s="93" t="s">
        <v>105</v>
      </c>
      <c r="Q681" s="24">
        <f>uurtarief74</f>
        <v>0</v>
      </c>
      <c r="R681" s="95" t="e">
        <f>IF(ISBLANK(N681),0,M681/ROUND(N681,4))</f>
        <v>#DIV/0!</v>
      </c>
      <c r="S681" s="95" t="e">
        <f>IF(ISBLANK(N681),0,R681*ROUND(O681,2))</f>
        <v>#DIV/0!</v>
      </c>
      <c r="T681" s="24" t="e">
        <f>ROUND(Q681,2)*R681</f>
        <v>#DIV/0!</v>
      </c>
      <c r="U681" s="95" t="e">
        <f>R681*dagenperjaar1</f>
        <v>#DIV/0!</v>
      </c>
      <c r="V681" s="25" t="e">
        <f>U681*ROUND(Q681,2)</f>
        <v>#DIV/0!</v>
      </c>
    </row>
    <row r="682" spans="1:22" x14ac:dyDescent="0.2">
      <c r="A682" s="92" t="s">
        <v>757</v>
      </c>
      <c r="B682" s="93" t="s">
        <v>47</v>
      </c>
      <c r="C682" s="93" t="s">
        <v>394</v>
      </c>
      <c r="D682" s="93" t="s">
        <v>787</v>
      </c>
      <c r="E682" s="94" t="s">
        <v>423</v>
      </c>
      <c r="F682" s="93" t="s">
        <v>397</v>
      </c>
      <c r="G682" s="93" t="s">
        <v>304</v>
      </c>
      <c r="H682" s="93" t="s">
        <v>13</v>
      </c>
      <c r="I682" s="93" t="s">
        <v>255</v>
      </c>
      <c r="J682" s="93" t="s">
        <v>47</v>
      </c>
      <c r="K682" s="93"/>
      <c r="L682" s="95">
        <v>4</v>
      </c>
      <c r="M682" s="95">
        <f>L682*VLOOKUP(H682,dagsoorttabel1,2,FALSE)</f>
        <v>3.1372549019607843</v>
      </c>
      <c r="N682" s="96">
        <f>prodnorm74</f>
        <v>0</v>
      </c>
      <c r="O682" s="37">
        <f>dagwerk74</f>
        <v>0</v>
      </c>
      <c r="P682" s="93" t="s">
        <v>105</v>
      </c>
      <c r="Q682" s="24">
        <f>uurtarief74</f>
        <v>0</v>
      </c>
      <c r="R682" s="95" t="e">
        <f>IF(ISBLANK(N682),0,M682/ROUND(N682,4))</f>
        <v>#DIV/0!</v>
      </c>
      <c r="S682" s="95" t="e">
        <f>IF(ISBLANK(N682),0,R682*ROUND(O682,2))</f>
        <v>#DIV/0!</v>
      </c>
      <c r="T682" s="24" t="e">
        <f>ROUND(Q682,2)*R682</f>
        <v>#DIV/0!</v>
      </c>
      <c r="U682" s="95" t="e">
        <f>R682*dagenperjaar1</f>
        <v>#DIV/0!</v>
      </c>
      <c r="V682" s="25" t="e">
        <f>U682*ROUND(Q682,2)</f>
        <v>#DIV/0!</v>
      </c>
    </row>
    <row r="683" spans="1:22" x14ac:dyDescent="0.2">
      <c r="A683" s="92" t="s">
        <v>757</v>
      </c>
      <c r="B683" s="93" t="s">
        <v>47</v>
      </c>
      <c r="C683" s="93" t="s">
        <v>394</v>
      </c>
      <c r="D683" s="93" t="s">
        <v>788</v>
      </c>
      <c r="E683" s="94" t="s">
        <v>789</v>
      </c>
      <c r="F683" s="93" t="s">
        <v>441</v>
      </c>
      <c r="G683" s="93" t="s">
        <v>259</v>
      </c>
      <c r="H683" s="93" t="s">
        <v>13</v>
      </c>
      <c r="I683" s="93" t="s">
        <v>255</v>
      </c>
      <c r="J683" s="93" t="s">
        <v>47</v>
      </c>
      <c r="K683" s="93"/>
      <c r="L683" s="95">
        <v>5.2</v>
      </c>
      <c r="M683" s="95">
        <f>L683*VLOOKUP(H683,dagsoorttabel1,2,FALSE)</f>
        <v>4.0784313725490193</v>
      </c>
      <c r="N683" s="96">
        <f>prodnorm31</f>
        <v>0</v>
      </c>
      <c r="O683" s="37">
        <f>dagwerk31</f>
        <v>0</v>
      </c>
      <c r="P683" s="93" t="s">
        <v>105</v>
      </c>
      <c r="Q683" s="24">
        <f>uurtarief31</f>
        <v>0</v>
      </c>
      <c r="R683" s="95" t="e">
        <f>IF(ISBLANK(N683),0,M683/ROUND(N683,4))</f>
        <v>#DIV/0!</v>
      </c>
      <c r="S683" s="95" t="e">
        <f>IF(ISBLANK(N683),0,R683*ROUND(O683,2))</f>
        <v>#DIV/0!</v>
      </c>
      <c r="T683" s="24" t="e">
        <f>ROUND(Q683,2)*R683</f>
        <v>#DIV/0!</v>
      </c>
      <c r="U683" s="95" t="e">
        <f>R683*dagenperjaar1</f>
        <v>#DIV/0!</v>
      </c>
      <c r="V683" s="25" t="e">
        <f>U683*ROUND(Q683,2)</f>
        <v>#DIV/0!</v>
      </c>
    </row>
    <row r="684" spans="1:22" x14ac:dyDescent="0.2">
      <c r="A684" s="92" t="s">
        <v>757</v>
      </c>
      <c r="B684" s="93" t="s">
        <v>47</v>
      </c>
      <c r="C684" s="93" t="s">
        <v>394</v>
      </c>
      <c r="D684" s="93" t="s">
        <v>790</v>
      </c>
      <c r="E684" s="94" t="s">
        <v>779</v>
      </c>
      <c r="F684" s="93" t="s">
        <v>441</v>
      </c>
      <c r="G684" s="93" t="s">
        <v>288</v>
      </c>
      <c r="H684" s="93" t="s">
        <v>13</v>
      </c>
      <c r="I684" s="93" t="s">
        <v>255</v>
      </c>
      <c r="J684" s="93" t="s">
        <v>47</v>
      </c>
      <c r="K684" s="93"/>
      <c r="L684" s="95">
        <v>62.9</v>
      </c>
      <c r="M684" s="95">
        <f>L684*VLOOKUP(H684,dagsoorttabel1,2,FALSE)</f>
        <v>49.333333333333329</v>
      </c>
      <c r="N684" s="96">
        <f>prodnorm62</f>
        <v>0</v>
      </c>
      <c r="O684" s="37">
        <f>dagwerk62</f>
        <v>0</v>
      </c>
      <c r="P684" s="93" t="s">
        <v>105</v>
      </c>
      <c r="Q684" s="24">
        <f>uurtarief62</f>
        <v>0</v>
      </c>
      <c r="R684" s="95" t="e">
        <f>IF(ISBLANK(N684),0,M684/ROUND(N684,4))</f>
        <v>#DIV/0!</v>
      </c>
      <c r="S684" s="95" t="e">
        <f>IF(ISBLANK(N684),0,R684*ROUND(O684,2))</f>
        <v>#DIV/0!</v>
      </c>
      <c r="T684" s="24" t="e">
        <f>ROUND(Q684,2)*R684</f>
        <v>#DIV/0!</v>
      </c>
      <c r="U684" s="95" t="e">
        <f>R684*dagenperjaar1</f>
        <v>#DIV/0!</v>
      </c>
      <c r="V684" s="25" t="e">
        <f>U684*ROUND(Q684,2)</f>
        <v>#DIV/0!</v>
      </c>
    </row>
    <row r="685" spans="1:22" x14ac:dyDescent="0.2">
      <c r="A685" s="92" t="s">
        <v>757</v>
      </c>
      <c r="B685" s="93" t="s">
        <v>47</v>
      </c>
      <c r="C685" s="93" t="s">
        <v>558</v>
      </c>
      <c r="D685" s="93" t="s">
        <v>791</v>
      </c>
      <c r="E685" s="94" t="s">
        <v>792</v>
      </c>
      <c r="F685" s="93" t="s">
        <v>726</v>
      </c>
      <c r="G685" s="93" t="s">
        <v>314</v>
      </c>
      <c r="H685" s="93" t="s">
        <v>13</v>
      </c>
      <c r="I685" s="93" t="s">
        <v>255</v>
      </c>
      <c r="J685" s="93" t="s">
        <v>47</v>
      </c>
      <c r="K685" s="93"/>
      <c r="L685" s="95">
        <v>6.3</v>
      </c>
      <c r="M685" s="95">
        <f>L685*VLOOKUP(H685,dagsoorttabel1,2,FALSE)</f>
        <v>4.9411764705882355</v>
      </c>
      <c r="N685" s="96">
        <f>prodnorm88</f>
        <v>0</v>
      </c>
      <c r="O685" s="37">
        <f>dagwerk88</f>
        <v>0</v>
      </c>
      <c r="P685" s="93" t="s">
        <v>105</v>
      </c>
      <c r="Q685" s="24">
        <f>uurtarief88</f>
        <v>0</v>
      </c>
      <c r="R685" s="95" t="e">
        <f>IF(ISBLANK(N685),0,M685/ROUND(N685,4))</f>
        <v>#DIV/0!</v>
      </c>
      <c r="S685" s="95" t="e">
        <f>IF(ISBLANK(N685),0,R685*ROUND(O685,2))</f>
        <v>#DIV/0!</v>
      </c>
      <c r="T685" s="24" t="e">
        <f>ROUND(Q685,2)*R685</f>
        <v>#DIV/0!</v>
      </c>
      <c r="U685" s="95" t="e">
        <f>R685*dagenperjaar1</f>
        <v>#DIV/0!</v>
      </c>
      <c r="V685" s="25" t="e">
        <f>U685*ROUND(Q685,2)</f>
        <v>#DIV/0!</v>
      </c>
    </row>
    <row r="686" spans="1:22" x14ac:dyDescent="0.2">
      <c r="A686" s="92" t="s">
        <v>757</v>
      </c>
      <c r="B686" s="93" t="s">
        <v>47</v>
      </c>
      <c r="C686" s="93" t="s">
        <v>558</v>
      </c>
      <c r="D686" s="93" t="s">
        <v>793</v>
      </c>
      <c r="E686" s="94" t="s">
        <v>459</v>
      </c>
      <c r="F686" s="93" t="s">
        <v>441</v>
      </c>
      <c r="G686" s="93" t="s">
        <v>314</v>
      </c>
      <c r="H686" s="93" t="s">
        <v>13</v>
      </c>
      <c r="I686" s="93" t="s">
        <v>255</v>
      </c>
      <c r="J686" s="93" t="s">
        <v>47</v>
      </c>
      <c r="K686" s="93"/>
      <c r="L686" s="95">
        <v>55.6</v>
      </c>
      <c r="M686" s="95">
        <f>L686*VLOOKUP(H686,dagsoorttabel1,2,FALSE)</f>
        <v>43.607843137254903</v>
      </c>
      <c r="N686" s="96">
        <f>prodnorm88</f>
        <v>0</v>
      </c>
      <c r="O686" s="37">
        <f>dagwerk88</f>
        <v>0</v>
      </c>
      <c r="P686" s="93" t="s">
        <v>105</v>
      </c>
      <c r="Q686" s="24">
        <f>uurtarief88</f>
        <v>0</v>
      </c>
      <c r="R686" s="95" t="e">
        <f>IF(ISBLANK(N686),0,M686/ROUND(N686,4))</f>
        <v>#DIV/0!</v>
      </c>
      <c r="S686" s="95" t="e">
        <f>IF(ISBLANK(N686),0,R686*ROUND(O686,2))</f>
        <v>#DIV/0!</v>
      </c>
      <c r="T686" s="24" t="e">
        <f>ROUND(Q686,2)*R686</f>
        <v>#DIV/0!</v>
      </c>
      <c r="U686" s="95" t="e">
        <f>R686*dagenperjaar1</f>
        <v>#DIV/0!</v>
      </c>
      <c r="V686" s="25" t="e">
        <f>U686*ROUND(Q686,2)</f>
        <v>#DIV/0!</v>
      </c>
    </row>
    <row r="687" spans="1:22" x14ac:dyDescent="0.2">
      <c r="A687" s="92" t="s">
        <v>757</v>
      </c>
      <c r="B687" s="93" t="s">
        <v>47</v>
      </c>
      <c r="C687" s="93" t="s">
        <v>558</v>
      </c>
      <c r="D687" s="93" t="s">
        <v>794</v>
      </c>
      <c r="E687" s="94" t="s">
        <v>532</v>
      </c>
      <c r="F687" s="93" t="s">
        <v>496</v>
      </c>
      <c r="G687" s="93" t="s">
        <v>263</v>
      </c>
      <c r="H687" s="93" t="s">
        <v>13</v>
      </c>
      <c r="I687" s="93" t="s">
        <v>255</v>
      </c>
      <c r="J687" s="93" t="s">
        <v>47</v>
      </c>
      <c r="K687" s="93"/>
      <c r="L687" s="95">
        <v>22.2</v>
      </c>
      <c r="M687" s="95">
        <f>L687*VLOOKUP(H687,dagsoorttabel1,2,FALSE)</f>
        <v>17.411764705882351</v>
      </c>
      <c r="N687" s="96">
        <f>prodnorm36</f>
        <v>0</v>
      </c>
      <c r="O687" s="37">
        <f>dagwerk36</f>
        <v>0</v>
      </c>
      <c r="P687" s="93" t="s">
        <v>105</v>
      </c>
      <c r="Q687" s="24">
        <f>uurtarief36</f>
        <v>0</v>
      </c>
      <c r="R687" s="95" t="e">
        <f>IF(ISBLANK(N687),0,M687/ROUND(N687,4))</f>
        <v>#DIV/0!</v>
      </c>
      <c r="S687" s="95" t="e">
        <f>IF(ISBLANK(N687),0,R687*ROUND(O687,2))</f>
        <v>#DIV/0!</v>
      </c>
      <c r="T687" s="24" t="e">
        <f>ROUND(Q687,2)*R687</f>
        <v>#DIV/0!</v>
      </c>
      <c r="U687" s="95" t="e">
        <f>R687*dagenperjaar1</f>
        <v>#DIV/0!</v>
      </c>
      <c r="V687" s="25" t="e">
        <f>U687*ROUND(Q687,2)</f>
        <v>#DIV/0!</v>
      </c>
    </row>
    <row r="688" spans="1:22" x14ac:dyDescent="0.2">
      <c r="A688" s="92" t="s">
        <v>757</v>
      </c>
      <c r="B688" s="93" t="s">
        <v>47</v>
      </c>
      <c r="C688" s="93" t="s">
        <v>558</v>
      </c>
      <c r="D688" s="93" t="s">
        <v>795</v>
      </c>
      <c r="E688" s="94" t="s">
        <v>796</v>
      </c>
      <c r="F688" s="93" t="s">
        <v>441</v>
      </c>
      <c r="G688" s="93" t="s">
        <v>296</v>
      </c>
      <c r="H688" s="93" t="s">
        <v>13</v>
      </c>
      <c r="I688" s="93" t="s">
        <v>255</v>
      </c>
      <c r="J688" s="93" t="s">
        <v>47</v>
      </c>
      <c r="K688" s="93"/>
      <c r="L688" s="95">
        <v>48.9</v>
      </c>
      <c r="M688" s="95">
        <f>L688*VLOOKUP(H688,dagsoorttabel1,2,FALSE)</f>
        <v>38.352941176470587</v>
      </c>
      <c r="N688" s="96">
        <f>prodnorm68</f>
        <v>0</v>
      </c>
      <c r="O688" s="37">
        <f>dagwerk68</f>
        <v>0</v>
      </c>
      <c r="P688" s="93" t="s">
        <v>105</v>
      </c>
      <c r="Q688" s="24">
        <f>uurtarief68</f>
        <v>0</v>
      </c>
      <c r="R688" s="95" t="e">
        <f>IF(ISBLANK(N688),0,M688/ROUND(N688,4))</f>
        <v>#DIV/0!</v>
      </c>
      <c r="S688" s="95" t="e">
        <f>IF(ISBLANK(N688),0,R688*ROUND(O688,2))</f>
        <v>#DIV/0!</v>
      </c>
      <c r="T688" s="24" t="e">
        <f>ROUND(Q688,2)*R688</f>
        <v>#DIV/0!</v>
      </c>
      <c r="U688" s="95" t="e">
        <f>R688*dagenperjaar1</f>
        <v>#DIV/0!</v>
      </c>
      <c r="V688" s="25" t="e">
        <f>U688*ROUND(Q688,2)</f>
        <v>#DIV/0!</v>
      </c>
    </row>
    <row r="689" spans="1:22" x14ac:dyDescent="0.2">
      <c r="A689" s="92" t="s">
        <v>757</v>
      </c>
      <c r="B689" s="93" t="s">
        <v>47</v>
      </c>
      <c r="C689" s="93" t="s">
        <v>558</v>
      </c>
      <c r="D689" s="93" t="s">
        <v>797</v>
      </c>
      <c r="E689" s="94" t="s">
        <v>459</v>
      </c>
      <c r="F689" s="93" t="s">
        <v>441</v>
      </c>
      <c r="G689" s="93" t="s">
        <v>314</v>
      </c>
      <c r="H689" s="93" t="s">
        <v>13</v>
      </c>
      <c r="I689" s="93" t="s">
        <v>255</v>
      </c>
      <c r="J689" s="93" t="s">
        <v>47</v>
      </c>
      <c r="K689" s="93"/>
      <c r="L689" s="95">
        <v>37.799999999999997</v>
      </c>
      <c r="M689" s="95">
        <f>L689*VLOOKUP(H689,dagsoorttabel1,2,FALSE)</f>
        <v>29.647058823529409</v>
      </c>
      <c r="N689" s="96">
        <f>prodnorm88</f>
        <v>0</v>
      </c>
      <c r="O689" s="37">
        <f>dagwerk88</f>
        <v>0</v>
      </c>
      <c r="P689" s="93" t="s">
        <v>105</v>
      </c>
      <c r="Q689" s="24">
        <f>uurtarief88</f>
        <v>0</v>
      </c>
      <c r="R689" s="95" t="e">
        <f>IF(ISBLANK(N689),0,M689/ROUND(N689,4))</f>
        <v>#DIV/0!</v>
      </c>
      <c r="S689" s="95" t="e">
        <f>IF(ISBLANK(N689),0,R689*ROUND(O689,2))</f>
        <v>#DIV/0!</v>
      </c>
      <c r="T689" s="24" t="e">
        <f>ROUND(Q689,2)*R689</f>
        <v>#DIV/0!</v>
      </c>
      <c r="U689" s="95" t="e">
        <f>R689*dagenperjaar1</f>
        <v>#DIV/0!</v>
      </c>
      <c r="V689" s="25" t="e">
        <f>U689*ROUND(Q689,2)</f>
        <v>#DIV/0!</v>
      </c>
    </row>
    <row r="690" spans="1:22" x14ac:dyDescent="0.2">
      <c r="A690" s="92" t="s">
        <v>757</v>
      </c>
      <c r="B690" s="93" t="s">
        <v>47</v>
      </c>
      <c r="C690" s="93" t="s">
        <v>558</v>
      </c>
      <c r="D690" s="93" t="s">
        <v>798</v>
      </c>
      <c r="E690" s="94" t="s">
        <v>410</v>
      </c>
      <c r="F690" s="93" t="s">
        <v>397</v>
      </c>
      <c r="G690" s="93" t="s">
        <v>304</v>
      </c>
      <c r="H690" s="93" t="s">
        <v>13</v>
      </c>
      <c r="I690" s="93" t="s">
        <v>255</v>
      </c>
      <c r="J690" s="93" t="s">
        <v>47</v>
      </c>
      <c r="K690" s="93"/>
      <c r="L690" s="95">
        <v>6.1</v>
      </c>
      <c r="M690" s="95">
        <f>L690*VLOOKUP(H690,dagsoorttabel1,2,FALSE)</f>
        <v>4.784313725490196</v>
      </c>
      <c r="N690" s="96">
        <f>prodnorm74</f>
        <v>0</v>
      </c>
      <c r="O690" s="37">
        <f>dagwerk74</f>
        <v>0</v>
      </c>
      <c r="P690" s="93" t="s">
        <v>105</v>
      </c>
      <c r="Q690" s="24">
        <f>uurtarief74</f>
        <v>0</v>
      </c>
      <c r="R690" s="95" t="e">
        <f>IF(ISBLANK(N690),0,M690/ROUND(N690,4))</f>
        <v>#DIV/0!</v>
      </c>
      <c r="S690" s="95" t="e">
        <f>IF(ISBLANK(N690),0,R690*ROUND(O690,2))</f>
        <v>#DIV/0!</v>
      </c>
      <c r="T690" s="24" t="e">
        <f>ROUND(Q690,2)*R690</f>
        <v>#DIV/0!</v>
      </c>
      <c r="U690" s="95" t="e">
        <f>R690*dagenperjaar1</f>
        <v>#DIV/0!</v>
      </c>
      <c r="V690" s="25" t="e">
        <f>U690*ROUND(Q690,2)</f>
        <v>#DIV/0!</v>
      </c>
    </row>
    <row r="691" spans="1:22" x14ac:dyDescent="0.2">
      <c r="A691" s="92" t="s">
        <v>757</v>
      </c>
      <c r="B691" s="93" t="s">
        <v>47</v>
      </c>
      <c r="C691" s="93" t="s">
        <v>558</v>
      </c>
      <c r="D691" s="93" t="s">
        <v>799</v>
      </c>
      <c r="E691" s="94" t="s">
        <v>414</v>
      </c>
      <c r="F691" s="93" t="s">
        <v>397</v>
      </c>
      <c r="G691" s="93" t="s">
        <v>304</v>
      </c>
      <c r="H691" s="93" t="s">
        <v>13</v>
      </c>
      <c r="I691" s="93" t="s">
        <v>255</v>
      </c>
      <c r="J691" s="93" t="s">
        <v>47</v>
      </c>
      <c r="K691" s="93"/>
      <c r="L691" s="95">
        <v>6.1</v>
      </c>
      <c r="M691" s="95">
        <f>L691*VLOOKUP(H691,dagsoorttabel1,2,FALSE)</f>
        <v>4.784313725490196</v>
      </c>
      <c r="N691" s="96">
        <f>prodnorm74</f>
        <v>0</v>
      </c>
      <c r="O691" s="37">
        <f>dagwerk74</f>
        <v>0</v>
      </c>
      <c r="P691" s="93" t="s">
        <v>105</v>
      </c>
      <c r="Q691" s="24">
        <f>uurtarief74</f>
        <v>0</v>
      </c>
      <c r="R691" s="95" t="e">
        <f>IF(ISBLANK(N691),0,M691/ROUND(N691,4))</f>
        <v>#DIV/0!</v>
      </c>
      <c r="S691" s="95" t="e">
        <f>IF(ISBLANK(N691),0,R691*ROUND(O691,2))</f>
        <v>#DIV/0!</v>
      </c>
      <c r="T691" s="24" t="e">
        <f>ROUND(Q691,2)*R691</f>
        <v>#DIV/0!</v>
      </c>
      <c r="U691" s="95" t="e">
        <f>R691*dagenperjaar1</f>
        <v>#DIV/0!</v>
      </c>
      <c r="V691" s="25" t="e">
        <f>U691*ROUND(Q691,2)</f>
        <v>#DIV/0!</v>
      </c>
    </row>
    <row r="692" spans="1:22" x14ac:dyDescent="0.2">
      <c r="A692" s="92" t="s">
        <v>757</v>
      </c>
      <c r="B692" s="93" t="s">
        <v>47</v>
      </c>
      <c r="C692" s="93" t="s">
        <v>558</v>
      </c>
      <c r="D692" s="93" t="s">
        <v>800</v>
      </c>
      <c r="E692" s="94" t="s">
        <v>783</v>
      </c>
      <c r="F692" s="93" t="s">
        <v>397</v>
      </c>
      <c r="G692" s="93" t="s">
        <v>304</v>
      </c>
      <c r="H692" s="93" t="s">
        <v>13</v>
      </c>
      <c r="I692" s="93" t="s">
        <v>255</v>
      </c>
      <c r="J692" s="93" t="s">
        <v>47</v>
      </c>
      <c r="K692" s="93"/>
      <c r="L692" s="95">
        <v>4.8</v>
      </c>
      <c r="M692" s="95">
        <f>L692*VLOOKUP(H692,dagsoorttabel1,2,FALSE)</f>
        <v>3.7647058823529411</v>
      </c>
      <c r="N692" s="96">
        <f>prodnorm74</f>
        <v>0</v>
      </c>
      <c r="O692" s="37">
        <f>dagwerk74</f>
        <v>0</v>
      </c>
      <c r="P692" s="93" t="s">
        <v>105</v>
      </c>
      <c r="Q692" s="24">
        <f>uurtarief74</f>
        <v>0</v>
      </c>
      <c r="R692" s="95" t="e">
        <f>IF(ISBLANK(N692),0,M692/ROUND(N692,4))</f>
        <v>#DIV/0!</v>
      </c>
      <c r="S692" s="95" t="e">
        <f>IF(ISBLANK(N692),0,R692*ROUND(O692,2))</f>
        <v>#DIV/0!</v>
      </c>
      <c r="T692" s="24" t="e">
        <f>ROUND(Q692,2)*R692</f>
        <v>#DIV/0!</v>
      </c>
      <c r="U692" s="95" t="e">
        <f>R692*dagenperjaar1</f>
        <v>#DIV/0!</v>
      </c>
      <c r="V692" s="25" t="e">
        <f>U692*ROUND(Q692,2)</f>
        <v>#DIV/0!</v>
      </c>
    </row>
    <row r="693" spans="1:22" x14ac:dyDescent="0.2">
      <c r="A693" s="92" t="s">
        <v>757</v>
      </c>
      <c r="B693" s="93" t="s">
        <v>47</v>
      </c>
      <c r="C693" s="93" t="s">
        <v>558</v>
      </c>
      <c r="D693" s="93" t="s">
        <v>801</v>
      </c>
      <c r="E693" s="94" t="s">
        <v>407</v>
      </c>
      <c r="F693" s="93" t="s">
        <v>764</v>
      </c>
      <c r="G693" s="93" t="s">
        <v>266</v>
      </c>
      <c r="H693" s="93" t="s">
        <v>13</v>
      </c>
      <c r="I693" s="93" t="s">
        <v>255</v>
      </c>
      <c r="J693" s="93" t="s">
        <v>47</v>
      </c>
      <c r="K693" s="93"/>
      <c r="L693" s="95">
        <v>9.4</v>
      </c>
      <c r="M693" s="95">
        <f>L693*VLOOKUP(H693,dagsoorttabel1,2,FALSE)</f>
        <v>7.3725490196078436</v>
      </c>
      <c r="N693" s="96">
        <f>prodnorm40</f>
        <v>0</v>
      </c>
      <c r="O693" s="37">
        <f>dagwerk40</f>
        <v>0</v>
      </c>
      <c r="P693" s="93" t="s">
        <v>105</v>
      </c>
      <c r="Q693" s="24">
        <f>uurtarief40</f>
        <v>0</v>
      </c>
      <c r="R693" s="95" t="e">
        <f>IF(ISBLANK(N693),0,M693/ROUND(N693,4))</f>
        <v>#DIV/0!</v>
      </c>
      <c r="S693" s="95" t="e">
        <f>IF(ISBLANK(N693),0,R693*ROUND(O693,2))</f>
        <v>#DIV/0!</v>
      </c>
      <c r="T693" s="24" t="e">
        <f>ROUND(Q693,2)*R693</f>
        <v>#DIV/0!</v>
      </c>
      <c r="U693" s="95" t="e">
        <f>R693*dagenperjaar1</f>
        <v>#DIV/0!</v>
      </c>
      <c r="V693" s="25" t="e">
        <f>U693*ROUND(Q693,2)</f>
        <v>#DIV/0!</v>
      </c>
    </row>
    <row r="694" spans="1:22" x14ac:dyDescent="0.2">
      <c r="A694" s="92" t="s">
        <v>757</v>
      </c>
      <c r="B694" s="93" t="s">
        <v>47</v>
      </c>
      <c r="C694" s="93" t="s">
        <v>558</v>
      </c>
      <c r="D694" s="93" t="s">
        <v>801</v>
      </c>
      <c r="E694" s="94" t="s">
        <v>407</v>
      </c>
      <c r="F694" s="93" t="s">
        <v>764</v>
      </c>
      <c r="G694" s="93" t="s">
        <v>268</v>
      </c>
      <c r="H694" s="93" t="s">
        <v>13</v>
      </c>
      <c r="I694" s="93" t="s">
        <v>255</v>
      </c>
      <c r="J694" s="93" t="s">
        <v>47</v>
      </c>
      <c r="K694" s="93"/>
      <c r="L694" s="95">
        <v>9.4</v>
      </c>
      <c r="M694" s="95">
        <f>L694*VLOOKUP(H694,dagsoorttabel1,2,FALSE)</f>
        <v>7.3725490196078436</v>
      </c>
      <c r="N694" s="96">
        <f>prodnorm42</f>
        <v>0</v>
      </c>
      <c r="O694" s="37">
        <f>dagwerk42</f>
        <v>0</v>
      </c>
      <c r="P694" s="93" t="s">
        <v>105</v>
      </c>
      <c r="Q694" s="24">
        <f>uurtarief42</f>
        <v>0</v>
      </c>
      <c r="R694" s="95" t="e">
        <f>IF(ISBLANK(N694),0,M694/ROUND(N694,4))</f>
        <v>#DIV/0!</v>
      </c>
      <c r="S694" s="95" t="e">
        <f>IF(ISBLANK(N694),0,R694*ROUND(O694,2))</f>
        <v>#DIV/0!</v>
      </c>
      <c r="T694" s="24" t="e">
        <f>ROUND(Q694,2)*R694</f>
        <v>#DIV/0!</v>
      </c>
      <c r="U694" s="95" t="e">
        <f>R694*dagenperjaar1</f>
        <v>#DIV/0!</v>
      </c>
      <c r="V694" s="25" t="e">
        <f>U694*ROUND(Q694,2)</f>
        <v>#DIV/0!</v>
      </c>
    </row>
    <row r="695" spans="1:22" x14ac:dyDescent="0.2">
      <c r="A695" s="92" t="s">
        <v>757</v>
      </c>
      <c r="B695" s="93" t="s">
        <v>47</v>
      </c>
      <c r="C695" s="93" t="s">
        <v>558</v>
      </c>
      <c r="D695" s="93" t="s">
        <v>802</v>
      </c>
      <c r="E695" s="94" t="s">
        <v>423</v>
      </c>
      <c r="F695" s="93" t="s">
        <v>764</v>
      </c>
      <c r="G695" s="93" t="s">
        <v>304</v>
      </c>
      <c r="H695" s="93" t="s">
        <v>13</v>
      </c>
      <c r="I695" s="93" t="s">
        <v>255</v>
      </c>
      <c r="J695" s="93" t="s">
        <v>47</v>
      </c>
      <c r="K695" s="93"/>
      <c r="L695" s="95">
        <v>1.2</v>
      </c>
      <c r="M695" s="95">
        <f>L695*VLOOKUP(H695,dagsoorttabel1,2,FALSE)</f>
        <v>0.94117647058823528</v>
      </c>
      <c r="N695" s="96">
        <f>prodnorm74</f>
        <v>0</v>
      </c>
      <c r="O695" s="37">
        <f>dagwerk74</f>
        <v>0</v>
      </c>
      <c r="P695" s="93" t="s">
        <v>105</v>
      </c>
      <c r="Q695" s="24">
        <f>uurtarief74</f>
        <v>0</v>
      </c>
      <c r="R695" s="95" t="e">
        <f>IF(ISBLANK(N695),0,M695/ROUND(N695,4))</f>
        <v>#DIV/0!</v>
      </c>
      <c r="S695" s="95" t="e">
        <f>IF(ISBLANK(N695),0,R695*ROUND(O695,2))</f>
        <v>#DIV/0!</v>
      </c>
      <c r="T695" s="24" t="e">
        <f>ROUND(Q695,2)*R695</f>
        <v>#DIV/0!</v>
      </c>
      <c r="U695" s="95" t="e">
        <f>R695*dagenperjaar1</f>
        <v>#DIV/0!</v>
      </c>
      <c r="V695" s="25" t="e">
        <f>U695*ROUND(Q695,2)</f>
        <v>#DIV/0!</v>
      </c>
    </row>
    <row r="696" spans="1:22" x14ac:dyDescent="0.2">
      <c r="A696" s="92" t="s">
        <v>757</v>
      </c>
      <c r="B696" s="93" t="s">
        <v>47</v>
      </c>
      <c r="C696" s="93" t="s">
        <v>558</v>
      </c>
      <c r="D696" s="93" t="s">
        <v>802</v>
      </c>
      <c r="E696" s="94" t="s">
        <v>423</v>
      </c>
      <c r="F696" s="93" t="s">
        <v>764</v>
      </c>
      <c r="G696" s="93" t="s">
        <v>306</v>
      </c>
      <c r="H696" s="93" t="s">
        <v>13</v>
      </c>
      <c r="I696" s="93" t="s">
        <v>255</v>
      </c>
      <c r="J696" s="93" t="s">
        <v>47</v>
      </c>
      <c r="K696" s="93"/>
      <c r="L696" s="95">
        <v>1.2</v>
      </c>
      <c r="M696" s="95">
        <f>L696*VLOOKUP(H696,dagsoorttabel1,2,FALSE)</f>
        <v>0.94117647058823528</v>
      </c>
      <c r="N696" s="96">
        <f>prodnorm78</f>
        <v>0</v>
      </c>
      <c r="O696" s="37">
        <f>dagwerk78</f>
        <v>0</v>
      </c>
      <c r="P696" s="93" t="s">
        <v>105</v>
      </c>
      <c r="Q696" s="24">
        <f>uurtarief78</f>
        <v>0</v>
      </c>
      <c r="R696" s="95" t="e">
        <f>IF(ISBLANK(N696),0,M696/ROUND(N696,4))</f>
        <v>#DIV/0!</v>
      </c>
      <c r="S696" s="95" t="e">
        <f>IF(ISBLANK(N696),0,R696*ROUND(O696,2))</f>
        <v>#DIV/0!</v>
      </c>
      <c r="T696" s="24" t="e">
        <f>ROUND(Q696,2)*R696</f>
        <v>#DIV/0!</v>
      </c>
      <c r="U696" s="95" t="e">
        <f>R696*dagenperjaar1</f>
        <v>#DIV/0!</v>
      </c>
      <c r="V696" s="25" t="e">
        <f>U696*ROUND(Q696,2)</f>
        <v>#DIV/0!</v>
      </c>
    </row>
    <row r="697" spans="1:22" x14ac:dyDescent="0.2">
      <c r="A697" s="92" t="s">
        <v>757</v>
      </c>
      <c r="B697" s="93" t="s">
        <v>47</v>
      </c>
      <c r="C697" s="93" t="s">
        <v>558</v>
      </c>
      <c r="D697" s="93" t="s">
        <v>803</v>
      </c>
      <c r="E697" s="94" t="s">
        <v>447</v>
      </c>
      <c r="F697" s="93" t="s">
        <v>764</v>
      </c>
      <c r="G697" s="93" t="s">
        <v>284</v>
      </c>
      <c r="H697" s="93" t="s">
        <v>13</v>
      </c>
      <c r="I697" s="93" t="s">
        <v>255</v>
      </c>
      <c r="J697" s="93" t="s">
        <v>47</v>
      </c>
      <c r="K697" s="93"/>
      <c r="L697" s="95">
        <v>22.8</v>
      </c>
      <c r="M697" s="95">
        <f>L697*VLOOKUP(H697,dagsoorttabel1,2,FALSE)</f>
        <v>17.882352941176471</v>
      </c>
      <c r="N697" s="96">
        <f>prodnorm58</f>
        <v>0</v>
      </c>
      <c r="O697" s="37">
        <f>dagwerk58</f>
        <v>0</v>
      </c>
      <c r="P697" s="93" t="s">
        <v>105</v>
      </c>
      <c r="Q697" s="24">
        <f>uurtarief58</f>
        <v>0</v>
      </c>
      <c r="R697" s="95" t="e">
        <f>IF(ISBLANK(N697),0,M697/ROUND(N697,4))</f>
        <v>#DIV/0!</v>
      </c>
      <c r="S697" s="95" t="e">
        <f>IF(ISBLANK(N697),0,R697*ROUND(O697,2))</f>
        <v>#DIV/0!</v>
      </c>
      <c r="T697" s="24" t="e">
        <f>ROUND(Q697,2)*R697</f>
        <v>#DIV/0!</v>
      </c>
      <c r="U697" s="95" t="e">
        <f>R697*dagenperjaar1</f>
        <v>#DIV/0!</v>
      </c>
      <c r="V697" s="25" t="e">
        <f>U697*ROUND(Q697,2)</f>
        <v>#DIV/0!</v>
      </c>
    </row>
    <row r="698" spans="1:22" x14ac:dyDescent="0.2">
      <c r="A698" s="92" t="s">
        <v>757</v>
      </c>
      <c r="B698" s="93" t="s">
        <v>47</v>
      </c>
      <c r="C698" s="93" t="s">
        <v>558</v>
      </c>
      <c r="D698" s="93" t="s">
        <v>803</v>
      </c>
      <c r="E698" s="94" t="s">
        <v>447</v>
      </c>
      <c r="F698" s="93" t="s">
        <v>764</v>
      </c>
      <c r="G698" s="93" t="s">
        <v>286</v>
      </c>
      <c r="H698" s="93" t="s">
        <v>13</v>
      </c>
      <c r="I698" s="93" t="s">
        <v>255</v>
      </c>
      <c r="J698" s="93" t="s">
        <v>47</v>
      </c>
      <c r="K698" s="93"/>
      <c r="L698" s="95">
        <v>22.8</v>
      </c>
      <c r="M698" s="95">
        <f>L698*VLOOKUP(H698,dagsoorttabel1,2,FALSE)</f>
        <v>17.882352941176471</v>
      </c>
      <c r="N698" s="96">
        <f>prodnorm61</f>
        <v>0</v>
      </c>
      <c r="O698" s="37">
        <f>dagwerk61</f>
        <v>0</v>
      </c>
      <c r="P698" s="93" t="s">
        <v>105</v>
      </c>
      <c r="Q698" s="24">
        <f>uurtarief61</f>
        <v>0</v>
      </c>
      <c r="R698" s="95" t="e">
        <f>IF(ISBLANK(N698),0,M698/ROUND(N698,4))</f>
        <v>#DIV/0!</v>
      </c>
      <c r="S698" s="95" t="e">
        <f>IF(ISBLANK(N698),0,R698*ROUND(O698,2))</f>
        <v>#DIV/0!</v>
      </c>
      <c r="T698" s="24" t="e">
        <f>ROUND(Q698,2)*R698</f>
        <v>#DIV/0!</v>
      </c>
      <c r="U698" s="95" t="e">
        <f>R698*dagenperjaar1</f>
        <v>#DIV/0!</v>
      </c>
      <c r="V698" s="25" t="e">
        <f>U698*ROUND(Q698,2)</f>
        <v>#DIV/0!</v>
      </c>
    </row>
    <row r="699" spans="1:22" x14ac:dyDescent="0.2">
      <c r="A699" s="92" t="s">
        <v>757</v>
      </c>
      <c r="B699" s="93" t="s">
        <v>47</v>
      </c>
      <c r="C699" s="93" t="s">
        <v>558</v>
      </c>
      <c r="D699" s="93" t="s">
        <v>804</v>
      </c>
      <c r="E699" s="94" t="s">
        <v>407</v>
      </c>
      <c r="F699" s="93" t="s">
        <v>764</v>
      </c>
      <c r="G699" s="93" t="s">
        <v>266</v>
      </c>
      <c r="H699" s="93" t="s">
        <v>13</v>
      </c>
      <c r="I699" s="93" t="s">
        <v>255</v>
      </c>
      <c r="J699" s="93" t="s">
        <v>47</v>
      </c>
      <c r="K699" s="93"/>
      <c r="L699" s="95">
        <v>94</v>
      </c>
      <c r="M699" s="95">
        <f>L699*VLOOKUP(H699,dagsoorttabel1,2,FALSE)</f>
        <v>73.725490196078425</v>
      </c>
      <c r="N699" s="96">
        <f>prodnorm40</f>
        <v>0</v>
      </c>
      <c r="O699" s="37">
        <f>dagwerk40</f>
        <v>0</v>
      </c>
      <c r="P699" s="93" t="s">
        <v>105</v>
      </c>
      <c r="Q699" s="24">
        <f>uurtarief40</f>
        <v>0</v>
      </c>
      <c r="R699" s="95" t="e">
        <f>IF(ISBLANK(N699),0,M699/ROUND(N699,4))</f>
        <v>#DIV/0!</v>
      </c>
      <c r="S699" s="95" t="e">
        <f>IF(ISBLANK(N699),0,R699*ROUND(O699,2))</f>
        <v>#DIV/0!</v>
      </c>
      <c r="T699" s="24" t="e">
        <f>ROUND(Q699,2)*R699</f>
        <v>#DIV/0!</v>
      </c>
      <c r="U699" s="95" t="e">
        <f>R699*dagenperjaar1</f>
        <v>#DIV/0!</v>
      </c>
      <c r="V699" s="25" t="e">
        <f>U699*ROUND(Q699,2)</f>
        <v>#DIV/0!</v>
      </c>
    </row>
    <row r="700" spans="1:22" x14ac:dyDescent="0.2">
      <c r="A700" s="92" t="s">
        <v>757</v>
      </c>
      <c r="B700" s="93" t="s">
        <v>47</v>
      </c>
      <c r="C700" s="93" t="s">
        <v>558</v>
      </c>
      <c r="D700" s="93" t="s">
        <v>804</v>
      </c>
      <c r="E700" s="94" t="s">
        <v>407</v>
      </c>
      <c r="F700" s="93" t="s">
        <v>764</v>
      </c>
      <c r="G700" s="93" t="s">
        <v>268</v>
      </c>
      <c r="H700" s="93" t="s">
        <v>13</v>
      </c>
      <c r="I700" s="93" t="s">
        <v>255</v>
      </c>
      <c r="J700" s="93" t="s">
        <v>47</v>
      </c>
      <c r="K700" s="93"/>
      <c r="L700" s="95">
        <v>94</v>
      </c>
      <c r="M700" s="95">
        <f>L700*VLOOKUP(H700,dagsoorttabel1,2,FALSE)</f>
        <v>73.725490196078425</v>
      </c>
      <c r="N700" s="96">
        <f>prodnorm42</f>
        <v>0</v>
      </c>
      <c r="O700" s="37">
        <f>dagwerk42</f>
        <v>0</v>
      </c>
      <c r="P700" s="93" t="s">
        <v>105</v>
      </c>
      <c r="Q700" s="24">
        <f>uurtarief42</f>
        <v>0</v>
      </c>
      <c r="R700" s="95" t="e">
        <f>IF(ISBLANK(N700),0,M700/ROUND(N700,4))</f>
        <v>#DIV/0!</v>
      </c>
      <c r="S700" s="95" t="e">
        <f>IF(ISBLANK(N700),0,R700*ROUND(O700,2))</f>
        <v>#DIV/0!</v>
      </c>
      <c r="T700" s="24" t="e">
        <f>ROUND(Q700,2)*R700</f>
        <v>#DIV/0!</v>
      </c>
      <c r="U700" s="95" t="e">
        <f>R700*dagenperjaar1</f>
        <v>#DIV/0!</v>
      </c>
      <c r="V700" s="25" t="e">
        <f>U700*ROUND(Q700,2)</f>
        <v>#DIV/0!</v>
      </c>
    </row>
    <row r="701" spans="1:22" x14ac:dyDescent="0.2">
      <c r="A701" s="92" t="s">
        <v>757</v>
      </c>
      <c r="B701" s="93" t="s">
        <v>47</v>
      </c>
      <c r="C701" s="93" t="s">
        <v>558</v>
      </c>
      <c r="D701" s="93" t="s">
        <v>805</v>
      </c>
      <c r="E701" s="94" t="s">
        <v>423</v>
      </c>
      <c r="F701" s="93" t="s">
        <v>764</v>
      </c>
      <c r="G701" s="93" t="s">
        <v>304</v>
      </c>
      <c r="H701" s="93" t="s">
        <v>13</v>
      </c>
      <c r="I701" s="93" t="s">
        <v>255</v>
      </c>
      <c r="J701" s="93" t="s">
        <v>47</v>
      </c>
      <c r="K701" s="93"/>
      <c r="L701" s="95">
        <v>1.2</v>
      </c>
      <c r="M701" s="95">
        <f>L701*VLOOKUP(H701,dagsoorttabel1,2,FALSE)</f>
        <v>0.94117647058823528</v>
      </c>
      <c r="N701" s="96">
        <f>prodnorm74</f>
        <v>0</v>
      </c>
      <c r="O701" s="37">
        <f>dagwerk74</f>
        <v>0</v>
      </c>
      <c r="P701" s="93" t="s">
        <v>105</v>
      </c>
      <c r="Q701" s="24">
        <f>uurtarief74</f>
        <v>0</v>
      </c>
      <c r="R701" s="95" t="e">
        <f>IF(ISBLANK(N701),0,M701/ROUND(N701,4))</f>
        <v>#DIV/0!</v>
      </c>
      <c r="S701" s="95" t="e">
        <f>IF(ISBLANK(N701),0,R701*ROUND(O701,2))</f>
        <v>#DIV/0!</v>
      </c>
      <c r="T701" s="24" t="e">
        <f>ROUND(Q701,2)*R701</f>
        <v>#DIV/0!</v>
      </c>
      <c r="U701" s="95" t="e">
        <f>R701*dagenperjaar1</f>
        <v>#DIV/0!</v>
      </c>
      <c r="V701" s="25" t="e">
        <f>U701*ROUND(Q701,2)</f>
        <v>#DIV/0!</v>
      </c>
    </row>
    <row r="702" spans="1:22" x14ac:dyDescent="0.2">
      <c r="A702" s="92" t="s">
        <v>757</v>
      </c>
      <c r="B702" s="93" t="s">
        <v>47</v>
      </c>
      <c r="C702" s="93" t="s">
        <v>558</v>
      </c>
      <c r="D702" s="93" t="s">
        <v>805</v>
      </c>
      <c r="E702" s="94" t="s">
        <v>423</v>
      </c>
      <c r="F702" s="93" t="s">
        <v>764</v>
      </c>
      <c r="G702" s="93" t="s">
        <v>306</v>
      </c>
      <c r="H702" s="93" t="s">
        <v>13</v>
      </c>
      <c r="I702" s="93" t="s">
        <v>255</v>
      </c>
      <c r="J702" s="93" t="s">
        <v>47</v>
      </c>
      <c r="K702" s="93"/>
      <c r="L702" s="95">
        <v>1.2</v>
      </c>
      <c r="M702" s="95">
        <f>L702*VLOOKUP(H702,dagsoorttabel1,2,FALSE)</f>
        <v>0.94117647058823528</v>
      </c>
      <c r="N702" s="96">
        <f>prodnorm78</f>
        <v>0</v>
      </c>
      <c r="O702" s="37">
        <f>dagwerk78</f>
        <v>0</v>
      </c>
      <c r="P702" s="93" t="s">
        <v>105</v>
      </c>
      <c r="Q702" s="24">
        <f>uurtarief78</f>
        <v>0</v>
      </c>
      <c r="R702" s="95" t="e">
        <f>IF(ISBLANK(N702),0,M702/ROUND(N702,4))</f>
        <v>#DIV/0!</v>
      </c>
      <c r="S702" s="95" t="e">
        <f>IF(ISBLANK(N702),0,R702*ROUND(O702,2))</f>
        <v>#DIV/0!</v>
      </c>
      <c r="T702" s="24" t="e">
        <f>ROUND(Q702,2)*R702</f>
        <v>#DIV/0!</v>
      </c>
      <c r="U702" s="95" t="e">
        <f>R702*dagenperjaar1</f>
        <v>#DIV/0!</v>
      </c>
      <c r="V702" s="25" t="e">
        <f>U702*ROUND(Q702,2)</f>
        <v>#DIV/0!</v>
      </c>
    </row>
    <row r="703" spans="1:22" x14ac:dyDescent="0.2">
      <c r="A703" s="92" t="s">
        <v>757</v>
      </c>
      <c r="B703" s="93" t="s">
        <v>47</v>
      </c>
      <c r="C703" s="93" t="s">
        <v>558</v>
      </c>
      <c r="D703" s="93" t="s">
        <v>806</v>
      </c>
      <c r="E703" s="94" t="s">
        <v>807</v>
      </c>
      <c r="F703" s="93" t="s">
        <v>808</v>
      </c>
      <c r="G703" s="93" t="s">
        <v>254</v>
      </c>
      <c r="H703" s="93" t="s">
        <v>13</v>
      </c>
      <c r="I703" s="93" t="s">
        <v>255</v>
      </c>
      <c r="J703" s="93" t="s">
        <v>47</v>
      </c>
      <c r="K703" s="93"/>
      <c r="L703" s="95">
        <v>14.5</v>
      </c>
      <c r="M703" s="95">
        <f>L703*VLOOKUP(H703,dagsoorttabel1,2,FALSE)</f>
        <v>11.372549019607844</v>
      </c>
      <c r="N703" s="96">
        <f>prodnorm26</f>
        <v>0</v>
      </c>
      <c r="O703" s="37">
        <f>dagwerk26</f>
        <v>0</v>
      </c>
      <c r="P703" s="93" t="s">
        <v>105</v>
      </c>
      <c r="Q703" s="24">
        <f>uurtarief26</f>
        <v>0</v>
      </c>
      <c r="R703" s="95" t="e">
        <f>IF(ISBLANK(N703),0,M703/ROUND(N703,4))</f>
        <v>#DIV/0!</v>
      </c>
      <c r="S703" s="95" t="e">
        <f>IF(ISBLANK(N703),0,R703*ROUND(O703,2))</f>
        <v>#DIV/0!</v>
      </c>
      <c r="T703" s="24" t="e">
        <f>ROUND(Q703,2)*R703</f>
        <v>#DIV/0!</v>
      </c>
      <c r="U703" s="95" t="e">
        <f>R703*dagenperjaar1</f>
        <v>#DIV/0!</v>
      </c>
      <c r="V703" s="25" t="e">
        <f>U703*ROUND(Q703,2)</f>
        <v>#DIV/0!</v>
      </c>
    </row>
    <row r="704" spans="1:22" x14ac:dyDescent="0.2">
      <c r="A704" s="92" t="s">
        <v>757</v>
      </c>
      <c r="B704" s="93" t="s">
        <v>47</v>
      </c>
      <c r="C704" s="93" t="s">
        <v>558</v>
      </c>
      <c r="D704" s="93" t="s">
        <v>809</v>
      </c>
      <c r="E704" s="94" t="s">
        <v>810</v>
      </c>
      <c r="F704" s="93" t="s">
        <v>764</v>
      </c>
      <c r="G704" s="93" t="s">
        <v>304</v>
      </c>
      <c r="H704" s="93" t="s">
        <v>13</v>
      </c>
      <c r="I704" s="93" t="s">
        <v>255</v>
      </c>
      <c r="J704" s="93" t="s">
        <v>47</v>
      </c>
      <c r="K704" s="93"/>
      <c r="L704" s="95">
        <v>5</v>
      </c>
      <c r="M704" s="95">
        <f>L704*VLOOKUP(H704,dagsoorttabel1,2,FALSE)</f>
        <v>3.9215686274509802</v>
      </c>
      <c r="N704" s="96">
        <f>prodnorm74</f>
        <v>0</v>
      </c>
      <c r="O704" s="37">
        <f>dagwerk74</f>
        <v>0</v>
      </c>
      <c r="P704" s="93" t="s">
        <v>105</v>
      </c>
      <c r="Q704" s="24">
        <f>uurtarief74</f>
        <v>0</v>
      </c>
      <c r="R704" s="95" t="e">
        <f>IF(ISBLANK(N704),0,M704/ROUND(N704,4))</f>
        <v>#DIV/0!</v>
      </c>
      <c r="S704" s="95" t="e">
        <f>IF(ISBLANK(N704),0,R704*ROUND(O704,2))</f>
        <v>#DIV/0!</v>
      </c>
      <c r="T704" s="24" t="e">
        <f>ROUND(Q704,2)*R704</f>
        <v>#DIV/0!</v>
      </c>
      <c r="U704" s="95" t="e">
        <f>R704*dagenperjaar1</f>
        <v>#DIV/0!</v>
      </c>
      <c r="V704" s="25" t="e">
        <f>U704*ROUND(Q704,2)</f>
        <v>#DIV/0!</v>
      </c>
    </row>
    <row r="705" spans="1:22" x14ac:dyDescent="0.2">
      <c r="A705" s="92" t="s">
        <v>757</v>
      </c>
      <c r="B705" s="93" t="s">
        <v>47</v>
      </c>
      <c r="C705" s="93" t="s">
        <v>558</v>
      </c>
      <c r="D705" s="93" t="s">
        <v>809</v>
      </c>
      <c r="E705" s="94" t="s">
        <v>810</v>
      </c>
      <c r="F705" s="93" t="s">
        <v>764</v>
      </c>
      <c r="G705" s="93" t="s">
        <v>306</v>
      </c>
      <c r="H705" s="93" t="s">
        <v>13</v>
      </c>
      <c r="I705" s="93" t="s">
        <v>255</v>
      </c>
      <c r="J705" s="93" t="s">
        <v>47</v>
      </c>
      <c r="K705" s="93"/>
      <c r="L705" s="95">
        <v>5</v>
      </c>
      <c r="M705" s="95">
        <f>L705*VLOOKUP(H705,dagsoorttabel1,2,FALSE)</f>
        <v>3.9215686274509802</v>
      </c>
      <c r="N705" s="96">
        <f>prodnorm78</f>
        <v>0</v>
      </c>
      <c r="O705" s="37">
        <f>dagwerk78</f>
        <v>0</v>
      </c>
      <c r="P705" s="93" t="s">
        <v>105</v>
      </c>
      <c r="Q705" s="24">
        <f>uurtarief78</f>
        <v>0</v>
      </c>
      <c r="R705" s="95" t="e">
        <f>IF(ISBLANK(N705),0,M705/ROUND(N705,4))</f>
        <v>#DIV/0!</v>
      </c>
      <c r="S705" s="95" t="e">
        <f>IF(ISBLANK(N705),0,R705*ROUND(O705,2))</f>
        <v>#DIV/0!</v>
      </c>
      <c r="T705" s="24" t="e">
        <f>ROUND(Q705,2)*R705</f>
        <v>#DIV/0!</v>
      </c>
      <c r="U705" s="95" t="e">
        <f>R705*dagenperjaar1</f>
        <v>#DIV/0!</v>
      </c>
      <c r="V705" s="25" t="e">
        <f>U705*ROUND(Q705,2)</f>
        <v>#DIV/0!</v>
      </c>
    </row>
    <row r="706" spans="1:22" x14ac:dyDescent="0.2">
      <c r="A706" s="92" t="s">
        <v>757</v>
      </c>
      <c r="B706" s="93" t="s">
        <v>47</v>
      </c>
      <c r="C706" s="93" t="s">
        <v>558</v>
      </c>
      <c r="D706" s="93" t="s">
        <v>811</v>
      </c>
      <c r="E706" s="94" t="s">
        <v>447</v>
      </c>
      <c r="F706" s="93" t="s">
        <v>764</v>
      </c>
      <c r="G706" s="93" t="s">
        <v>284</v>
      </c>
      <c r="H706" s="93" t="s">
        <v>13</v>
      </c>
      <c r="I706" s="93" t="s">
        <v>255</v>
      </c>
      <c r="J706" s="93" t="s">
        <v>47</v>
      </c>
      <c r="K706" s="93"/>
      <c r="L706" s="95">
        <v>22.8</v>
      </c>
      <c r="M706" s="95">
        <f>L706*VLOOKUP(H706,dagsoorttabel1,2,FALSE)</f>
        <v>17.882352941176471</v>
      </c>
      <c r="N706" s="96">
        <f>prodnorm58</f>
        <v>0</v>
      </c>
      <c r="O706" s="37">
        <f>dagwerk58</f>
        <v>0</v>
      </c>
      <c r="P706" s="93" t="s">
        <v>105</v>
      </c>
      <c r="Q706" s="24">
        <f>uurtarief58</f>
        <v>0</v>
      </c>
      <c r="R706" s="95" t="e">
        <f>IF(ISBLANK(N706),0,M706/ROUND(N706,4))</f>
        <v>#DIV/0!</v>
      </c>
      <c r="S706" s="95" t="e">
        <f>IF(ISBLANK(N706),0,R706*ROUND(O706,2))</f>
        <v>#DIV/0!</v>
      </c>
      <c r="T706" s="24" t="e">
        <f>ROUND(Q706,2)*R706</f>
        <v>#DIV/0!</v>
      </c>
      <c r="U706" s="95" t="e">
        <f>R706*dagenperjaar1</f>
        <v>#DIV/0!</v>
      </c>
      <c r="V706" s="25" t="e">
        <f>U706*ROUND(Q706,2)</f>
        <v>#DIV/0!</v>
      </c>
    </row>
    <row r="707" spans="1:22" x14ac:dyDescent="0.2">
      <c r="A707" s="92" t="s">
        <v>757</v>
      </c>
      <c r="B707" s="93" t="s">
        <v>47</v>
      </c>
      <c r="C707" s="93" t="s">
        <v>558</v>
      </c>
      <c r="D707" s="93" t="s">
        <v>811</v>
      </c>
      <c r="E707" s="94" t="s">
        <v>447</v>
      </c>
      <c r="F707" s="93" t="s">
        <v>764</v>
      </c>
      <c r="G707" s="93" t="s">
        <v>286</v>
      </c>
      <c r="H707" s="93" t="s">
        <v>13</v>
      </c>
      <c r="I707" s="93" t="s">
        <v>255</v>
      </c>
      <c r="J707" s="93" t="s">
        <v>47</v>
      </c>
      <c r="K707" s="93"/>
      <c r="L707" s="95">
        <v>22.8</v>
      </c>
      <c r="M707" s="95">
        <f>L707*VLOOKUP(H707,dagsoorttabel1,2,FALSE)</f>
        <v>17.882352941176471</v>
      </c>
      <c r="N707" s="96">
        <f>prodnorm61</f>
        <v>0</v>
      </c>
      <c r="O707" s="37">
        <f>dagwerk61</f>
        <v>0</v>
      </c>
      <c r="P707" s="93" t="s">
        <v>105</v>
      </c>
      <c r="Q707" s="24">
        <f>uurtarief61</f>
        <v>0</v>
      </c>
      <c r="R707" s="95" t="e">
        <f>IF(ISBLANK(N707),0,M707/ROUND(N707,4))</f>
        <v>#DIV/0!</v>
      </c>
      <c r="S707" s="95" t="e">
        <f>IF(ISBLANK(N707),0,R707*ROUND(O707,2))</f>
        <v>#DIV/0!</v>
      </c>
      <c r="T707" s="24" t="e">
        <f>ROUND(Q707,2)*R707</f>
        <v>#DIV/0!</v>
      </c>
      <c r="U707" s="95" t="e">
        <f>R707*dagenperjaar1</f>
        <v>#DIV/0!</v>
      </c>
      <c r="V707" s="25" t="e">
        <f>U707*ROUND(Q707,2)</f>
        <v>#DIV/0!</v>
      </c>
    </row>
    <row r="708" spans="1:22" x14ac:dyDescent="0.2">
      <c r="A708" s="92" t="s">
        <v>757</v>
      </c>
      <c r="B708" s="93" t="s">
        <v>47</v>
      </c>
      <c r="C708" s="93" t="s">
        <v>558</v>
      </c>
      <c r="D708" s="93" t="s">
        <v>812</v>
      </c>
      <c r="E708" s="94" t="s">
        <v>407</v>
      </c>
      <c r="F708" s="93" t="s">
        <v>764</v>
      </c>
      <c r="G708" s="93" t="s">
        <v>266</v>
      </c>
      <c r="H708" s="93" t="s">
        <v>13</v>
      </c>
      <c r="I708" s="93" t="s">
        <v>255</v>
      </c>
      <c r="J708" s="93" t="s">
        <v>47</v>
      </c>
      <c r="K708" s="93"/>
      <c r="L708" s="95">
        <v>9.4</v>
      </c>
      <c r="M708" s="95">
        <f>L708*VLOOKUP(H708,dagsoorttabel1,2,FALSE)</f>
        <v>7.3725490196078436</v>
      </c>
      <c r="N708" s="96">
        <f>prodnorm40</f>
        <v>0</v>
      </c>
      <c r="O708" s="37">
        <f>dagwerk40</f>
        <v>0</v>
      </c>
      <c r="P708" s="93" t="s">
        <v>105</v>
      </c>
      <c r="Q708" s="24">
        <f>uurtarief40</f>
        <v>0</v>
      </c>
      <c r="R708" s="95" t="e">
        <f>IF(ISBLANK(N708),0,M708/ROUND(N708,4))</f>
        <v>#DIV/0!</v>
      </c>
      <c r="S708" s="95" t="e">
        <f>IF(ISBLANK(N708),0,R708*ROUND(O708,2))</f>
        <v>#DIV/0!</v>
      </c>
      <c r="T708" s="24" t="e">
        <f>ROUND(Q708,2)*R708</f>
        <v>#DIV/0!</v>
      </c>
      <c r="U708" s="95" t="e">
        <f>R708*dagenperjaar1</f>
        <v>#DIV/0!</v>
      </c>
      <c r="V708" s="25" t="e">
        <f>U708*ROUND(Q708,2)</f>
        <v>#DIV/0!</v>
      </c>
    </row>
    <row r="709" spans="1:22" x14ac:dyDescent="0.2">
      <c r="A709" s="92" t="s">
        <v>757</v>
      </c>
      <c r="B709" s="93" t="s">
        <v>47</v>
      </c>
      <c r="C709" s="93" t="s">
        <v>558</v>
      </c>
      <c r="D709" s="93" t="s">
        <v>812</v>
      </c>
      <c r="E709" s="94" t="s">
        <v>407</v>
      </c>
      <c r="F709" s="93" t="s">
        <v>764</v>
      </c>
      <c r="G709" s="93" t="s">
        <v>268</v>
      </c>
      <c r="H709" s="93" t="s">
        <v>13</v>
      </c>
      <c r="I709" s="93" t="s">
        <v>255</v>
      </c>
      <c r="J709" s="93" t="s">
        <v>47</v>
      </c>
      <c r="K709" s="93"/>
      <c r="L709" s="95">
        <v>9.4</v>
      </c>
      <c r="M709" s="95">
        <f>L709*VLOOKUP(H709,dagsoorttabel1,2,FALSE)</f>
        <v>7.3725490196078436</v>
      </c>
      <c r="N709" s="96">
        <f>prodnorm42</f>
        <v>0</v>
      </c>
      <c r="O709" s="37">
        <f>dagwerk42</f>
        <v>0</v>
      </c>
      <c r="P709" s="93" t="s">
        <v>105</v>
      </c>
      <c r="Q709" s="24">
        <f>uurtarief42</f>
        <v>0</v>
      </c>
      <c r="R709" s="95" t="e">
        <f>IF(ISBLANK(N709),0,M709/ROUND(N709,4))</f>
        <v>#DIV/0!</v>
      </c>
      <c r="S709" s="95" t="e">
        <f>IF(ISBLANK(N709),0,R709*ROUND(O709,2))</f>
        <v>#DIV/0!</v>
      </c>
      <c r="T709" s="24" t="e">
        <f>ROUND(Q709,2)*R709</f>
        <v>#DIV/0!</v>
      </c>
      <c r="U709" s="95" t="e">
        <f>R709*dagenperjaar1</f>
        <v>#DIV/0!</v>
      </c>
      <c r="V709" s="25" t="e">
        <f>U709*ROUND(Q709,2)</f>
        <v>#DIV/0!</v>
      </c>
    </row>
    <row r="710" spans="1:22" x14ac:dyDescent="0.2">
      <c r="A710" s="92" t="s">
        <v>757</v>
      </c>
      <c r="B710" s="93" t="s">
        <v>47</v>
      </c>
      <c r="C710" s="93" t="s">
        <v>558</v>
      </c>
      <c r="D710" s="93" t="s">
        <v>813</v>
      </c>
      <c r="E710" s="94" t="s">
        <v>814</v>
      </c>
      <c r="F710" s="93" t="s">
        <v>764</v>
      </c>
      <c r="G710" s="93" t="s">
        <v>284</v>
      </c>
      <c r="H710" s="93" t="s">
        <v>13</v>
      </c>
      <c r="I710" s="93" t="s">
        <v>255</v>
      </c>
      <c r="J710" s="93" t="s">
        <v>47</v>
      </c>
      <c r="K710" s="93"/>
      <c r="L710" s="95">
        <v>2.5</v>
      </c>
      <c r="M710" s="95">
        <f>L710*VLOOKUP(H710,dagsoorttabel1,2,FALSE)</f>
        <v>1.9607843137254901</v>
      </c>
      <c r="N710" s="96">
        <f>prodnorm58</f>
        <v>0</v>
      </c>
      <c r="O710" s="37">
        <f>dagwerk58</f>
        <v>0</v>
      </c>
      <c r="P710" s="93" t="s">
        <v>105</v>
      </c>
      <c r="Q710" s="24">
        <f>uurtarief58</f>
        <v>0</v>
      </c>
      <c r="R710" s="95" t="e">
        <f>IF(ISBLANK(N710),0,M710/ROUND(N710,4))</f>
        <v>#DIV/0!</v>
      </c>
      <c r="S710" s="95" t="e">
        <f>IF(ISBLANK(N710),0,R710*ROUND(O710,2))</f>
        <v>#DIV/0!</v>
      </c>
      <c r="T710" s="24" t="e">
        <f>ROUND(Q710,2)*R710</f>
        <v>#DIV/0!</v>
      </c>
      <c r="U710" s="95" t="e">
        <f>R710*dagenperjaar1</f>
        <v>#DIV/0!</v>
      </c>
      <c r="V710" s="25" t="e">
        <f>U710*ROUND(Q710,2)</f>
        <v>#DIV/0!</v>
      </c>
    </row>
    <row r="711" spans="1:22" x14ac:dyDescent="0.2">
      <c r="A711" s="92" t="s">
        <v>757</v>
      </c>
      <c r="B711" s="93" t="s">
        <v>47</v>
      </c>
      <c r="C711" s="93" t="s">
        <v>558</v>
      </c>
      <c r="D711" s="93" t="s">
        <v>813</v>
      </c>
      <c r="E711" s="94" t="s">
        <v>814</v>
      </c>
      <c r="F711" s="93" t="s">
        <v>764</v>
      </c>
      <c r="G711" s="93" t="s">
        <v>286</v>
      </c>
      <c r="H711" s="93" t="s">
        <v>13</v>
      </c>
      <c r="I711" s="93" t="s">
        <v>255</v>
      </c>
      <c r="J711" s="93" t="s">
        <v>47</v>
      </c>
      <c r="K711" s="93"/>
      <c r="L711" s="95">
        <v>2.5</v>
      </c>
      <c r="M711" s="95">
        <f>L711*VLOOKUP(H711,dagsoorttabel1,2,FALSE)</f>
        <v>1.9607843137254901</v>
      </c>
      <c r="N711" s="96">
        <f>prodnorm61</f>
        <v>0</v>
      </c>
      <c r="O711" s="37">
        <f>dagwerk61</f>
        <v>0</v>
      </c>
      <c r="P711" s="93" t="s">
        <v>105</v>
      </c>
      <c r="Q711" s="24">
        <f>uurtarief61</f>
        <v>0</v>
      </c>
      <c r="R711" s="95" t="e">
        <f>IF(ISBLANK(N711),0,M711/ROUND(N711,4))</f>
        <v>#DIV/0!</v>
      </c>
      <c r="S711" s="95" t="e">
        <f>IF(ISBLANK(N711),0,R711*ROUND(O711,2))</f>
        <v>#DIV/0!</v>
      </c>
      <c r="T711" s="24" t="e">
        <f>ROUND(Q711,2)*R711</f>
        <v>#DIV/0!</v>
      </c>
      <c r="U711" s="95" t="e">
        <f>R711*dagenperjaar1</f>
        <v>#DIV/0!</v>
      </c>
      <c r="V711" s="25" t="e">
        <f>U711*ROUND(Q711,2)</f>
        <v>#DIV/0!</v>
      </c>
    </row>
    <row r="712" spans="1:22" x14ac:dyDescent="0.2">
      <c r="A712" s="92" t="s">
        <v>757</v>
      </c>
      <c r="B712" s="93" t="s">
        <v>47</v>
      </c>
      <c r="C712" s="93" t="s">
        <v>558</v>
      </c>
      <c r="D712" s="93" t="s">
        <v>815</v>
      </c>
      <c r="E712" s="94" t="s">
        <v>423</v>
      </c>
      <c r="F712" s="93" t="s">
        <v>764</v>
      </c>
      <c r="G712" s="93" t="s">
        <v>304</v>
      </c>
      <c r="H712" s="93" t="s">
        <v>13</v>
      </c>
      <c r="I712" s="93" t="s">
        <v>255</v>
      </c>
      <c r="J712" s="93" t="s">
        <v>47</v>
      </c>
      <c r="K712" s="93"/>
      <c r="L712" s="95">
        <v>2.2999999999999998</v>
      </c>
      <c r="M712" s="95">
        <f>L712*VLOOKUP(H712,dagsoorttabel1,2,FALSE)</f>
        <v>1.8039215686274508</v>
      </c>
      <c r="N712" s="96">
        <f>prodnorm74</f>
        <v>0</v>
      </c>
      <c r="O712" s="37">
        <f>dagwerk74</f>
        <v>0</v>
      </c>
      <c r="P712" s="93" t="s">
        <v>105</v>
      </c>
      <c r="Q712" s="24">
        <f>uurtarief74</f>
        <v>0</v>
      </c>
      <c r="R712" s="95" t="e">
        <f>IF(ISBLANK(N712),0,M712/ROUND(N712,4))</f>
        <v>#DIV/0!</v>
      </c>
      <c r="S712" s="95" t="e">
        <f>IF(ISBLANK(N712),0,R712*ROUND(O712,2))</f>
        <v>#DIV/0!</v>
      </c>
      <c r="T712" s="24" t="e">
        <f>ROUND(Q712,2)*R712</f>
        <v>#DIV/0!</v>
      </c>
      <c r="U712" s="95" t="e">
        <f>R712*dagenperjaar1</f>
        <v>#DIV/0!</v>
      </c>
      <c r="V712" s="25" t="e">
        <f>U712*ROUND(Q712,2)</f>
        <v>#DIV/0!</v>
      </c>
    </row>
    <row r="713" spans="1:22" x14ac:dyDescent="0.2">
      <c r="A713" s="92" t="s">
        <v>757</v>
      </c>
      <c r="B713" s="93" t="s">
        <v>47</v>
      </c>
      <c r="C713" s="93" t="s">
        <v>558</v>
      </c>
      <c r="D713" s="93" t="s">
        <v>815</v>
      </c>
      <c r="E713" s="94" t="s">
        <v>423</v>
      </c>
      <c r="F713" s="93" t="s">
        <v>764</v>
      </c>
      <c r="G713" s="93" t="s">
        <v>306</v>
      </c>
      <c r="H713" s="93" t="s">
        <v>13</v>
      </c>
      <c r="I713" s="93" t="s">
        <v>255</v>
      </c>
      <c r="J713" s="93" t="s">
        <v>47</v>
      </c>
      <c r="K713" s="93"/>
      <c r="L713" s="95">
        <v>2.2999999999999998</v>
      </c>
      <c r="M713" s="95">
        <f>L713*VLOOKUP(H713,dagsoorttabel1,2,FALSE)</f>
        <v>1.8039215686274508</v>
      </c>
      <c r="N713" s="96">
        <f>prodnorm78</f>
        <v>0</v>
      </c>
      <c r="O713" s="37">
        <f>dagwerk78</f>
        <v>0</v>
      </c>
      <c r="P713" s="93" t="s">
        <v>105</v>
      </c>
      <c r="Q713" s="24">
        <f>uurtarief78</f>
        <v>0</v>
      </c>
      <c r="R713" s="95" t="e">
        <f>IF(ISBLANK(N713),0,M713/ROUND(N713,4))</f>
        <v>#DIV/0!</v>
      </c>
      <c r="S713" s="95" t="e">
        <f>IF(ISBLANK(N713),0,R713*ROUND(O713,2))</f>
        <v>#DIV/0!</v>
      </c>
      <c r="T713" s="24" t="e">
        <f>ROUND(Q713,2)*R713</f>
        <v>#DIV/0!</v>
      </c>
      <c r="U713" s="95" t="e">
        <f>R713*dagenperjaar1</f>
        <v>#DIV/0!</v>
      </c>
      <c r="V713" s="25" t="e">
        <f>U713*ROUND(Q713,2)</f>
        <v>#DIV/0!</v>
      </c>
    </row>
    <row r="714" spans="1:22" x14ac:dyDescent="0.2">
      <c r="A714" s="92" t="s">
        <v>757</v>
      </c>
      <c r="B714" s="93" t="s">
        <v>47</v>
      </c>
      <c r="C714" s="93" t="s">
        <v>558</v>
      </c>
      <c r="D714" s="93" t="s">
        <v>816</v>
      </c>
      <c r="E714" s="94" t="s">
        <v>423</v>
      </c>
      <c r="F714" s="93" t="s">
        <v>764</v>
      </c>
      <c r="G714" s="93" t="s">
        <v>304</v>
      </c>
      <c r="H714" s="93" t="s">
        <v>13</v>
      </c>
      <c r="I714" s="93" t="s">
        <v>255</v>
      </c>
      <c r="J714" s="93" t="s">
        <v>47</v>
      </c>
      <c r="K714" s="93"/>
      <c r="L714" s="95">
        <v>1.2</v>
      </c>
      <c r="M714" s="95">
        <f>L714*VLOOKUP(H714,dagsoorttabel1,2,FALSE)</f>
        <v>0.94117647058823528</v>
      </c>
      <c r="N714" s="96">
        <f>prodnorm74</f>
        <v>0</v>
      </c>
      <c r="O714" s="37">
        <f>dagwerk74</f>
        <v>0</v>
      </c>
      <c r="P714" s="93" t="s">
        <v>105</v>
      </c>
      <c r="Q714" s="24">
        <f>uurtarief74</f>
        <v>0</v>
      </c>
      <c r="R714" s="95" t="e">
        <f>IF(ISBLANK(N714),0,M714/ROUND(N714,4))</f>
        <v>#DIV/0!</v>
      </c>
      <c r="S714" s="95" t="e">
        <f>IF(ISBLANK(N714),0,R714*ROUND(O714,2))</f>
        <v>#DIV/0!</v>
      </c>
      <c r="T714" s="24" t="e">
        <f>ROUND(Q714,2)*R714</f>
        <v>#DIV/0!</v>
      </c>
      <c r="U714" s="95" t="e">
        <f>R714*dagenperjaar1</f>
        <v>#DIV/0!</v>
      </c>
      <c r="V714" s="25" t="e">
        <f>U714*ROUND(Q714,2)</f>
        <v>#DIV/0!</v>
      </c>
    </row>
    <row r="715" spans="1:22" x14ac:dyDescent="0.2">
      <c r="A715" s="92" t="s">
        <v>757</v>
      </c>
      <c r="B715" s="93" t="s">
        <v>47</v>
      </c>
      <c r="C715" s="93" t="s">
        <v>558</v>
      </c>
      <c r="D715" s="93" t="s">
        <v>816</v>
      </c>
      <c r="E715" s="94" t="s">
        <v>423</v>
      </c>
      <c r="F715" s="93" t="s">
        <v>764</v>
      </c>
      <c r="G715" s="93" t="s">
        <v>306</v>
      </c>
      <c r="H715" s="93" t="s">
        <v>13</v>
      </c>
      <c r="I715" s="93" t="s">
        <v>255</v>
      </c>
      <c r="J715" s="93" t="s">
        <v>47</v>
      </c>
      <c r="K715" s="93"/>
      <c r="L715" s="95">
        <v>1.2</v>
      </c>
      <c r="M715" s="95">
        <f>L715*VLOOKUP(H715,dagsoorttabel1,2,FALSE)</f>
        <v>0.94117647058823528</v>
      </c>
      <c r="N715" s="96">
        <f>prodnorm78</f>
        <v>0</v>
      </c>
      <c r="O715" s="37">
        <f>dagwerk78</f>
        <v>0</v>
      </c>
      <c r="P715" s="93" t="s">
        <v>105</v>
      </c>
      <c r="Q715" s="24">
        <f>uurtarief78</f>
        <v>0</v>
      </c>
      <c r="R715" s="95" t="e">
        <f>IF(ISBLANK(N715),0,M715/ROUND(N715,4))</f>
        <v>#DIV/0!</v>
      </c>
      <c r="S715" s="95" t="e">
        <f>IF(ISBLANK(N715),0,R715*ROUND(O715,2))</f>
        <v>#DIV/0!</v>
      </c>
      <c r="T715" s="24" t="e">
        <f>ROUND(Q715,2)*R715</f>
        <v>#DIV/0!</v>
      </c>
      <c r="U715" s="95" t="e">
        <f>R715*dagenperjaar1</f>
        <v>#DIV/0!</v>
      </c>
      <c r="V715" s="25" t="e">
        <f>U715*ROUND(Q715,2)</f>
        <v>#DIV/0!</v>
      </c>
    </row>
    <row r="716" spans="1:22" x14ac:dyDescent="0.2">
      <c r="A716" s="92" t="s">
        <v>757</v>
      </c>
      <c r="B716" s="93" t="s">
        <v>47</v>
      </c>
      <c r="C716" s="93" t="s">
        <v>558</v>
      </c>
      <c r="D716" s="93" t="s">
        <v>817</v>
      </c>
      <c r="E716" s="94" t="s">
        <v>447</v>
      </c>
      <c r="F716" s="93" t="s">
        <v>764</v>
      </c>
      <c r="G716" s="93" t="s">
        <v>284</v>
      </c>
      <c r="H716" s="93" t="s">
        <v>13</v>
      </c>
      <c r="I716" s="93" t="s">
        <v>255</v>
      </c>
      <c r="J716" s="93" t="s">
        <v>47</v>
      </c>
      <c r="K716" s="93"/>
      <c r="L716" s="95">
        <v>26.6</v>
      </c>
      <c r="M716" s="95">
        <f>L716*VLOOKUP(H716,dagsoorttabel1,2,FALSE)</f>
        <v>20.862745098039216</v>
      </c>
      <c r="N716" s="96">
        <f>prodnorm58</f>
        <v>0</v>
      </c>
      <c r="O716" s="37">
        <f>dagwerk58</f>
        <v>0</v>
      </c>
      <c r="P716" s="93" t="s">
        <v>105</v>
      </c>
      <c r="Q716" s="24">
        <f>uurtarief58</f>
        <v>0</v>
      </c>
      <c r="R716" s="95" t="e">
        <f>IF(ISBLANK(N716),0,M716/ROUND(N716,4))</f>
        <v>#DIV/0!</v>
      </c>
      <c r="S716" s="95" t="e">
        <f>IF(ISBLANK(N716),0,R716*ROUND(O716,2))</f>
        <v>#DIV/0!</v>
      </c>
      <c r="T716" s="24" t="e">
        <f>ROUND(Q716,2)*R716</f>
        <v>#DIV/0!</v>
      </c>
      <c r="U716" s="95" t="e">
        <f>R716*dagenperjaar1</f>
        <v>#DIV/0!</v>
      </c>
      <c r="V716" s="25" t="e">
        <f>U716*ROUND(Q716,2)</f>
        <v>#DIV/0!</v>
      </c>
    </row>
    <row r="717" spans="1:22" x14ac:dyDescent="0.2">
      <c r="A717" s="92" t="s">
        <v>757</v>
      </c>
      <c r="B717" s="93" t="s">
        <v>47</v>
      </c>
      <c r="C717" s="93" t="s">
        <v>558</v>
      </c>
      <c r="D717" s="93" t="s">
        <v>817</v>
      </c>
      <c r="E717" s="94" t="s">
        <v>447</v>
      </c>
      <c r="F717" s="93" t="s">
        <v>764</v>
      </c>
      <c r="G717" s="93" t="s">
        <v>286</v>
      </c>
      <c r="H717" s="93" t="s">
        <v>13</v>
      </c>
      <c r="I717" s="93" t="s">
        <v>255</v>
      </c>
      <c r="J717" s="93" t="s">
        <v>47</v>
      </c>
      <c r="K717" s="93"/>
      <c r="L717" s="95">
        <v>26.6</v>
      </c>
      <c r="M717" s="95">
        <f>L717*VLOOKUP(H717,dagsoorttabel1,2,FALSE)</f>
        <v>20.862745098039216</v>
      </c>
      <c r="N717" s="96">
        <f>prodnorm61</f>
        <v>0</v>
      </c>
      <c r="O717" s="37">
        <f>dagwerk61</f>
        <v>0</v>
      </c>
      <c r="P717" s="93" t="s">
        <v>105</v>
      </c>
      <c r="Q717" s="24">
        <f>uurtarief61</f>
        <v>0</v>
      </c>
      <c r="R717" s="95" t="e">
        <f>IF(ISBLANK(N717),0,M717/ROUND(N717,4))</f>
        <v>#DIV/0!</v>
      </c>
      <c r="S717" s="95" t="e">
        <f>IF(ISBLANK(N717),0,R717*ROUND(O717,2))</f>
        <v>#DIV/0!</v>
      </c>
      <c r="T717" s="24" t="e">
        <f>ROUND(Q717,2)*R717</f>
        <v>#DIV/0!</v>
      </c>
      <c r="U717" s="95" t="e">
        <f>R717*dagenperjaar1</f>
        <v>#DIV/0!</v>
      </c>
      <c r="V717" s="25" t="e">
        <f>U717*ROUND(Q717,2)</f>
        <v>#DIV/0!</v>
      </c>
    </row>
    <row r="718" spans="1:22" x14ac:dyDescent="0.2">
      <c r="A718" s="92" t="s">
        <v>757</v>
      </c>
      <c r="B718" s="93" t="s">
        <v>47</v>
      </c>
      <c r="C718" s="93" t="s">
        <v>558</v>
      </c>
      <c r="D718" s="93" t="s">
        <v>818</v>
      </c>
      <c r="E718" s="94" t="s">
        <v>407</v>
      </c>
      <c r="F718" s="93" t="s">
        <v>764</v>
      </c>
      <c r="G718" s="93" t="s">
        <v>266</v>
      </c>
      <c r="H718" s="93" t="s">
        <v>13</v>
      </c>
      <c r="I718" s="93" t="s">
        <v>255</v>
      </c>
      <c r="J718" s="93" t="s">
        <v>47</v>
      </c>
      <c r="K718" s="93"/>
      <c r="L718" s="95">
        <v>9.4</v>
      </c>
      <c r="M718" s="95">
        <f>L718*VLOOKUP(H718,dagsoorttabel1,2,FALSE)</f>
        <v>7.3725490196078436</v>
      </c>
      <c r="N718" s="96">
        <f>prodnorm40</f>
        <v>0</v>
      </c>
      <c r="O718" s="37">
        <f>dagwerk40</f>
        <v>0</v>
      </c>
      <c r="P718" s="93" t="s">
        <v>105</v>
      </c>
      <c r="Q718" s="24">
        <f>uurtarief40</f>
        <v>0</v>
      </c>
      <c r="R718" s="95" t="e">
        <f>IF(ISBLANK(N718),0,M718/ROUND(N718,4))</f>
        <v>#DIV/0!</v>
      </c>
      <c r="S718" s="95" t="e">
        <f>IF(ISBLANK(N718),0,R718*ROUND(O718,2))</f>
        <v>#DIV/0!</v>
      </c>
      <c r="T718" s="24" t="e">
        <f>ROUND(Q718,2)*R718</f>
        <v>#DIV/0!</v>
      </c>
      <c r="U718" s="95" t="e">
        <f>R718*dagenperjaar1</f>
        <v>#DIV/0!</v>
      </c>
      <c r="V718" s="25" t="e">
        <f>U718*ROUND(Q718,2)</f>
        <v>#DIV/0!</v>
      </c>
    </row>
    <row r="719" spans="1:22" x14ac:dyDescent="0.2">
      <c r="A719" s="92" t="s">
        <v>757</v>
      </c>
      <c r="B719" s="93" t="s">
        <v>47</v>
      </c>
      <c r="C719" s="93" t="s">
        <v>558</v>
      </c>
      <c r="D719" s="93" t="s">
        <v>818</v>
      </c>
      <c r="E719" s="94" t="s">
        <v>407</v>
      </c>
      <c r="F719" s="93" t="s">
        <v>764</v>
      </c>
      <c r="G719" s="93" t="s">
        <v>268</v>
      </c>
      <c r="H719" s="93" t="s">
        <v>13</v>
      </c>
      <c r="I719" s="93" t="s">
        <v>255</v>
      </c>
      <c r="J719" s="93" t="s">
        <v>47</v>
      </c>
      <c r="K719" s="93"/>
      <c r="L719" s="95">
        <v>9.4</v>
      </c>
      <c r="M719" s="95">
        <f>L719*VLOOKUP(H719,dagsoorttabel1,2,FALSE)</f>
        <v>7.3725490196078436</v>
      </c>
      <c r="N719" s="96">
        <f>prodnorm42</f>
        <v>0</v>
      </c>
      <c r="O719" s="37">
        <f>dagwerk42</f>
        <v>0</v>
      </c>
      <c r="P719" s="93" t="s">
        <v>105</v>
      </c>
      <c r="Q719" s="24">
        <f>uurtarief42</f>
        <v>0</v>
      </c>
      <c r="R719" s="95" t="e">
        <f>IF(ISBLANK(N719),0,M719/ROUND(N719,4))</f>
        <v>#DIV/0!</v>
      </c>
      <c r="S719" s="95" t="e">
        <f>IF(ISBLANK(N719),0,R719*ROUND(O719,2))</f>
        <v>#DIV/0!</v>
      </c>
      <c r="T719" s="24" t="e">
        <f>ROUND(Q719,2)*R719</f>
        <v>#DIV/0!</v>
      </c>
      <c r="U719" s="95" t="e">
        <f>R719*dagenperjaar1</f>
        <v>#DIV/0!</v>
      </c>
      <c r="V719" s="25" t="e">
        <f>U719*ROUND(Q719,2)</f>
        <v>#DIV/0!</v>
      </c>
    </row>
    <row r="720" spans="1:22" x14ac:dyDescent="0.2">
      <c r="A720" s="92" t="s">
        <v>757</v>
      </c>
      <c r="B720" s="93" t="s">
        <v>47</v>
      </c>
      <c r="C720" s="93" t="s">
        <v>558</v>
      </c>
      <c r="D720" s="93" t="s">
        <v>819</v>
      </c>
      <c r="E720" s="94" t="s">
        <v>423</v>
      </c>
      <c r="F720" s="93" t="s">
        <v>764</v>
      </c>
      <c r="G720" s="93" t="s">
        <v>304</v>
      </c>
      <c r="H720" s="93" t="s">
        <v>13</v>
      </c>
      <c r="I720" s="93" t="s">
        <v>255</v>
      </c>
      <c r="J720" s="93" t="s">
        <v>47</v>
      </c>
      <c r="K720" s="93"/>
      <c r="L720" s="95">
        <v>1.2</v>
      </c>
      <c r="M720" s="95">
        <f>L720*VLOOKUP(H720,dagsoorttabel1,2,FALSE)</f>
        <v>0.94117647058823528</v>
      </c>
      <c r="N720" s="96">
        <f>prodnorm74</f>
        <v>0</v>
      </c>
      <c r="O720" s="37">
        <f>dagwerk74</f>
        <v>0</v>
      </c>
      <c r="P720" s="93" t="s">
        <v>105</v>
      </c>
      <c r="Q720" s="24">
        <f>uurtarief74</f>
        <v>0</v>
      </c>
      <c r="R720" s="95" t="e">
        <f>IF(ISBLANK(N720),0,M720/ROUND(N720,4))</f>
        <v>#DIV/0!</v>
      </c>
      <c r="S720" s="95" t="e">
        <f>IF(ISBLANK(N720),0,R720*ROUND(O720,2))</f>
        <v>#DIV/0!</v>
      </c>
      <c r="T720" s="24" t="e">
        <f>ROUND(Q720,2)*R720</f>
        <v>#DIV/0!</v>
      </c>
      <c r="U720" s="95" t="e">
        <f>R720*dagenperjaar1</f>
        <v>#DIV/0!</v>
      </c>
      <c r="V720" s="25" t="e">
        <f>U720*ROUND(Q720,2)</f>
        <v>#DIV/0!</v>
      </c>
    </row>
    <row r="721" spans="1:22" x14ac:dyDescent="0.2">
      <c r="A721" s="92" t="s">
        <v>757</v>
      </c>
      <c r="B721" s="93" t="s">
        <v>47</v>
      </c>
      <c r="C721" s="93" t="s">
        <v>558</v>
      </c>
      <c r="D721" s="93" t="s">
        <v>819</v>
      </c>
      <c r="E721" s="94" t="s">
        <v>423</v>
      </c>
      <c r="F721" s="93" t="s">
        <v>764</v>
      </c>
      <c r="G721" s="93" t="s">
        <v>306</v>
      </c>
      <c r="H721" s="93" t="s">
        <v>13</v>
      </c>
      <c r="I721" s="93" t="s">
        <v>255</v>
      </c>
      <c r="J721" s="93" t="s">
        <v>47</v>
      </c>
      <c r="K721" s="93"/>
      <c r="L721" s="95">
        <v>1.2</v>
      </c>
      <c r="M721" s="95">
        <f>L721*VLOOKUP(H721,dagsoorttabel1,2,FALSE)</f>
        <v>0.94117647058823528</v>
      </c>
      <c r="N721" s="96">
        <f>prodnorm78</f>
        <v>0</v>
      </c>
      <c r="O721" s="37">
        <f>dagwerk78</f>
        <v>0</v>
      </c>
      <c r="P721" s="93" t="s">
        <v>105</v>
      </c>
      <c r="Q721" s="24">
        <f>uurtarief78</f>
        <v>0</v>
      </c>
      <c r="R721" s="95" t="e">
        <f>IF(ISBLANK(N721),0,M721/ROUND(N721,4))</f>
        <v>#DIV/0!</v>
      </c>
      <c r="S721" s="95" t="e">
        <f>IF(ISBLANK(N721),0,R721*ROUND(O721,2))</f>
        <v>#DIV/0!</v>
      </c>
      <c r="T721" s="24" t="e">
        <f>ROUND(Q721,2)*R721</f>
        <v>#DIV/0!</v>
      </c>
      <c r="U721" s="95" t="e">
        <f>R721*dagenperjaar1</f>
        <v>#DIV/0!</v>
      </c>
      <c r="V721" s="25" t="e">
        <f>U721*ROUND(Q721,2)</f>
        <v>#DIV/0!</v>
      </c>
    </row>
    <row r="722" spans="1:22" x14ac:dyDescent="0.2">
      <c r="A722" s="92" t="s">
        <v>757</v>
      </c>
      <c r="B722" s="93" t="s">
        <v>47</v>
      </c>
      <c r="C722" s="93" t="s">
        <v>558</v>
      </c>
      <c r="D722" s="93" t="s">
        <v>820</v>
      </c>
      <c r="E722" s="94" t="s">
        <v>433</v>
      </c>
      <c r="F722" s="93" t="s">
        <v>439</v>
      </c>
      <c r="G722" s="93" t="s">
        <v>280</v>
      </c>
      <c r="H722" s="93" t="s">
        <v>22</v>
      </c>
      <c r="I722" s="93" t="s">
        <v>255</v>
      </c>
      <c r="J722" s="93" t="s">
        <v>47</v>
      </c>
      <c r="K722" s="93"/>
      <c r="L722" s="95">
        <v>36.5</v>
      </c>
      <c r="M722" s="95">
        <f>L722*VLOOKUP(H722,dagsoorttabel1,2,FALSE)</f>
        <v>5.7254901960784315</v>
      </c>
      <c r="N722" s="96">
        <f>prodnorm54</f>
        <v>0</v>
      </c>
      <c r="O722" s="37">
        <f>dagwerk54</f>
        <v>0</v>
      </c>
      <c r="P722" s="93" t="s">
        <v>105</v>
      </c>
      <c r="Q722" s="24">
        <f>uurtarief54</f>
        <v>0</v>
      </c>
      <c r="R722" s="95" t="e">
        <f>IF(ISBLANK(N722),0,M722/ROUND(N722,4))</f>
        <v>#DIV/0!</v>
      </c>
      <c r="S722" s="95" t="e">
        <f>IF(ISBLANK(N722),0,R722*ROUND(O722,2))</f>
        <v>#DIV/0!</v>
      </c>
      <c r="T722" s="24" t="e">
        <f>ROUND(Q722,2)*R722</f>
        <v>#DIV/0!</v>
      </c>
      <c r="U722" s="95" t="e">
        <f>R722*dagenperjaar1</f>
        <v>#DIV/0!</v>
      </c>
      <c r="V722" s="25" t="e">
        <f>U722*ROUND(Q722,2)</f>
        <v>#DIV/0!</v>
      </c>
    </row>
    <row r="723" spans="1:22" x14ac:dyDescent="0.2">
      <c r="A723" s="92" t="s">
        <v>757</v>
      </c>
      <c r="B723" s="93" t="s">
        <v>47</v>
      </c>
      <c r="C723" s="93" t="s">
        <v>558</v>
      </c>
      <c r="D723" s="93" t="s">
        <v>821</v>
      </c>
      <c r="E723" s="94" t="s">
        <v>433</v>
      </c>
      <c r="F723" s="93" t="s">
        <v>439</v>
      </c>
      <c r="G723" s="93" t="s">
        <v>280</v>
      </c>
      <c r="H723" s="93" t="s">
        <v>22</v>
      </c>
      <c r="I723" s="93" t="s">
        <v>255</v>
      </c>
      <c r="J723" s="93" t="s">
        <v>47</v>
      </c>
      <c r="K723" s="93"/>
      <c r="L723" s="95">
        <v>37.299999999999997</v>
      </c>
      <c r="M723" s="95">
        <f>L723*VLOOKUP(H723,dagsoorttabel1,2,FALSE)</f>
        <v>5.8509803921568624</v>
      </c>
      <c r="N723" s="96">
        <f>prodnorm54</f>
        <v>0</v>
      </c>
      <c r="O723" s="37">
        <f>dagwerk54</f>
        <v>0</v>
      </c>
      <c r="P723" s="93" t="s">
        <v>105</v>
      </c>
      <c r="Q723" s="24">
        <f>uurtarief54</f>
        <v>0</v>
      </c>
      <c r="R723" s="95" t="e">
        <f>IF(ISBLANK(N723),0,M723/ROUND(N723,4))</f>
        <v>#DIV/0!</v>
      </c>
      <c r="S723" s="95" t="e">
        <f>IF(ISBLANK(N723),0,R723*ROUND(O723,2))</f>
        <v>#DIV/0!</v>
      </c>
      <c r="T723" s="24" t="e">
        <f>ROUND(Q723,2)*R723</f>
        <v>#DIV/0!</v>
      </c>
      <c r="U723" s="95" t="e">
        <f>R723*dagenperjaar1</f>
        <v>#DIV/0!</v>
      </c>
      <c r="V723" s="25" t="e">
        <f>U723*ROUND(Q723,2)</f>
        <v>#DIV/0!</v>
      </c>
    </row>
    <row r="724" spans="1:22" x14ac:dyDescent="0.2">
      <c r="A724" s="92" t="s">
        <v>757</v>
      </c>
      <c r="B724" s="93" t="s">
        <v>47</v>
      </c>
      <c r="C724" s="93" t="s">
        <v>558</v>
      </c>
      <c r="D724" s="93" t="s">
        <v>822</v>
      </c>
      <c r="E724" s="94" t="s">
        <v>807</v>
      </c>
      <c r="F724" s="93" t="s">
        <v>808</v>
      </c>
      <c r="G724" s="93" t="s">
        <v>254</v>
      </c>
      <c r="H724" s="93" t="s">
        <v>22</v>
      </c>
      <c r="I724" s="93" t="s">
        <v>255</v>
      </c>
      <c r="J724" s="93" t="s">
        <v>47</v>
      </c>
      <c r="K724" s="93"/>
      <c r="L724" s="95">
        <v>3.1</v>
      </c>
      <c r="M724" s="95">
        <f>L724*VLOOKUP(H724,dagsoorttabel1,2,FALSE)</f>
        <v>0.48627450980392156</v>
      </c>
      <c r="N724" s="96">
        <f>prodnorm28</f>
        <v>0</v>
      </c>
      <c r="O724" s="37">
        <f>dagwerk28</f>
        <v>0</v>
      </c>
      <c r="P724" s="93" t="s">
        <v>105</v>
      </c>
      <c r="Q724" s="24">
        <f>uurtarief28</f>
        <v>0</v>
      </c>
      <c r="R724" s="95" t="e">
        <f>IF(ISBLANK(N724),0,M724/ROUND(N724,4))</f>
        <v>#DIV/0!</v>
      </c>
      <c r="S724" s="95" t="e">
        <f>IF(ISBLANK(N724),0,R724*ROUND(O724,2))</f>
        <v>#DIV/0!</v>
      </c>
      <c r="T724" s="24" t="e">
        <f>ROUND(Q724,2)*R724</f>
        <v>#DIV/0!</v>
      </c>
      <c r="U724" s="95" t="e">
        <f>R724*dagenperjaar1</f>
        <v>#DIV/0!</v>
      </c>
      <c r="V724" s="25" t="e">
        <f>U724*ROUND(Q724,2)</f>
        <v>#DIV/0!</v>
      </c>
    </row>
    <row r="725" spans="1:22" x14ac:dyDescent="0.2">
      <c r="A725" s="92" t="s">
        <v>757</v>
      </c>
      <c r="B725" s="93" t="s">
        <v>47</v>
      </c>
      <c r="C725" s="93" t="s">
        <v>558</v>
      </c>
      <c r="D725" s="93" t="s">
        <v>823</v>
      </c>
      <c r="E725" s="94" t="s">
        <v>824</v>
      </c>
      <c r="F725" s="93" t="s">
        <v>808</v>
      </c>
      <c r="G725" s="93" t="s">
        <v>259</v>
      </c>
      <c r="H725" s="93" t="s">
        <v>13</v>
      </c>
      <c r="I725" s="93" t="s">
        <v>255</v>
      </c>
      <c r="J725" s="93" t="s">
        <v>47</v>
      </c>
      <c r="K725" s="93"/>
      <c r="L725" s="95">
        <v>8.8000000000000007</v>
      </c>
      <c r="M725" s="95">
        <f>L725*VLOOKUP(H725,dagsoorttabel1,2,FALSE)</f>
        <v>6.9019607843137258</v>
      </c>
      <c r="N725" s="96">
        <f>prodnorm31</f>
        <v>0</v>
      </c>
      <c r="O725" s="37">
        <f>dagwerk31</f>
        <v>0</v>
      </c>
      <c r="P725" s="93" t="s">
        <v>105</v>
      </c>
      <c r="Q725" s="24">
        <f>uurtarief31</f>
        <v>0</v>
      </c>
      <c r="R725" s="95" t="e">
        <f>IF(ISBLANK(N725),0,M725/ROUND(N725,4))</f>
        <v>#DIV/0!</v>
      </c>
      <c r="S725" s="95" t="e">
        <f>IF(ISBLANK(N725),0,R725*ROUND(O725,2))</f>
        <v>#DIV/0!</v>
      </c>
      <c r="T725" s="24" t="e">
        <f>ROUND(Q725,2)*R725</f>
        <v>#DIV/0!</v>
      </c>
      <c r="U725" s="95" t="e">
        <f>R725*dagenperjaar1</f>
        <v>#DIV/0!</v>
      </c>
      <c r="V725" s="25" t="e">
        <f>U725*ROUND(Q725,2)</f>
        <v>#DIV/0!</v>
      </c>
    </row>
    <row r="726" spans="1:22" x14ac:dyDescent="0.2">
      <c r="A726" s="92" t="s">
        <v>757</v>
      </c>
      <c r="B726" s="93" t="s">
        <v>47</v>
      </c>
      <c r="C726" s="93" t="s">
        <v>558</v>
      </c>
      <c r="D726" s="93" t="s">
        <v>823</v>
      </c>
      <c r="E726" s="94" t="s">
        <v>824</v>
      </c>
      <c r="F726" s="93" t="s">
        <v>808</v>
      </c>
      <c r="G726" s="93" t="s">
        <v>262</v>
      </c>
      <c r="H726" s="93" t="s">
        <v>22</v>
      </c>
      <c r="I726" s="93" t="s">
        <v>255</v>
      </c>
      <c r="J726" s="93" t="s">
        <v>47</v>
      </c>
      <c r="K726" s="93"/>
      <c r="L726" s="95">
        <v>8.8000000000000007</v>
      </c>
      <c r="M726" s="95">
        <f>L726*VLOOKUP(H726,dagsoorttabel1,2,FALSE)</f>
        <v>1.3803921568627453</v>
      </c>
      <c r="N726" s="96">
        <f>prodnorm34</f>
        <v>0</v>
      </c>
      <c r="O726" s="37">
        <f>dagwerk34</f>
        <v>0</v>
      </c>
      <c r="P726" s="93" t="s">
        <v>105</v>
      </c>
      <c r="Q726" s="24">
        <f>uurtarief34</f>
        <v>0</v>
      </c>
      <c r="R726" s="95" t="e">
        <f>IF(ISBLANK(N726),0,M726/ROUND(N726,4))</f>
        <v>#DIV/0!</v>
      </c>
      <c r="S726" s="95" t="e">
        <f>IF(ISBLANK(N726),0,R726*ROUND(O726,2))</f>
        <v>#DIV/0!</v>
      </c>
      <c r="T726" s="24" t="e">
        <f>ROUND(Q726,2)*R726</f>
        <v>#DIV/0!</v>
      </c>
      <c r="U726" s="95" t="e">
        <f>R726*dagenperjaar1</f>
        <v>#DIV/0!</v>
      </c>
      <c r="V726" s="25" t="e">
        <f>U726*ROUND(Q726,2)</f>
        <v>#DIV/0!</v>
      </c>
    </row>
    <row r="727" spans="1:22" x14ac:dyDescent="0.2">
      <c r="A727" s="92" t="s">
        <v>757</v>
      </c>
      <c r="B727" s="93" t="s">
        <v>47</v>
      </c>
      <c r="C727" s="93" t="s">
        <v>558</v>
      </c>
      <c r="D727" s="93" t="s">
        <v>825</v>
      </c>
      <c r="E727" s="94" t="s">
        <v>433</v>
      </c>
      <c r="F727" s="93" t="s">
        <v>439</v>
      </c>
      <c r="G727" s="93" t="s">
        <v>280</v>
      </c>
      <c r="H727" s="93" t="s">
        <v>22</v>
      </c>
      <c r="I727" s="93" t="s">
        <v>255</v>
      </c>
      <c r="J727" s="93" t="s">
        <v>47</v>
      </c>
      <c r="K727" s="93"/>
      <c r="L727" s="95">
        <v>28</v>
      </c>
      <c r="M727" s="95">
        <f>L727*VLOOKUP(H727,dagsoorttabel1,2,FALSE)</f>
        <v>4.3921568627450984</v>
      </c>
      <c r="N727" s="96">
        <f>prodnorm54</f>
        <v>0</v>
      </c>
      <c r="O727" s="37">
        <f>dagwerk54</f>
        <v>0</v>
      </c>
      <c r="P727" s="93" t="s">
        <v>105</v>
      </c>
      <c r="Q727" s="24">
        <f>uurtarief54</f>
        <v>0</v>
      </c>
      <c r="R727" s="95" t="e">
        <f>IF(ISBLANK(N727),0,M727/ROUND(N727,4))</f>
        <v>#DIV/0!</v>
      </c>
      <c r="S727" s="95" t="e">
        <f>IF(ISBLANK(N727),0,R727*ROUND(O727,2))</f>
        <v>#DIV/0!</v>
      </c>
      <c r="T727" s="24" t="e">
        <f>ROUND(Q727,2)*R727</f>
        <v>#DIV/0!</v>
      </c>
      <c r="U727" s="95" t="e">
        <f>R727*dagenperjaar1</f>
        <v>#DIV/0!</v>
      </c>
      <c r="V727" s="25" t="e">
        <f>U727*ROUND(Q727,2)</f>
        <v>#DIV/0!</v>
      </c>
    </row>
    <row r="728" spans="1:22" x14ac:dyDescent="0.2">
      <c r="A728" s="92" t="s">
        <v>757</v>
      </c>
      <c r="B728" s="93" t="s">
        <v>47</v>
      </c>
      <c r="C728" s="93" t="s">
        <v>558</v>
      </c>
      <c r="D728" s="93" t="s">
        <v>826</v>
      </c>
      <c r="E728" s="94" t="s">
        <v>773</v>
      </c>
      <c r="F728" s="93" t="s">
        <v>439</v>
      </c>
      <c r="G728" s="93" t="s">
        <v>280</v>
      </c>
      <c r="H728" s="93" t="s">
        <v>13</v>
      </c>
      <c r="I728" s="93" t="s">
        <v>255</v>
      </c>
      <c r="J728" s="93" t="s">
        <v>47</v>
      </c>
      <c r="K728" s="93"/>
      <c r="L728" s="95">
        <v>311.89999999999998</v>
      </c>
      <c r="M728" s="95">
        <f>L728*VLOOKUP(H728,dagsoorttabel1,2,FALSE)</f>
        <v>244.62745098039213</v>
      </c>
      <c r="N728" s="96">
        <f>prodnorm52</f>
        <v>0</v>
      </c>
      <c r="O728" s="37">
        <f>dagwerk52</f>
        <v>0</v>
      </c>
      <c r="P728" s="93" t="s">
        <v>105</v>
      </c>
      <c r="Q728" s="24">
        <f>uurtarief52</f>
        <v>0</v>
      </c>
      <c r="R728" s="95" t="e">
        <f>IF(ISBLANK(N728),0,M728/ROUND(N728,4))</f>
        <v>#DIV/0!</v>
      </c>
      <c r="S728" s="95" t="e">
        <f>IF(ISBLANK(N728),0,R728*ROUND(O728,2))</f>
        <v>#DIV/0!</v>
      </c>
      <c r="T728" s="24" t="e">
        <f>ROUND(Q728,2)*R728</f>
        <v>#DIV/0!</v>
      </c>
      <c r="U728" s="95" t="e">
        <f>R728*dagenperjaar1</f>
        <v>#DIV/0!</v>
      </c>
      <c r="V728" s="25" t="e">
        <f>U728*ROUND(Q728,2)</f>
        <v>#DIV/0!</v>
      </c>
    </row>
    <row r="729" spans="1:22" x14ac:dyDescent="0.2">
      <c r="A729" s="92" t="s">
        <v>757</v>
      </c>
      <c r="B729" s="93" t="s">
        <v>47</v>
      </c>
      <c r="C729" s="93" t="s">
        <v>558</v>
      </c>
      <c r="D729" s="93" t="s">
        <v>826</v>
      </c>
      <c r="E729" s="94" t="s">
        <v>773</v>
      </c>
      <c r="F729" s="93" t="s">
        <v>439</v>
      </c>
      <c r="G729" s="93" t="s">
        <v>282</v>
      </c>
      <c r="H729" s="93" t="s">
        <v>13</v>
      </c>
      <c r="I729" s="93" t="s">
        <v>255</v>
      </c>
      <c r="J729" s="93" t="s">
        <v>47</v>
      </c>
      <c r="K729" s="93"/>
      <c r="L729" s="95">
        <v>311.89999999999998</v>
      </c>
      <c r="M729" s="95">
        <f>L729*VLOOKUP(H729,dagsoorttabel1,2,FALSE)</f>
        <v>244.62745098039213</v>
      </c>
      <c r="N729" s="96">
        <f>prodnorm55</f>
        <v>0</v>
      </c>
      <c r="O729" s="37">
        <f>dagwerk55</f>
        <v>0</v>
      </c>
      <c r="P729" s="93" t="s">
        <v>105</v>
      </c>
      <c r="Q729" s="24">
        <f>uurtarief55</f>
        <v>0</v>
      </c>
      <c r="R729" s="95" t="e">
        <f>IF(ISBLANK(N729),0,M729/ROUND(N729,4))</f>
        <v>#DIV/0!</v>
      </c>
      <c r="S729" s="95" t="e">
        <f>IF(ISBLANK(N729),0,R729*ROUND(O729,2))</f>
        <v>#DIV/0!</v>
      </c>
      <c r="T729" s="24" t="e">
        <f>ROUND(Q729,2)*R729</f>
        <v>#DIV/0!</v>
      </c>
      <c r="U729" s="95" t="e">
        <f>R729*dagenperjaar1</f>
        <v>#DIV/0!</v>
      </c>
      <c r="V729" s="25" t="e">
        <f>U729*ROUND(Q729,2)</f>
        <v>#DIV/0!</v>
      </c>
    </row>
    <row r="730" spans="1:22" x14ac:dyDescent="0.2">
      <c r="A730" s="92" t="s">
        <v>757</v>
      </c>
      <c r="B730" s="93" t="s">
        <v>47</v>
      </c>
      <c r="C730" s="93" t="s">
        <v>558</v>
      </c>
      <c r="D730" s="93" t="s">
        <v>827</v>
      </c>
      <c r="E730" s="94" t="s">
        <v>773</v>
      </c>
      <c r="F730" s="93" t="s">
        <v>439</v>
      </c>
      <c r="G730" s="93" t="s">
        <v>280</v>
      </c>
      <c r="H730" s="93" t="s">
        <v>13</v>
      </c>
      <c r="I730" s="93" t="s">
        <v>255</v>
      </c>
      <c r="J730" s="93" t="s">
        <v>47</v>
      </c>
      <c r="K730" s="93"/>
      <c r="L730" s="95">
        <v>297.8</v>
      </c>
      <c r="M730" s="95">
        <f>L730*VLOOKUP(H730,dagsoorttabel1,2,FALSE)</f>
        <v>233.56862745098039</v>
      </c>
      <c r="N730" s="96">
        <f>prodnorm52</f>
        <v>0</v>
      </c>
      <c r="O730" s="37">
        <f>dagwerk52</f>
        <v>0</v>
      </c>
      <c r="P730" s="93" t="s">
        <v>105</v>
      </c>
      <c r="Q730" s="24">
        <f>uurtarief52</f>
        <v>0</v>
      </c>
      <c r="R730" s="95" t="e">
        <f>IF(ISBLANK(N730),0,M730/ROUND(N730,4))</f>
        <v>#DIV/0!</v>
      </c>
      <c r="S730" s="95" t="e">
        <f>IF(ISBLANK(N730),0,R730*ROUND(O730,2))</f>
        <v>#DIV/0!</v>
      </c>
      <c r="T730" s="24" t="e">
        <f>ROUND(Q730,2)*R730</f>
        <v>#DIV/0!</v>
      </c>
      <c r="U730" s="95" t="e">
        <f>R730*dagenperjaar1</f>
        <v>#DIV/0!</v>
      </c>
      <c r="V730" s="25" t="e">
        <f>U730*ROUND(Q730,2)</f>
        <v>#DIV/0!</v>
      </c>
    </row>
    <row r="731" spans="1:22" x14ac:dyDescent="0.2">
      <c r="A731" s="97" t="s">
        <v>757</v>
      </c>
      <c r="B731" s="98" t="s">
        <v>47</v>
      </c>
      <c r="C731" s="98" t="s">
        <v>558</v>
      </c>
      <c r="D731" s="98" t="s">
        <v>827</v>
      </c>
      <c r="E731" s="99" t="s">
        <v>773</v>
      </c>
      <c r="F731" s="98" t="s">
        <v>439</v>
      </c>
      <c r="G731" s="98" t="s">
        <v>282</v>
      </c>
      <c r="H731" s="98" t="s">
        <v>13</v>
      </c>
      <c r="I731" s="98" t="s">
        <v>255</v>
      </c>
      <c r="J731" s="98" t="s">
        <v>47</v>
      </c>
      <c r="K731" s="98"/>
      <c r="L731" s="100">
        <v>297.8</v>
      </c>
      <c r="M731" s="100">
        <f>L731*VLOOKUP(H731,dagsoorttabel1,2,FALSE)</f>
        <v>233.56862745098039</v>
      </c>
      <c r="N731" s="101">
        <f>prodnorm55</f>
        <v>0</v>
      </c>
      <c r="O731" s="102">
        <f>dagwerk55</f>
        <v>0</v>
      </c>
      <c r="P731" s="98" t="s">
        <v>105</v>
      </c>
      <c r="Q731" s="34">
        <f>uurtarief55</f>
        <v>0</v>
      </c>
      <c r="R731" s="100" t="e">
        <f>IF(ISBLANK(N731),0,M731/ROUND(N731,4))</f>
        <v>#DIV/0!</v>
      </c>
      <c r="S731" s="100" t="e">
        <f>IF(ISBLANK(N731),0,R731*ROUND(O731,2))</f>
        <v>#DIV/0!</v>
      </c>
      <c r="T731" s="34" t="e">
        <f>ROUND(Q731,2)*R731</f>
        <v>#DIV/0!</v>
      </c>
      <c r="U731" s="100" t="e">
        <f>R731*dagenperjaar1</f>
        <v>#DIV/0!</v>
      </c>
      <c r="V731" s="35" t="e">
        <f>U731*ROUND(Q731,2)</f>
        <v>#DIV/0!</v>
      </c>
    </row>
    <row r="732" spans="1:22" x14ac:dyDescent="0.2">
      <c r="A732" s="103" t="s">
        <v>436</v>
      </c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5" t="e">
        <f>IF(_xlfn.SINGLE(object16_urenjaar1)&gt;0,_xlfn.SINGLE(object16_prijsjaar1)/_xlfn.SINGLE(object16_urenjaar1),0)</f>
        <v>#DIV/0!</v>
      </c>
      <c r="R732" s="74" t="e">
        <f>SUM(R643:R731)</f>
        <v>#DIV/0!</v>
      </c>
      <c r="S732" s="74" t="e">
        <f>SUM(S643:S731)</f>
        <v>#DIV/0!</v>
      </c>
      <c r="T732" s="75" t="e">
        <f>SUM(T643:T731)</f>
        <v>#DIV/0!</v>
      </c>
      <c r="U732" s="74" t="e">
        <f>SUM(U643:U731)</f>
        <v>#DIV/0!</v>
      </c>
      <c r="V732" s="76" t="e">
        <f>SUM(V643:V731)</f>
        <v>#DIV/0!</v>
      </c>
    </row>
    <row r="733" spans="1:22" x14ac:dyDescent="0.2">
      <c r="A733" s="83" t="s">
        <v>828</v>
      </c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71"/>
    </row>
    <row r="734" spans="1:22" x14ac:dyDescent="0.2">
      <c r="A734" s="84" t="s">
        <v>829</v>
      </c>
      <c r="B734" s="85" t="s">
        <v>47</v>
      </c>
      <c r="C734" s="85" t="s">
        <v>394</v>
      </c>
      <c r="D734" s="85" t="s">
        <v>395</v>
      </c>
      <c r="E734" s="86" t="s">
        <v>650</v>
      </c>
      <c r="F734" s="85" t="s">
        <v>808</v>
      </c>
      <c r="G734" s="85" t="s">
        <v>314</v>
      </c>
      <c r="H734" s="85" t="s">
        <v>13</v>
      </c>
      <c r="I734" s="85" t="s">
        <v>255</v>
      </c>
      <c r="J734" s="85" t="s">
        <v>47</v>
      </c>
      <c r="K734" s="85"/>
      <c r="L734" s="87">
        <v>54.8</v>
      </c>
      <c r="M734" s="87">
        <f>L734*VLOOKUP(H734,dagsoorttabel1,2,FALSE)</f>
        <v>42.980392156862742</v>
      </c>
      <c r="N734" s="88">
        <f>prodnorm88</f>
        <v>0</v>
      </c>
      <c r="O734" s="89">
        <f>dagwerk88</f>
        <v>0</v>
      </c>
      <c r="P734" s="85" t="s">
        <v>105</v>
      </c>
      <c r="Q734" s="90">
        <f>uurtarief88</f>
        <v>0</v>
      </c>
      <c r="R734" s="87" t="e">
        <f>IF(ISBLANK(N734),0,M734/ROUND(N734,4))</f>
        <v>#DIV/0!</v>
      </c>
      <c r="S734" s="87" t="e">
        <f>IF(ISBLANK(N734),0,R734*ROUND(O734,2))</f>
        <v>#DIV/0!</v>
      </c>
      <c r="T734" s="90" t="e">
        <f>ROUND(Q734,2)*R734</f>
        <v>#DIV/0!</v>
      </c>
      <c r="U734" s="87" t="e">
        <f>R734*dagenperjaar1</f>
        <v>#DIV/0!</v>
      </c>
      <c r="V734" s="91" t="e">
        <f>U734*ROUND(Q734,2)</f>
        <v>#DIV/0!</v>
      </c>
    </row>
    <row r="735" spans="1:22" x14ac:dyDescent="0.2">
      <c r="A735" s="92" t="s">
        <v>829</v>
      </c>
      <c r="B735" s="93" t="s">
        <v>47</v>
      </c>
      <c r="C735" s="93" t="s">
        <v>394</v>
      </c>
      <c r="D735" s="93" t="s">
        <v>398</v>
      </c>
      <c r="E735" s="94" t="s">
        <v>830</v>
      </c>
      <c r="F735" s="93" t="s">
        <v>442</v>
      </c>
      <c r="G735" s="93" t="s">
        <v>284</v>
      </c>
      <c r="H735" s="93" t="s">
        <v>13</v>
      </c>
      <c r="I735" s="93" t="s">
        <v>255</v>
      </c>
      <c r="J735" s="93" t="s">
        <v>47</v>
      </c>
      <c r="K735" s="93"/>
      <c r="L735" s="95">
        <v>19.399999999999999</v>
      </c>
      <c r="M735" s="95">
        <f>L735*VLOOKUP(H735,dagsoorttabel1,2,FALSE)</f>
        <v>15.215686274509803</v>
      </c>
      <c r="N735" s="96">
        <f>prodnorm58</f>
        <v>0</v>
      </c>
      <c r="O735" s="37">
        <f>dagwerk58</f>
        <v>0</v>
      </c>
      <c r="P735" s="93" t="s">
        <v>105</v>
      </c>
      <c r="Q735" s="24">
        <f>uurtarief58</f>
        <v>0</v>
      </c>
      <c r="R735" s="95" t="e">
        <f>IF(ISBLANK(N735),0,M735/ROUND(N735,4))</f>
        <v>#DIV/0!</v>
      </c>
      <c r="S735" s="95" t="e">
        <f>IF(ISBLANK(N735),0,R735*ROUND(O735,2))</f>
        <v>#DIV/0!</v>
      </c>
      <c r="T735" s="24" t="e">
        <f>ROUND(Q735,2)*R735</f>
        <v>#DIV/0!</v>
      </c>
      <c r="U735" s="95" t="e">
        <f>R735*dagenperjaar1</f>
        <v>#DIV/0!</v>
      </c>
      <c r="V735" s="25" t="e">
        <f>U735*ROUND(Q735,2)</f>
        <v>#DIV/0!</v>
      </c>
    </row>
    <row r="736" spans="1:22" x14ac:dyDescent="0.2">
      <c r="A736" s="92" t="s">
        <v>829</v>
      </c>
      <c r="B736" s="93" t="s">
        <v>47</v>
      </c>
      <c r="C736" s="93" t="s">
        <v>394</v>
      </c>
      <c r="D736" s="93" t="s">
        <v>400</v>
      </c>
      <c r="E736" s="94" t="s">
        <v>830</v>
      </c>
      <c r="F736" s="93" t="s">
        <v>442</v>
      </c>
      <c r="G736" s="93" t="s">
        <v>284</v>
      </c>
      <c r="H736" s="93" t="s">
        <v>13</v>
      </c>
      <c r="I736" s="93" t="s">
        <v>255</v>
      </c>
      <c r="J736" s="93" t="s">
        <v>47</v>
      </c>
      <c r="K736" s="93"/>
      <c r="L736" s="95">
        <v>20.8</v>
      </c>
      <c r="M736" s="95">
        <f>L736*VLOOKUP(H736,dagsoorttabel1,2,FALSE)</f>
        <v>16.313725490196077</v>
      </c>
      <c r="N736" s="96">
        <f>prodnorm58</f>
        <v>0</v>
      </c>
      <c r="O736" s="37">
        <f>dagwerk58</f>
        <v>0</v>
      </c>
      <c r="P736" s="93" t="s">
        <v>105</v>
      </c>
      <c r="Q736" s="24">
        <f>uurtarief58</f>
        <v>0</v>
      </c>
      <c r="R736" s="95" t="e">
        <f>IF(ISBLANK(N736),0,M736/ROUND(N736,4))</f>
        <v>#DIV/0!</v>
      </c>
      <c r="S736" s="95" t="e">
        <f>IF(ISBLANK(N736),0,R736*ROUND(O736,2))</f>
        <v>#DIV/0!</v>
      </c>
      <c r="T736" s="24" t="e">
        <f>ROUND(Q736,2)*R736</f>
        <v>#DIV/0!</v>
      </c>
      <c r="U736" s="95" t="e">
        <f>R736*dagenperjaar1</f>
        <v>#DIV/0!</v>
      </c>
      <c r="V736" s="25" t="e">
        <f>U736*ROUND(Q736,2)</f>
        <v>#DIV/0!</v>
      </c>
    </row>
    <row r="737" spans="1:22" x14ac:dyDescent="0.2">
      <c r="A737" s="92" t="s">
        <v>829</v>
      </c>
      <c r="B737" s="93" t="s">
        <v>47</v>
      </c>
      <c r="C737" s="93" t="s">
        <v>394</v>
      </c>
      <c r="D737" s="93" t="s">
        <v>402</v>
      </c>
      <c r="E737" s="94" t="s">
        <v>677</v>
      </c>
      <c r="F737" s="93" t="s">
        <v>442</v>
      </c>
      <c r="G737" s="93" t="s">
        <v>304</v>
      </c>
      <c r="H737" s="93" t="s">
        <v>13</v>
      </c>
      <c r="I737" s="93" t="s">
        <v>255</v>
      </c>
      <c r="J737" s="93" t="s">
        <v>47</v>
      </c>
      <c r="K737" s="93"/>
      <c r="L737" s="95">
        <v>1.1000000000000001</v>
      </c>
      <c r="M737" s="95">
        <f>L737*VLOOKUP(H737,dagsoorttabel1,2,FALSE)</f>
        <v>0.86274509803921573</v>
      </c>
      <c r="N737" s="96">
        <f>prodnorm74</f>
        <v>0</v>
      </c>
      <c r="O737" s="37">
        <f>dagwerk74</f>
        <v>0</v>
      </c>
      <c r="P737" s="93" t="s">
        <v>105</v>
      </c>
      <c r="Q737" s="24">
        <f>uurtarief74</f>
        <v>0</v>
      </c>
      <c r="R737" s="95" t="e">
        <f>IF(ISBLANK(N737),0,M737/ROUND(N737,4))</f>
        <v>#DIV/0!</v>
      </c>
      <c r="S737" s="95" t="e">
        <f>IF(ISBLANK(N737),0,R737*ROUND(O737,2))</f>
        <v>#DIV/0!</v>
      </c>
      <c r="T737" s="24" t="e">
        <f>ROUND(Q737,2)*R737</f>
        <v>#DIV/0!</v>
      </c>
      <c r="U737" s="95" t="e">
        <f>R737*dagenperjaar1</f>
        <v>#DIV/0!</v>
      </c>
      <c r="V737" s="25" t="e">
        <f>U737*ROUND(Q737,2)</f>
        <v>#DIV/0!</v>
      </c>
    </row>
    <row r="738" spans="1:22" x14ac:dyDescent="0.2">
      <c r="A738" s="92" t="s">
        <v>829</v>
      </c>
      <c r="B738" s="93" t="s">
        <v>47</v>
      </c>
      <c r="C738" s="93" t="s">
        <v>394</v>
      </c>
      <c r="D738" s="93" t="s">
        <v>404</v>
      </c>
      <c r="E738" s="94" t="s">
        <v>677</v>
      </c>
      <c r="F738" s="93" t="s">
        <v>442</v>
      </c>
      <c r="G738" s="93" t="s">
        <v>304</v>
      </c>
      <c r="H738" s="93" t="s">
        <v>13</v>
      </c>
      <c r="I738" s="93" t="s">
        <v>255</v>
      </c>
      <c r="J738" s="93" t="s">
        <v>47</v>
      </c>
      <c r="K738" s="93"/>
      <c r="L738" s="95">
        <v>1.1000000000000001</v>
      </c>
      <c r="M738" s="95">
        <f>L738*VLOOKUP(H738,dagsoorttabel1,2,FALSE)</f>
        <v>0.86274509803921573</v>
      </c>
      <c r="N738" s="96">
        <f>prodnorm74</f>
        <v>0</v>
      </c>
      <c r="O738" s="37">
        <f>dagwerk74</f>
        <v>0</v>
      </c>
      <c r="P738" s="93" t="s">
        <v>105</v>
      </c>
      <c r="Q738" s="24">
        <f>uurtarief74</f>
        <v>0</v>
      </c>
      <c r="R738" s="95" t="e">
        <f>IF(ISBLANK(N738),0,M738/ROUND(N738,4))</f>
        <v>#DIV/0!</v>
      </c>
      <c r="S738" s="95" t="e">
        <f>IF(ISBLANK(N738),0,R738*ROUND(O738,2))</f>
        <v>#DIV/0!</v>
      </c>
      <c r="T738" s="24" t="e">
        <f>ROUND(Q738,2)*R738</f>
        <v>#DIV/0!</v>
      </c>
      <c r="U738" s="95" t="e">
        <f>R738*dagenperjaar1</f>
        <v>#DIV/0!</v>
      </c>
      <c r="V738" s="25" t="e">
        <f>U738*ROUND(Q738,2)</f>
        <v>#DIV/0!</v>
      </c>
    </row>
    <row r="739" spans="1:22" x14ac:dyDescent="0.2">
      <c r="A739" s="92" t="s">
        <v>829</v>
      </c>
      <c r="B739" s="93" t="s">
        <v>47</v>
      </c>
      <c r="C739" s="93" t="s">
        <v>394</v>
      </c>
      <c r="D739" s="93" t="s">
        <v>406</v>
      </c>
      <c r="E739" s="94" t="s">
        <v>831</v>
      </c>
      <c r="F739" s="93" t="s">
        <v>442</v>
      </c>
      <c r="G739" s="93" t="s">
        <v>284</v>
      </c>
      <c r="H739" s="93" t="s">
        <v>13</v>
      </c>
      <c r="I739" s="93" t="s">
        <v>255</v>
      </c>
      <c r="J739" s="93" t="s">
        <v>47</v>
      </c>
      <c r="K739" s="93"/>
      <c r="L739" s="95">
        <v>10.1</v>
      </c>
      <c r="M739" s="95">
        <f>L739*VLOOKUP(H739,dagsoorttabel1,2,FALSE)</f>
        <v>7.9215686274509798</v>
      </c>
      <c r="N739" s="96">
        <f>prodnorm58</f>
        <v>0</v>
      </c>
      <c r="O739" s="37">
        <f>dagwerk58</f>
        <v>0</v>
      </c>
      <c r="P739" s="93" t="s">
        <v>105</v>
      </c>
      <c r="Q739" s="24">
        <f>uurtarief58</f>
        <v>0</v>
      </c>
      <c r="R739" s="95" t="e">
        <f>IF(ISBLANK(N739),0,M739/ROUND(N739,4))</f>
        <v>#DIV/0!</v>
      </c>
      <c r="S739" s="95" t="e">
        <f>IF(ISBLANK(N739),0,R739*ROUND(O739,2))</f>
        <v>#DIV/0!</v>
      </c>
      <c r="T739" s="24" t="e">
        <f>ROUND(Q739,2)*R739</f>
        <v>#DIV/0!</v>
      </c>
      <c r="U739" s="95" t="e">
        <f>R739*dagenperjaar1</f>
        <v>#DIV/0!</v>
      </c>
      <c r="V739" s="25" t="e">
        <f>U739*ROUND(Q739,2)</f>
        <v>#DIV/0!</v>
      </c>
    </row>
    <row r="740" spans="1:22" x14ac:dyDescent="0.2">
      <c r="A740" s="92" t="s">
        <v>829</v>
      </c>
      <c r="B740" s="93" t="s">
        <v>47</v>
      </c>
      <c r="C740" s="93" t="s">
        <v>394</v>
      </c>
      <c r="D740" s="93" t="s">
        <v>409</v>
      </c>
      <c r="E740" s="94" t="s">
        <v>677</v>
      </c>
      <c r="F740" s="93" t="s">
        <v>442</v>
      </c>
      <c r="G740" s="93" t="s">
        <v>304</v>
      </c>
      <c r="H740" s="93" t="s">
        <v>13</v>
      </c>
      <c r="I740" s="93" t="s">
        <v>255</v>
      </c>
      <c r="J740" s="93" t="s">
        <v>47</v>
      </c>
      <c r="K740" s="93"/>
      <c r="L740" s="95">
        <v>1.1000000000000001</v>
      </c>
      <c r="M740" s="95">
        <f>L740*VLOOKUP(H740,dagsoorttabel1,2,FALSE)</f>
        <v>0.86274509803921573</v>
      </c>
      <c r="N740" s="96">
        <f>prodnorm74</f>
        <v>0</v>
      </c>
      <c r="O740" s="37">
        <f>dagwerk74</f>
        <v>0</v>
      </c>
      <c r="P740" s="93" t="s">
        <v>105</v>
      </c>
      <c r="Q740" s="24">
        <f>uurtarief74</f>
        <v>0</v>
      </c>
      <c r="R740" s="95" t="e">
        <f>IF(ISBLANK(N740),0,M740/ROUND(N740,4))</f>
        <v>#DIV/0!</v>
      </c>
      <c r="S740" s="95" t="e">
        <f>IF(ISBLANK(N740),0,R740*ROUND(O740,2))</f>
        <v>#DIV/0!</v>
      </c>
      <c r="T740" s="24" t="e">
        <f>ROUND(Q740,2)*R740</f>
        <v>#DIV/0!</v>
      </c>
      <c r="U740" s="95" t="e">
        <f>R740*dagenperjaar1</f>
        <v>#DIV/0!</v>
      </c>
      <c r="V740" s="25" t="e">
        <f>U740*ROUND(Q740,2)</f>
        <v>#DIV/0!</v>
      </c>
    </row>
    <row r="741" spans="1:22" x14ac:dyDescent="0.2">
      <c r="A741" s="92" t="s">
        <v>829</v>
      </c>
      <c r="B741" s="93" t="s">
        <v>47</v>
      </c>
      <c r="C741" s="93" t="s">
        <v>394</v>
      </c>
      <c r="D741" s="93" t="s">
        <v>411</v>
      </c>
      <c r="E741" s="94" t="s">
        <v>832</v>
      </c>
      <c r="F741" s="93" t="s">
        <v>442</v>
      </c>
      <c r="G741" s="93" t="s">
        <v>280</v>
      </c>
      <c r="H741" s="93" t="s">
        <v>13</v>
      </c>
      <c r="I741" s="93" t="s">
        <v>255</v>
      </c>
      <c r="J741" s="93" t="s">
        <v>47</v>
      </c>
      <c r="K741" s="93"/>
      <c r="L741" s="95">
        <v>252</v>
      </c>
      <c r="M741" s="95">
        <f>L741*VLOOKUP(H741,dagsoorttabel1,2,FALSE)</f>
        <v>197.64705882352942</v>
      </c>
      <c r="N741" s="96">
        <f>prodnorm52</f>
        <v>0</v>
      </c>
      <c r="O741" s="37">
        <f>dagwerk52</f>
        <v>0</v>
      </c>
      <c r="P741" s="93" t="s">
        <v>105</v>
      </c>
      <c r="Q741" s="24">
        <f>uurtarief52</f>
        <v>0</v>
      </c>
      <c r="R741" s="95" t="e">
        <f>IF(ISBLANK(N741),0,M741/ROUND(N741,4))</f>
        <v>#DIV/0!</v>
      </c>
      <c r="S741" s="95" t="e">
        <f>IF(ISBLANK(N741),0,R741*ROUND(O741,2))</f>
        <v>#DIV/0!</v>
      </c>
      <c r="T741" s="24" t="e">
        <f>ROUND(Q741,2)*R741</f>
        <v>#DIV/0!</v>
      </c>
      <c r="U741" s="95" t="e">
        <f>R741*dagenperjaar1</f>
        <v>#DIV/0!</v>
      </c>
      <c r="V741" s="25" t="e">
        <f>U741*ROUND(Q741,2)</f>
        <v>#DIV/0!</v>
      </c>
    </row>
    <row r="742" spans="1:22" x14ac:dyDescent="0.2">
      <c r="A742" s="92" t="s">
        <v>829</v>
      </c>
      <c r="B742" s="93" t="s">
        <v>47</v>
      </c>
      <c r="C742" s="93" t="s">
        <v>394</v>
      </c>
      <c r="D742" s="93" t="s">
        <v>413</v>
      </c>
      <c r="E742" s="94" t="s">
        <v>833</v>
      </c>
      <c r="F742" s="93" t="s">
        <v>442</v>
      </c>
      <c r="G742" s="93" t="s">
        <v>280</v>
      </c>
      <c r="H742" s="93" t="s">
        <v>13</v>
      </c>
      <c r="I742" s="93" t="s">
        <v>255</v>
      </c>
      <c r="J742" s="93" t="s">
        <v>47</v>
      </c>
      <c r="K742" s="93"/>
      <c r="L742" s="95">
        <v>23.89</v>
      </c>
      <c r="M742" s="95">
        <f>L742*VLOOKUP(H742,dagsoorttabel1,2,FALSE)</f>
        <v>18.737254901960785</v>
      </c>
      <c r="N742" s="96">
        <f>prodnorm52</f>
        <v>0</v>
      </c>
      <c r="O742" s="37">
        <f>dagwerk52</f>
        <v>0</v>
      </c>
      <c r="P742" s="93" t="s">
        <v>105</v>
      </c>
      <c r="Q742" s="24">
        <f>uurtarief52</f>
        <v>0</v>
      </c>
      <c r="R742" s="95" t="e">
        <f>IF(ISBLANK(N742),0,M742/ROUND(N742,4))</f>
        <v>#DIV/0!</v>
      </c>
      <c r="S742" s="95" t="e">
        <f>IF(ISBLANK(N742),0,R742*ROUND(O742,2))</f>
        <v>#DIV/0!</v>
      </c>
      <c r="T742" s="24" t="e">
        <f>ROUND(Q742,2)*R742</f>
        <v>#DIV/0!</v>
      </c>
      <c r="U742" s="95" t="e">
        <f>R742*dagenperjaar1</f>
        <v>#DIV/0!</v>
      </c>
      <c r="V742" s="25" t="e">
        <f>U742*ROUND(Q742,2)</f>
        <v>#DIV/0!</v>
      </c>
    </row>
    <row r="743" spans="1:22" x14ac:dyDescent="0.2">
      <c r="A743" s="92" t="s">
        <v>829</v>
      </c>
      <c r="B743" s="93" t="s">
        <v>47</v>
      </c>
      <c r="C743" s="93" t="s">
        <v>394</v>
      </c>
      <c r="D743" s="93" t="s">
        <v>415</v>
      </c>
      <c r="E743" s="94" t="s">
        <v>746</v>
      </c>
      <c r="F743" s="93" t="s">
        <v>442</v>
      </c>
      <c r="G743" s="93" t="s">
        <v>266</v>
      </c>
      <c r="H743" s="93" t="s">
        <v>13</v>
      </c>
      <c r="I743" s="93" t="s">
        <v>255</v>
      </c>
      <c r="J743" s="93" t="s">
        <v>47</v>
      </c>
      <c r="K743" s="93"/>
      <c r="L743" s="95">
        <v>6</v>
      </c>
      <c r="M743" s="95">
        <f>L743*VLOOKUP(H743,dagsoorttabel1,2,FALSE)</f>
        <v>4.7058823529411766</v>
      </c>
      <c r="N743" s="96">
        <f>prodnorm40</f>
        <v>0</v>
      </c>
      <c r="O743" s="37">
        <f>dagwerk40</f>
        <v>0</v>
      </c>
      <c r="P743" s="93" t="s">
        <v>105</v>
      </c>
      <c r="Q743" s="24">
        <f>uurtarief40</f>
        <v>0</v>
      </c>
      <c r="R743" s="95" t="e">
        <f>IF(ISBLANK(N743),0,M743/ROUND(N743,4))</f>
        <v>#DIV/0!</v>
      </c>
      <c r="S743" s="95" t="e">
        <f>IF(ISBLANK(N743),0,R743*ROUND(O743,2))</f>
        <v>#DIV/0!</v>
      </c>
      <c r="T743" s="24" t="e">
        <f>ROUND(Q743,2)*R743</f>
        <v>#DIV/0!</v>
      </c>
      <c r="U743" s="95" t="e">
        <f>R743*dagenperjaar1</f>
        <v>#DIV/0!</v>
      </c>
      <c r="V743" s="25" t="e">
        <f>U743*ROUND(Q743,2)</f>
        <v>#DIV/0!</v>
      </c>
    </row>
    <row r="744" spans="1:22" x14ac:dyDescent="0.2">
      <c r="A744" s="97" t="s">
        <v>829</v>
      </c>
      <c r="B744" s="98" t="s">
        <v>47</v>
      </c>
      <c r="C744" s="98" t="s">
        <v>394</v>
      </c>
      <c r="D744" s="98" t="s">
        <v>416</v>
      </c>
      <c r="E744" s="99" t="s">
        <v>746</v>
      </c>
      <c r="F744" s="98" t="s">
        <v>442</v>
      </c>
      <c r="G744" s="98" t="s">
        <v>266</v>
      </c>
      <c r="H744" s="98" t="s">
        <v>13</v>
      </c>
      <c r="I744" s="98" t="s">
        <v>255</v>
      </c>
      <c r="J744" s="98" t="s">
        <v>47</v>
      </c>
      <c r="K744" s="98"/>
      <c r="L744" s="100">
        <v>6</v>
      </c>
      <c r="M744" s="100">
        <f>L744*VLOOKUP(H744,dagsoorttabel1,2,FALSE)</f>
        <v>4.7058823529411766</v>
      </c>
      <c r="N744" s="101">
        <f>prodnorm40</f>
        <v>0</v>
      </c>
      <c r="O744" s="102">
        <f>dagwerk40</f>
        <v>0</v>
      </c>
      <c r="P744" s="98" t="s">
        <v>105</v>
      </c>
      <c r="Q744" s="34">
        <f>uurtarief40</f>
        <v>0</v>
      </c>
      <c r="R744" s="100" t="e">
        <f>IF(ISBLANK(N744),0,M744/ROUND(N744,4))</f>
        <v>#DIV/0!</v>
      </c>
      <c r="S744" s="100" t="e">
        <f>IF(ISBLANK(N744),0,R744*ROUND(O744,2))</f>
        <v>#DIV/0!</v>
      </c>
      <c r="T744" s="34" t="e">
        <f>ROUND(Q744,2)*R744</f>
        <v>#DIV/0!</v>
      </c>
      <c r="U744" s="100" t="e">
        <f>R744*dagenperjaar1</f>
        <v>#DIV/0!</v>
      </c>
      <c r="V744" s="35" t="e">
        <f>U744*ROUND(Q744,2)</f>
        <v>#DIV/0!</v>
      </c>
    </row>
    <row r="745" spans="1:22" x14ac:dyDescent="0.2">
      <c r="A745" s="103" t="s">
        <v>436</v>
      </c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5" t="e">
        <f>IF(_xlfn.SINGLE(object17_urenjaar1)&gt;0,_xlfn.SINGLE(object17_prijsjaar1)/_xlfn.SINGLE(object17_urenjaar1),0)</f>
        <v>#DIV/0!</v>
      </c>
      <c r="R745" s="74" t="e">
        <f>SUM(R734:R744)</f>
        <v>#DIV/0!</v>
      </c>
      <c r="S745" s="74" t="e">
        <f>SUM(S734:S744)</f>
        <v>#DIV/0!</v>
      </c>
      <c r="T745" s="75" t="e">
        <f>SUM(T734:T744)</f>
        <v>#DIV/0!</v>
      </c>
      <c r="U745" s="74" t="e">
        <f>SUM(U734:U744)</f>
        <v>#DIV/0!</v>
      </c>
      <c r="V745" s="76" t="e">
        <f>SUM(V734:V744)</f>
        <v>#DIV/0!</v>
      </c>
    </row>
    <row r="746" spans="1:22" x14ac:dyDescent="0.2">
      <c r="A746" s="83" t="s">
        <v>834</v>
      </c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71"/>
    </row>
    <row r="747" spans="1:22" x14ac:dyDescent="0.2">
      <c r="A747" s="84" t="s">
        <v>835</v>
      </c>
      <c r="B747" s="85" t="s">
        <v>47</v>
      </c>
      <c r="C747" s="85" t="s">
        <v>394</v>
      </c>
      <c r="D747" s="85" t="s">
        <v>395</v>
      </c>
      <c r="E747" s="86" t="s">
        <v>525</v>
      </c>
      <c r="F747" s="85" t="s">
        <v>442</v>
      </c>
      <c r="G747" s="85" t="s">
        <v>274</v>
      </c>
      <c r="H747" s="85" t="s">
        <v>13</v>
      </c>
      <c r="I747" s="85" t="s">
        <v>255</v>
      </c>
      <c r="J747" s="85" t="s">
        <v>47</v>
      </c>
      <c r="K747" s="85"/>
      <c r="L747" s="87">
        <v>5.84</v>
      </c>
      <c r="M747" s="87">
        <f>L747*VLOOKUP(H747,dagsoorttabel1,2,FALSE)</f>
        <v>4.5803921568627448</v>
      </c>
      <c r="N747" s="88">
        <f>prodnorm47</f>
        <v>0</v>
      </c>
      <c r="O747" s="89">
        <f>dagwerk47</f>
        <v>0</v>
      </c>
      <c r="P747" s="85" t="s">
        <v>105</v>
      </c>
      <c r="Q747" s="90">
        <f>uurtarief47</f>
        <v>0</v>
      </c>
      <c r="R747" s="87" t="e">
        <f>IF(ISBLANK(N747),0,M747/ROUND(N747,4))</f>
        <v>#DIV/0!</v>
      </c>
      <c r="S747" s="87" t="e">
        <f>IF(ISBLANK(N747),0,R747*ROUND(O747,2))</f>
        <v>#DIV/0!</v>
      </c>
      <c r="T747" s="90" t="e">
        <f>ROUND(Q747,2)*R747</f>
        <v>#DIV/0!</v>
      </c>
      <c r="U747" s="87" t="e">
        <f>R747*dagenperjaar1</f>
        <v>#DIV/0!</v>
      </c>
      <c r="V747" s="91" t="e">
        <f>U747*ROUND(Q747,2)</f>
        <v>#DIV/0!</v>
      </c>
    </row>
    <row r="748" spans="1:22" x14ac:dyDescent="0.2">
      <c r="A748" s="92" t="s">
        <v>835</v>
      </c>
      <c r="B748" s="93" t="s">
        <v>47</v>
      </c>
      <c r="C748" s="93" t="s">
        <v>394</v>
      </c>
      <c r="D748" s="93" t="s">
        <v>400</v>
      </c>
      <c r="E748" s="94" t="s">
        <v>836</v>
      </c>
      <c r="F748" s="93" t="s">
        <v>442</v>
      </c>
      <c r="G748" s="93" t="s">
        <v>284</v>
      </c>
      <c r="H748" s="93" t="s">
        <v>13</v>
      </c>
      <c r="I748" s="93" t="s">
        <v>255</v>
      </c>
      <c r="J748" s="93" t="s">
        <v>47</v>
      </c>
      <c r="K748" s="93"/>
      <c r="L748" s="95">
        <v>4.68</v>
      </c>
      <c r="M748" s="95">
        <f>L748*VLOOKUP(H748,dagsoorttabel1,2,FALSE)</f>
        <v>3.6705882352941175</v>
      </c>
      <c r="N748" s="96">
        <f>prodnorm58</f>
        <v>0</v>
      </c>
      <c r="O748" s="37">
        <f>dagwerk58</f>
        <v>0</v>
      </c>
      <c r="P748" s="93" t="s">
        <v>105</v>
      </c>
      <c r="Q748" s="24">
        <f>uurtarief58</f>
        <v>0</v>
      </c>
      <c r="R748" s="95" t="e">
        <f>IF(ISBLANK(N748),0,M748/ROUND(N748,4))</f>
        <v>#DIV/0!</v>
      </c>
      <c r="S748" s="95" t="e">
        <f>IF(ISBLANK(N748),0,R748*ROUND(O748,2))</f>
        <v>#DIV/0!</v>
      </c>
      <c r="T748" s="24" t="e">
        <f>ROUND(Q748,2)*R748</f>
        <v>#DIV/0!</v>
      </c>
      <c r="U748" s="95" t="e">
        <f>R748*dagenperjaar1</f>
        <v>#DIV/0!</v>
      </c>
      <c r="V748" s="25" t="e">
        <f>U748*ROUND(Q748,2)</f>
        <v>#DIV/0!</v>
      </c>
    </row>
    <row r="749" spans="1:22" x14ac:dyDescent="0.2">
      <c r="A749" s="92" t="s">
        <v>835</v>
      </c>
      <c r="B749" s="93" t="s">
        <v>47</v>
      </c>
      <c r="C749" s="93" t="s">
        <v>394</v>
      </c>
      <c r="D749" s="93" t="s">
        <v>402</v>
      </c>
      <c r="E749" s="94" t="s">
        <v>837</v>
      </c>
      <c r="F749" s="93" t="s">
        <v>442</v>
      </c>
      <c r="G749" s="93" t="s">
        <v>266</v>
      </c>
      <c r="H749" s="93" t="s">
        <v>13</v>
      </c>
      <c r="I749" s="93" t="s">
        <v>255</v>
      </c>
      <c r="J749" s="93" t="s">
        <v>47</v>
      </c>
      <c r="K749" s="93"/>
      <c r="L749" s="95">
        <v>2.21</v>
      </c>
      <c r="M749" s="95">
        <f>L749*VLOOKUP(H749,dagsoorttabel1,2,FALSE)</f>
        <v>1.7333333333333332</v>
      </c>
      <c r="N749" s="96">
        <f>prodnorm40</f>
        <v>0</v>
      </c>
      <c r="O749" s="37">
        <f>dagwerk40</f>
        <v>0</v>
      </c>
      <c r="P749" s="93" t="s">
        <v>105</v>
      </c>
      <c r="Q749" s="24">
        <f>uurtarief40</f>
        <v>0</v>
      </c>
      <c r="R749" s="95" t="e">
        <f>IF(ISBLANK(N749),0,M749/ROUND(N749,4))</f>
        <v>#DIV/0!</v>
      </c>
      <c r="S749" s="95" t="e">
        <f>IF(ISBLANK(N749),0,R749*ROUND(O749,2))</f>
        <v>#DIV/0!</v>
      </c>
      <c r="T749" s="24" t="e">
        <f>ROUND(Q749,2)*R749</f>
        <v>#DIV/0!</v>
      </c>
      <c r="U749" s="95" t="e">
        <f>R749*dagenperjaar1</f>
        <v>#DIV/0!</v>
      </c>
      <c r="V749" s="25" t="e">
        <f>U749*ROUND(Q749,2)</f>
        <v>#DIV/0!</v>
      </c>
    </row>
    <row r="750" spans="1:22" x14ac:dyDescent="0.2">
      <c r="A750" s="92" t="s">
        <v>835</v>
      </c>
      <c r="B750" s="93" t="s">
        <v>47</v>
      </c>
      <c r="C750" s="93" t="s">
        <v>394</v>
      </c>
      <c r="D750" s="93" t="s">
        <v>404</v>
      </c>
      <c r="E750" s="94" t="s">
        <v>838</v>
      </c>
      <c r="F750" s="93" t="s">
        <v>442</v>
      </c>
      <c r="G750" s="93" t="s">
        <v>304</v>
      </c>
      <c r="H750" s="93" t="s">
        <v>13</v>
      </c>
      <c r="I750" s="93" t="s">
        <v>255</v>
      </c>
      <c r="J750" s="93" t="s">
        <v>47</v>
      </c>
      <c r="K750" s="93"/>
      <c r="L750" s="95">
        <v>1.1300000000000001</v>
      </c>
      <c r="M750" s="95">
        <f>L750*VLOOKUP(H750,dagsoorttabel1,2,FALSE)</f>
        <v>0.88627450980392164</v>
      </c>
      <c r="N750" s="96">
        <f>prodnorm74</f>
        <v>0</v>
      </c>
      <c r="O750" s="37">
        <f>dagwerk74</f>
        <v>0</v>
      </c>
      <c r="P750" s="93" t="s">
        <v>105</v>
      </c>
      <c r="Q750" s="24">
        <f>uurtarief74</f>
        <v>0</v>
      </c>
      <c r="R750" s="95" t="e">
        <f>IF(ISBLANK(N750),0,M750/ROUND(N750,4))</f>
        <v>#DIV/0!</v>
      </c>
      <c r="S750" s="95" t="e">
        <f>IF(ISBLANK(N750),0,R750*ROUND(O750,2))</f>
        <v>#DIV/0!</v>
      </c>
      <c r="T750" s="24" t="e">
        <f>ROUND(Q750,2)*R750</f>
        <v>#DIV/0!</v>
      </c>
      <c r="U750" s="95" t="e">
        <f>R750*dagenperjaar1</f>
        <v>#DIV/0!</v>
      </c>
      <c r="V750" s="25" t="e">
        <f>U750*ROUND(Q750,2)</f>
        <v>#DIV/0!</v>
      </c>
    </row>
    <row r="751" spans="1:22" x14ac:dyDescent="0.2">
      <c r="A751" s="92" t="s">
        <v>835</v>
      </c>
      <c r="B751" s="93" t="s">
        <v>47</v>
      </c>
      <c r="C751" s="93" t="s">
        <v>394</v>
      </c>
      <c r="D751" s="93" t="s">
        <v>406</v>
      </c>
      <c r="E751" s="94" t="s">
        <v>513</v>
      </c>
      <c r="F751" s="93" t="s">
        <v>442</v>
      </c>
      <c r="G751" s="93" t="s">
        <v>284</v>
      </c>
      <c r="H751" s="93" t="s">
        <v>13</v>
      </c>
      <c r="I751" s="93" t="s">
        <v>255</v>
      </c>
      <c r="J751" s="93" t="s">
        <v>47</v>
      </c>
      <c r="K751" s="93"/>
      <c r="L751" s="95">
        <v>30.25</v>
      </c>
      <c r="M751" s="95">
        <f>L751*VLOOKUP(H751,dagsoorttabel1,2,FALSE)</f>
        <v>23.725490196078432</v>
      </c>
      <c r="N751" s="96">
        <f>prodnorm58</f>
        <v>0</v>
      </c>
      <c r="O751" s="37">
        <f>dagwerk58</f>
        <v>0</v>
      </c>
      <c r="P751" s="93" t="s">
        <v>105</v>
      </c>
      <c r="Q751" s="24">
        <f>uurtarief58</f>
        <v>0</v>
      </c>
      <c r="R751" s="95" t="e">
        <f>IF(ISBLANK(N751),0,M751/ROUND(N751,4))</f>
        <v>#DIV/0!</v>
      </c>
      <c r="S751" s="95" t="e">
        <f>IF(ISBLANK(N751),0,R751*ROUND(O751,2))</f>
        <v>#DIV/0!</v>
      </c>
      <c r="T751" s="24" t="e">
        <f>ROUND(Q751,2)*R751</f>
        <v>#DIV/0!</v>
      </c>
      <c r="U751" s="95" t="e">
        <f>R751*dagenperjaar1</f>
        <v>#DIV/0!</v>
      </c>
      <c r="V751" s="25" t="e">
        <f>U751*ROUND(Q751,2)</f>
        <v>#DIV/0!</v>
      </c>
    </row>
    <row r="752" spans="1:22" x14ac:dyDescent="0.2">
      <c r="A752" s="92" t="s">
        <v>835</v>
      </c>
      <c r="B752" s="93" t="s">
        <v>47</v>
      </c>
      <c r="C752" s="93" t="s">
        <v>394</v>
      </c>
      <c r="D752" s="93" t="s">
        <v>409</v>
      </c>
      <c r="E752" s="94" t="s">
        <v>839</v>
      </c>
      <c r="F752" s="93" t="s">
        <v>442</v>
      </c>
      <c r="G752" s="93" t="s">
        <v>304</v>
      </c>
      <c r="H752" s="93" t="s">
        <v>13</v>
      </c>
      <c r="I752" s="93" t="s">
        <v>255</v>
      </c>
      <c r="J752" s="93" t="s">
        <v>47</v>
      </c>
      <c r="K752" s="93"/>
      <c r="L752" s="95">
        <v>2.13</v>
      </c>
      <c r="M752" s="95">
        <f>L752*VLOOKUP(H752,dagsoorttabel1,2,FALSE)</f>
        <v>1.6705882352941175</v>
      </c>
      <c r="N752" s="96">
        <f>prodnorm74</f>
        <v>0</v>
      </c>
      <c r="O752" s="37">
        <f>dagwerk74</f>
        <v>0</v>
      </c>
      <c r="P752" s="93" t="s">
        <v>105</v>
      </c>
      <c r="Q752" s="24">
        <f>uurtarief74</f>
        <v>0</v>
      </c>
      <c r="R752" s="95" t="e">
        <f>IF(ISBLANK(N752),0,M752/ROUND(N752,4))</f>
        <v>#DIV/0!</v>
      </c>
      <c r="S752" s="95" t="e">
        <f>IF(ISBLANK(N752),0,R752*ROUND(O752,2))</f>
        <v>#DIV/0!</v>
      </c>
      <c r="T752" s="24" t="e">
        <f>ROUND(Q752,2)*R752</f>
        <v>#DIV/0!</v>
      </c>
      <c r="U752" s="95" t="e">
        <f>R752*dagenperjaar1</f>
        <v>#DIV/0!</v>
      </c>
      <c r="V752" s="25" t="e">
        <f>U752*ROUND(Q752,2)</f>
        <v>#DIV/0!</v>
      </c>
    </row>
    <row r="753" spans="1:22" x14ac:dyDescent="0.2">
      <c r="A753" s="92" t="s">
        <v>835</v>
      </c>
      <c r="B753" s="93" t="s">
        <v>47</v>
      </c>
      <c r="C753" s="93" t="s">
        <v>394</v>
      </c>
      <c r="D753" s="93" t="s">
        <v>415</v>
      </c>
      <c r="E753" s="94" t="s">
        <v>514</v>
      </c>
      <c r="F753" s="93" t="s">
        <v>442</v>
      </c>
      <c r="G753" s="93" t="s">
        <v>284</v>
      </c>
      <c r="H753" s="93" t="s">
        <v>13</v>
      </c>
      <c r="I753" s="93" t="s">
        <v>255</v>
      </c>
      <c r="J753" s="93" t="s">
        <v>47</v>
      </c>
      <c r="K753" s="93"/>
      <c r="L753" s="95">
        <v>30.25</v>
      </c>
      <c r="M753" s="95">
        <f>L753*VLOOKUP(H753,dagsoorttabel1,2,FALSE)</f>
        <v>23.725490196078432</v>
      </c>
      <c r="N753" s="96">
        <f>prodnorm58</f>
        <v>0</v>
      </c>
      <c r="O753" s="37">
        <f>dagwerk58</f>
        <v>0</v>
      </c>
      <c r="P753" s="93" t="s">
        <v>105</v>
      </c>
      <c r="Q753" s="24">
        <f>uurtarief58</f>
        <v>0</v>
      </c>
      <c r="R753" s="95" t="e">
        <f>IF(ISBLANK(N753),0,M753/ROUND(N753,4))</f>
        <v>#DIV/0!</v>
      </c>
      <c r="S753" s="95" t="e">
        <f>IF(ISBLANK(N753),0,R753*ROUND(O753,2))</f>
        <v>#DIV/0!</v>
      </c>
      <c r="T753" s="24" t="e">
        <f>ROUND(Q753,2)*R753</f>
        <v>#DIV/0!</v>
      </c>
      <c r="U753" s="95" t="e">
        <f>R753*dagenperjaar1</f>
        <v>#DIV/0!</v>
      </c>
      <c r="V753" s="25" t="e">
        <f>U753*ROUND(Q753,2)</f>
        <v>#DIV/0!</v>
      </c>
    </row>
    <row r="754" spans="1:22" x14ac:dyDescent="0.2">
      <c r="A754" s="92" t="s">
        <v>835</v>
      </c>
      <c r="B754" s="93" t="s">
        <v>47</v>
      </c>
      <c r="C754" s="93" t="s">
        <v>394</v>
      </c>
      <c r="D754" s="93" t="s">
        <v>416</v>
      </c>
      <c r="E754" s="94" t="s">
        <v>840</v>
      </c>
      <c r="F754" s="93" t="s">
        <v>442</v>
      </c>
      <c r="G754" s="93" t="s">
        <v>304</v>
      </c>
      <c r="H754" s="93" t="s">
        <v>13</v>
      </c>
      <c r="I754" s="93" t="s">
        <v>255</v>
      </c>
      <c r="J754" s="93" t="s">
        <v>47</v>
      </c>
      <c r="K754" s="93"/>
      <c r="L754" s="95">
        <v>2.11</v>
      </c>
      <c r="M754" s="95">
        <f>L754*VLOOKUP(H754,dagsoorttabel1,2,FALSE)</f>
        <v>1.6549019607843136</v>
      </c>
      <c r="N754" s="96">
        <f>prodnorm74</f>
        <v>0</v>
      </c>
      <c r="O754" s="37">
        <f>dagwerk74</f>
        <v>0</v>
      </c>
      <c r="P754" s="93" t="s">
        <v>105</v>
      </c>
      <c r="Q754" s="24">
        <f>uurtarief74</f>
        <v>0</v>
      </c>
      <c r="R754" s="95" t="e">
        <f>IF(ISBLANK(N754),0,M754/ROUND(N754,4))</f>
        <v>#DIV/0!</v>
      </c>
      <c r="S754" s="95" t="e">
        <f>IF(ISBLANK(N754),0,R754*ROUND(O754,2))</f>
        <v>#DIV/0!</v>
      </c>
      <c r="T754" s="24" t="e">
        <f>ROUND(Q754,2)*R754</f>
        <v>#DIV/0!</v>
      </c>
      <c r="U754" s="95" t="e">
        <f>R754*dagenperjaar1</f>
        <v>#DIV/0!</v>
      </c>
      <c r="V754" s="25" t="e">
        <f>U754*ROUND(Q754,2)</f>
        <v>#DIV/0!</v>
      </c>
    </row>
    <row r="755" spans="1:22" x14ac:dyDescent="0.2">
      <c r="A755" s="92" t="s">
        <v>835</v>
      </c>
      <c r="B755" s="93" t="s">
        <v>47</v>
      </c>
      <c r="C755" s="93" t="s">
        <v>394</v>
      </c>
      <c r="D755" s="93" t="s">
        <v>418</v>
      </c>
      <c r="E755" s="94" t="s">
        <v>841</v>
      </c>
      <c r="F755" s="93" t="s">
        <v>442</v>
      </c>
      <c r="G755" s="93" t="s">
        <v>266</v>
      </c>
      <c r="H755" s="93" t="s">
        <v>13</v>
      </c>
      <c r="I755" s="93" t="s">
        <v>255</v>
      </c>
      <c r="J755" s="93" t="s">
        <v>47</v>
      </c>
      <c r="K755" s="93"/>
      <c r="L755" s="95">
        <v>13.209999999999999</v>
      </c>
      <c r="M755" s="95">
        <f>L755*VLOOKUP(H755,dagsoorttabel1,2,FALSE)</f>
        <v>10.360784313725489</v>
      </c>
      <c r="N755" s="96">
        <f>prodnorm40</f>
        <v>0</v>
      </c>
      <c r="O755" s="37">
        <f>dagwerk40</f>
        <v>0</v>
      </c>
      <c r="P755" s="93" t="s">
        <v>105</v>
      </c>
      <c r="Q755" s="24">
        <f>uurtarief40</f>
        <v>0</v>
      </c>
      <c r="R755" s="95" t="e">
        <f>IF(ISBLANK(N755),0,M755/ROUND(N755,4))</f>
        <v>#DIV/0!</v>
      </c>
      <c r="S755" s="95" t="e">
        <f>IF(ISBLANK(N755),0,R755*ROUND(O755,2))</f>
        <v>#DIV/0!</v>
      </c>
      <c r="T755" s="24" t="e">
        <f>ROUND(Q755,2)*R755</f>
        <v>#DIV/0!</v>
      </c>
      <c r="U755" s="95" t="e">
        <f>R755*dagenperjaar1</f>
        <v>#DIV/0!</v>
      </c>
      <c r="V755" s="25" t="e">
        <f>U755*ROUND(Q755,2)</f>
        <v>#DIV/0!</v>
      </c>
    </row>
    <row r="756" spans="1:22" x14ac:dyDescent="0.2">
      <c r="A756" s="92" t="s">
        <v>835</v>
      </c>
      <c r="B756" s="93" t="s">
        <v>47</v>
      </c>
      <c r="C756" s="93" t="s">
        <v>394</v>
      </c>
      <c r="D756" s="93" t="s">
        <v>419</v>
      </c>
      <c r="E756" s="94" t="s">
        <v>842</v>
      </c>
      <c r="F756" s="93" t="s">
        <v>442</v>
      </c>
      <c r="G756" s="93" t="s">
        <v>304</v>
      </c>
      <c r="H756" s="93" t="s">
        <v>13</v>
      </c>
      <c r="I756" s="93" t="s">
        <v>255</v>
      </c>
      <c r="J756" s="93" t="s">
        <v>47</v>
      </c>
      <c r="K756" s="93"/>
      <c r="L756" s="95">
        <v>5.18</v>
      </c>
      <c r="M756" s="95">
        <f>L756*VLOOKUP(H756,dagsoorttabel1,2,FALSE)</f>
        <v>4.0627450980392155</v>
      </c>
      <c r="N756" s="96">
        <f>prodnorm74</f>
        <v>0</v>
      </c>
      <c r="O756" s="37">
        <f>dagwerk74</f>
        <v>0</v>
      </c>
      <c r="P756" s="93" t="s">
        <v>105</v>
      </c>
      <c r="Q756" s="24">
        <f>uurtarief74</f>
        <v>0</v>
      </c>
      <c r="R756" s="95" t="e">
        <f>IF(ISBLANK(N756),0,M756/ROUND(N756,4))</f>
        <v>#DIV/0!</v>
      </c>
      <c r="S756" s="95" t="e">
        <f>IF(ISBLANK(N756),0,R756*ROUND(O756,2))</f>
        <v>#DIV/0!</v>
      </c>
      <c r="T756" s="24" t="e">
        <f>ROUND(Q756,2)*R756</f>
        <v>#DIV/0!</v>
      </c>
      <c r="U756" s="95" t="e">
        <f>R756*dagenperjaar1</f>
        <v>#DIV/0!</v>
      </c>
      <c r="V756" s="25" t="e">
        <f>U756*ROUND(Q756,2)</f>
        <v>#DIV/0!</v>
      </c>
    </row>
    <row r="757" spans="1:22" ht="25.2" x14ac:dyDescent="0.2">
      <c r="A757" s="92" t="s">
        <v>835</v>
      </c>
      <c r="B757" s="93" t="s">
        <v>47</v>
      </c>
      <c r="C757" s="93" t="s">
        <v>394</v>
      </c>
      <c r="D757" s="93" t="s">
        <v>420</v>
      </c>
      <c r="E757" s="94" t="s">
        <v>843</v>
      </c>
      <c r="F757" s="93" t="s">
        <v>442</v>
      </c>
      <c r="G757" s="93" t="s">
        <v>266</v>
      </c>
      <c r="H757" s="93" t="s">
        <v>13</v>
      </c>
      <c r="I757" s="93" t="s">
        <v>255</v>
      </c>
      <c r="J757" s="93" t="s">
        <v>47</v>
      </c>
      <c r="K757" s="93"/>
      <c r="L757" s="95">
        <v>1.0900000000000001</v>
      </c>
      <c r="M757" s="95">
        <f>L757*VLOOKUP(H757,dagsoorttabel1,2,FALSE)</f>
        <v>0.8549019607843138</v>
      </c>
      <c r="N757" s="96">
        <f>prodnorm40</f>
        <v>0</v>
      </c>
      <c r="O757" s="37">
        <f>dagwerk40</f>
        <v>0</v>
      </c>
      <c r="P757" s="93" t="s">
        <v>105</v>
      </c>
      <c r="Q757" s="24">
        <f>uurtarief40</f>
        <v>0</v>
      </c>
      <c r="R757" s="95" t="e">
        <f>IF(ISBLANK(N757),0,M757/ROUND(N757,4))</f>
        <v>#DIV/0!</v>
      </c>
      <c r="S757" s="95" t="e">
        <f>IF(ISBLANK(N757),0,R757*ROUND(O757,2))</f>
        <v>#DIV/0!</v>
      </c>
      <c r="T757" s="24" t="e">
        <f>ROUND(Q757,2)*R757</f>
        <v>#DIV/0!</v>
      </c>
      <c r="U757" s="95" t="e">
        <f>R757*dagenperjaar1</f>
        <v>#DIV/0!</v>
      </c>
      <c r="V757" s="25" t="e">
        <f>U757*ROUND(Q757,2)</f>
        <v>#DIV/0!</v>
      </c>
    </row>
    <row r="758" spans="1:22" x14ac:dyDescent="0.2">
      <c r="A758" s="92" t="s">
        <v>835</v>
      </c>
      <c r="B758" s="93" t="s">
        <v>47</v>
      </c>
      <c r="C758" s="93" t="s">
        <v>394</v>
      </c>
      <c r="D758" s="93" t="s">
        <v>424</v>
      </c>
      <c r="E758" s="94" t="s">
        <v>430</v>
      </c>
      <c r="F758" s="93" t="s">
        <v>431</v>
      </c>
      <c r="G758" s="93" t="s">
        <v>280</v>
      </c>
      <c r="H758" s="93" t="s">
        <v>13</v>
      </c>
      <c r="I758" s="93" t="s">
        <v>255</v>
      </c>
      <c r="J758" s="93" t="s">
        <v>47</v>
      </c>
      <c r="K758" s="93"/>
      <c r="L758" s="95">
        <v>252</v>
      </c>
      <c r="M758" s="95">
        <f>L758*VLOOKUP(H758,dagsoorttabel1,2,FALSE)</f>
        <v>197.64705882352942</v>
      </c>
      <c r="N758" s="96">
        <f>prodnorm52</f>
        <v>0</v>
      </c>
      <c r="O758" s="37">
        <f>dagwerk52</f>
        <v>0</v>
      </c>
      <c r="P758" s="93" t="s">
        <v>105</v>
      </c>
      <c r="Q758" s="24">
        <f>uurtarief52</f>
        <v>0</v>
      </c>
      <c r="R758" s="95" t="e">
        <f>IF(ISBLANK(N758),0,M758/ROUND(N758,4))</f>
        <v>#DIV/0!</v>
      </c>
      <c r="S758" s="95" t="e">
        <f>IF(ISBLANK(N758),0,R758*ROUND(O758,2))</f>
        <v>#DIV/0!</v>
      </c>
      <c r="T758" s="24" t="e">
        <f>ROUND(Q758,2)*R758</f>
        <v>#DIV/0!</v>
      </c>
      <c r="U758" s="95" t="e">
        <f>R758*dagenperjaar1</f>
        <v>#DIV/0!</v>
      </c>
      <c r="V758" s="25" t="e">
        <f>U758*ROUND(Q758,2)</f>
        <v>#DIV/0!</v>
      </c>
    </row>
    <row r="759" spans="1:22" x14ac:dyDescent="0.2">
      <c r="A759" s="92" t="s">
        <v>835</v>
      </c>
      <c r="B759" s="93" t="s">
        <v>47</v>
      </c>
      <c r="C759" s="93" t="s">
        <v>394</v>
      </c>
      <c r="D759" s="93" t="s">
        <v>424</v>
      </c>
      <c r="E759" s="94" t="s">
        <v>430</v>
      </c>
      <c r="F759" s="93" t="s">
        <v>431</v>
      </c>
      <c r="G759" s="93" t="s">
        <v>350</v>
      </c>
      <c r="H759" s="93" t="s">
        <v>26</v>
      </c>
      <c r="I759" s="93" t="s">
        <v>352</v>
      </c>
      <c r="J759" s="93" t="s">
        <v>47</v>
      </c>
      <c r="K759" s="93"/>
      <c r="L759" s="95">
        <v>252</v>
      </c>
      <c r="M759" s="95">
        <f>L759*VLOOKUP(H759,dagsoorttabel1,2,FALSE)</f>
        <v>7.9058823529411768</v>
      </c>
      <c r="N759" s="96">
        <f>prodnorm117</f>
        <v>0</v>
      </c>
      <c r="O759" s="37">
        <f>dagwerk117</f>
        <v>0</v>
      </c>
      <c r="P759" s="93" t="s">
        <v>105</v>
      </c>
      <c r="Q759" s="24">
        <f>uurtarief117</f>
        <v>0</v>
      </c>
      <c r="R759" s="95" t="e">
        <f>IF(ISBLANK(N759),0,M759/ROUND(N759,4))</f>
        <v>#DIV/0!</v>
      </c>
      <c r="S759" s="95" t="e">
        <f>IF(ISBLANK(N759),0,R759*ROUND(O759,2))</f>
        <v>#DIV/0!</v>
      </c>
      <c r="T759" s="24" t="e">
        <f>ROUND(Q759,2)*R759</f>
        <v>#DIV/0!</v>
      </c>
      <c r="U759" s="95" t="e">
        <f>R759*dagenperjaar1</f>
        <v>#DIV/0!</v>
      </c>
      <c r="V759" s="25" t="e">
        <f>U759*ROUND(Q759,2)</f>
        <v>#DIV/0!</v>
      </c>
    </row>
    <row r="760" spans="1:22" x14ac:dyDescent="0.2">
      <c r="A760" s="97" t="s">
        <v>835</v>
      </c>
      <c r="B760" s="98" t="s">
        <v>47</v>
      </c>
      <c r="C760" s="98" t="s">
        <v>394</v>
      </c>
      <c r="D760" s="98" t="s">
        <v>446</v>
      </c>
      <c r="E760" s="99" t="s">
        <v>807</v>
      </c>
      <c r="F760" s="98" t="s">
        <v>431</v>
      </c>
      <c r="G760" s="98" t="s">
        <v>280</v>
      </c>
      <c r="H760" s="98" t="s">
        <v>22</v>
      </c>
      <c r="I760" s="98" t="s">
        <v>255</v>
      </c>
      <c r="J760" s="98" t="s">
        <v>47</v>
      </c>
      <c r="K760" s="98"/>
      <c r="L760" s="100">
        <v>39.67</v>
      </c>
      <c r="M760" s="100">
        <f>L760*VLOOKUP(H760,dagsoorttabel1,2,FALSE)</f>
        <v>6.2227450980392156</v>
      </c>
      <c r="N760" s="101">
        <f>prodnorm54</f>
        <v>0</v>
      </c>
      <c r="O760" s="102">
        <f>dagwerk54</f>
        <v>0</v>
      </c>
      <c r="P760" s="98" t="s">
        <v>105</v>
      </c>
      <c r="Q760" s="34">
        <f>uurtarief54</f>
        <v>0</v>
      </c>
      <c r="R760" s="100" t="e">
        <f>IF(ISBLANK(N760),0,M760/ROUND(N760,4))</f>
        <v>#DIV/0!</v>
      </c>
      <c r="S760" s="100" t="e">
        <f>IF(ISBLANK(N760),0,R760*ROUND(O760,2))</f>
        <v>#DIV/0!</v>
      </c>
      <c r="T760" s="34" t="e">
        <f>ROUND(Q760,2)*R760</f>
        <v>#DIV/0!</v>
      </c>
      <c r="U760" s="100" t="e">
        <f>R760*dagenperjaar1</f>
        <v>#DIV/0!</v>
      </c>
      <c r="V760" s="35" t="e">
        <f>U760*ROUND(Q760,2)</f>
        <v>#DIV/0!</v>
      </c>
    </row>
    <row r="761" spans="1:22" x14ac:dyDescent="0.2">
      <c r="A761" s="103" t="s">
        <v>436</v>
      </c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5" t="e">
        <f>IF(_xlfn.SINGLE(object18_urenjaar1)&gt;0,_xlfn.SINGLE(object18_prijsjaar1)/_xlfn.SINGLE(object18_urenjaar1),0)</f>
        <v>#DIV/0!</v>
      </c>
      <c r="R761" s="74" t="e">
        <f>SUM(R747:R760)</f>
        <v>#DIV/0!</v>
      </c>
      <c r="S761" s="74" t="e">
        <f>SUM(S747:S760)</f>
        <v>#DIV/0!</v>
      </c>
      <c r="T761" s="75" t="e">
        <f>SUM(T747:T760)</f>
        <v>#DIV/0!</v>
      </c>
      <c r="U761" s="74" t="e">
        <f>SUM(U747:U760)</f>
        <v>#DIV/0!</v>
      </c>
      <c r="V761" s="76" t="e">
        <f>SUM(V747:V760)</f>
        <v>#DIV/0!</v>
      </c>
    </row>
    <row r="762" spans="1:22" x14ac:dyDescent="0.2">
      <c r="A762" s="83" t="s">
        <v>844</v>
      </c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71"/>
    </row>
    <row r="763" spans="1:22" x14ac:dyDescent="0.2">
      <c r="A763" s="84" t="s">
        <v>845</v>
      </c>
      <c r="B763" s="85" t="s">
        <v>47</v>
      </c>
      <c r="C763" s="85" t="s">
        <v>394</v>
      </c>
      <c r="D763" s="85" t="s">
        <v>395</v>
      </c>
      <c r="E763" s="86" t="s">
        <v>430</v>
      </c>
      <c r="F763" s="85" t="s">
        <v>517</v>
      </c>
      <c r="G763" s="85" t="s">
        <v>280</v>
      </c>
      <c r="H763" s="85" t="s">
        <v>13</v>
      </c>
      <c r="I763" s="85" t="s">
        <v>255</v>
      </c>
      <c r="J763" s="85" t="s">
        <v>47</v>
      </c>
      <c r="K763" s="85"/>
      <c r="L763" s="87">
        <v>235.3</v>
      </c>
      <c r="M763" s="87">
        <f>L763*VLOOKUP(H763,dagsoorttabel1,2,FALSE)</f>
        <v>184.54901960784315</v>
      </c>
      <c r="N763" s="88">
        <f>prodnorm52</f>
        <v>0</v>
      </c>
      <c r="O763" s="89">
        <f>dagwerk52</f>
        <v>0</v>
      </c>
      <c r="P763" s="85" t="s">
        <v>105</v>
      </c>
      <c r="Q763" s="90">
        <f>uurtarief52</f>
        <v>0</v>
      </c>
      <c r="R763" s="87" t="e">
        <f>IF(ISBLANK(N763),0,M763/ROUND(N763,4))</f>
        <v>#DIV/0!</v>
      </c>
      <c r="S763" s="87" t="e">
        <f>IF(ISBLANK(N763),0,R763*ROUND(O763,2))</f>
        <v>#DIV/0!</v>
      </c>
      <c r="T763" s="90" t="e">
        <f>ROUND(Q763,2)*R763</f>
        <v>#DIV/0!</v>
      </c>
      <c r="U763" s="87" t="e">
        <f>R763*dagenperjaar1</f>
        <v>#DIV/0!</v>
      </c>
      <c r="V763" s="91" t="e">
        <f>U763*ROUND(Q763,2)</f>
        <v>#DIV/0!</v>
      </c>
    </row>
    <row r="764" spans="1:22" x14ac:dyDescent="0.2">
      <c r="A764" s="92" t="s">
        <v>845</v>
      </c>
      <c r="B764" s="93" t="s">
        <v>47</v>
      </c>
      <c r="C764" s="93" t="s">
        <v>394</v>
      </c>
      <c r="D764" s="93" t="s">
        <v>395</v>
      </c>
      <c r="E764" s="94" t="s">
        <v>430</v>
      </c>
      <c r="F764" s="93" t="s">
        <v>517</v>
      </c>
      <c r="G764" s="93" t="s">
        <v>350</v>
      </c>
      <c r="H764" s="93" t="s">
        <v>26</v>
      </c>
      <c r="I764" s="93" t="s">
        <v>352</v>
      </c>
      <c r="J764" s="93" t="s">
        <v>47</v>
      </c>
      <c r="K764" s="93"/>
      <c r="L764" s="95">
        <v>235.3</v>
      </c>
      <c r="M764" s="95">
        <f>L764*VLOOKUP(H764,dagsoorttabel1,2,FALSE)</f>
        <v>7.3819607843137254</v>
      </c>
      <c r="N764" s="96">
        <f>prodnorm117</f>
        <v>0</v>
      </c>
      <c r="O764" s="37">
        <f>dagwerk117</f>
        <v>0</v>
      </c>
      <c r="P764" s="93" t="s">
        <v>105</v>
      </c>
      <c r="Q764" s="24">
        <f>uurtarief117</f>
        <v>0</v>
      </c>
      <c r="R764" s="95" t="e">
        <f>IF(ISBLANK(N764),0,M764/ROUND(N764,4))</f>
        <v>#DIV/0!</v>
      </c>
      <c r="S764" s="95" t="e">
        <f>IF(ISBLANK(N764),0,R764*ROUND(O764,2))</f>
        <v>#DIV/0!</v>
      </c>
      <c r="T764" s="24" t="e">
        <f>ROUND(Q764,2)*R764</f>
        <v>#DIV/0!</v>
      </c>
      <c r="U764" s="95" t="e">
        <f>R764*dagenperjaar1</f>
        <v>#DIV/0!</v>
      </c>
      <c r="V764" s="25" t="e">
        <f>U764*ROUND(Q764,2)</f>
        <v>#DIV/0!</v>
      </c>
    </row>
    <row r="765" spans="1:22" x14ac:dyDescent="0.2">
      <c r="A765" s="92" t="s">
        <v>845</v>
      </c>
      <c r="B765" s="93" t="s">
        <v>47</v>
      </c>
      <c r="C765" s="93" t="s">
        <v>394</v>
      </c>
      <c r="D765" s="93" t="s">
        <v>398</v>
      </c>
      <c r="E765" s="94" t="s">
        <v>440</v>
      </c>
      <c r="F765" s="93" t="s">
        <v>517</v>
      </c>
      <c r="G765" s="93" t="s">
        <v>280</v>
      </c>
      <c r="H765" s="93" t="s">
        <v>22</v>
      </c>
      <c r="I765" s="93" t="s">
        <v>255</v>
      </c>
      <c r="J765" s="93" t="s">
        <v>47</v>
      </c>
      <c r="K765" s="93"/>
      <c r="L765" s="95">
        <v>59.4</v>
      </c>
      <c r="M765" s="95">
        <f>L765*VLOOKUP(H765,dagsoorttabel1,2,FALSE)</f>
        <v>9.3176470588235283</v>
      </c>
      <c r="N765" s="96">
        <f>prodnorm54</f>
        <v>0</v>
      </c>
      <c r="O765" s="37">
        <f>dagwerk54</f>
        <v>0</v>
      </c>
      <c r="P765" s="93" t="s">
        <v>105</v>
      </c>
      <c r="Q765" s="24">
        <f>uurtarief54</f>
        <v>0</v>
      </c>
      <c r="R765" s="95" t="e">
        <f>IF(ISBLANK(N765),0,M765/ROUND(N765,4))</f>
        <v>#DIV/0!</v>
      </c>
      <c r="S765" s="95" t="e">
        <f>IF(ISBLANK(N765),0,R765*ROUND(O765,2))</f>
        <v>#DIV/0!</v>
      </c>
      <c r="T765" s="24" t="e">
        <f>ROUND(Q765,2)*R765</f>
        <v>#DIV/0!</v>
      </c>
      <c r="U765" s="95" t="e">
        <f>R765*dagenperjaar1</f>
        <v>#DIV/0!</v>
      </c>
      <c r="V765" s="25" t="e">
        <f>U765*ROUND(Q765,2)</f>
        <v>#DIV/0!</v>
      </c>
    </row>
    <row r="766" spans="1:22" x14ac:dyDescent="0.2">
      <c r="A766" s="92" t="s">
        <v>845</v>
      </c>
      <c r="B766" s="93" t="s">
        <v>47</v>
      </c>
      <c r="C766" s="93" t="s">
        <v>394</v>
      </c>
      <c r="D766" s="93" t="s">
        <v>400</v>
      </c>
      <c r="E766" s="94" t="s">
        <v>443</v>
      </c>
      <c r="F766" s="93" t="s">
        <v>442</v>
      </c>
      <c r="G766" s="93" t="s">
        <v>304</v>
      </c>
      <c r="H766" s="93" t="s">
        <v>13</v>
      </c>
      <c r="I766" s="93" t="s">
        <v>255</v>
      </c>
      <c r="J766" s="93" t="s">
        <v>47</v>
      </c>
      <c r="K766" s="93"/>
      <c r="L766" s="95">
        <v>5.2</v>
      </c>
      <c r="M766" s="95">
        <f>L766*VLOOKUP(H766,dagsoorttabel1,2,FALSE)</f>
        <v>4.0784313725490193</v>
      </c>
      <c r="N766" s="96">
        <f>prodnorm74</f>
        <v>0</v>
      </c>
      <c r="O766" s="37">
        <f>dagwerk74</f>
        <v>0</v>
      </c>
      <c r="P766" s="93" t="s">
        <v>105</v>
      </c>
      <c r="Q766" s="24">
        <f>uurtarief74</f>
        <v>0</v>
      </c>
      <c r="R766" s="95" t="e">
        <f>IF(ISBLANK(N766),0,M766/ROUND(N766,4))</f>
        <v>#DIV/0!</v>
      </c>
      <c r="S766" s="95" t="e">
        <f>IF(ISBLANK(N766),0,R766*ROUND(O766,2))</f>
        <v>#DIV/0!</v>
      </c>
      <c r="T766" s="24" t="e">
        <f>ROUND(Q766,2)*R766</f>
        <v>#DIV/0!</v>
      </c>
      <c r="U766" s="95" t="e">
        <f>R766*dagenperjaar1</f>
        <v>#DIV/0!</v>
      </c>
      <c r="V766" s="25" t="e">
        <f>U766*ROUND(Q766,2)</f>
        <v>#DIV/0!</v>
      </c>
    </row>
    <row r="767" spans="1:22" x14ac:dyDescent="0.2">
      <c r="A767" s="92" t="s">
        <v>845</v>
      </c>
      <c r="B767" s="93" t="s">
        <v>47</v>
      </c>
      <c r="C767" s="93" t="s">
        <v>394</v>
      </c>
      <c r="D767" s="93" t="s">
        <v>402</v>
      </c>
      <c r="E767" s="94" t="s">
        <v>443</v>
      </c>
      <c r="F767" s="93" t="s">
        <v>442</v>
      </c>
      <c r="G767" s="93" t="s">
        <v>304</v>
      </c>
      <c r="H767" s="93" t="s">
        <v>13</v>
      </c>
      <c r="I767" s="93" t="s">
        <v>255</v>
      </c>
      <c r="J767" s="93" t="s">
        <v>47</v>
      </c>
      <c r="K767" s="93"/>
      <c r="L767" s="95">
        <v>5.2</v>
      </c>
      <c r="M767" s="95">
        <f>L767*VLOOKUP(H767,dagsoorttabel1,2,FALSE)</f>
        <v>4.0784313725490193</v>
      </c>
      <c r="N767" s="96">
        <f>prodnorm74</f>
        <v>0</v>
      </c>
      <c r="O767" s="37">
        <f>dagwerk74</f>
        <v>0</v>
      </c>
      <c r="P767" s="93" t="s">
        <v>105</v>
      </c>
      <c r="Q767" s="24">
        <f>uurtarief74</f>
        <v>0</v>
      </c>
      <c r="R767" s="95" t="e">
        <f>IF(ISBLANK(N767),0,M767/ROUND(N767,4))</f>
        <v>#DIV/0!</v>
      </c>
      <c r="S767" s="95" t="e">
        <f>IF(ISBLANK(N767),0,R767*ROUND(O767,2))</f>
        <v>#DIV/0!</v>
      </c>
      <c r="T767" s="24" t="e">
        <f>ROUND(Q767,2)*R767</f>
        <v>#DIV/0!</v>
      </c>
      <c r="U767" s="95" t="e">
        <f>R767*dagenperjaar1</f>
        <v>#DIV/0!</v>
      </c>
      <c r="V767" s="25" t="e">
        <f>U767*ROUND(Q767,2)</f>
        <v>#DIV/0!</v>
      </c>
    </row>
    <row r="768" spans="1:22" x14ac:dyDescent="0.2">
      <c r="A768" s="92" t="s">
        <v>845</v>
      </c>
      <c r="B768" s="93" t="s">
        <v>47</v>
      </c>
      <c r="C768" s="93" t="s">
        <v>394</v>
      </c>
      <c r="D768" s="93" t="s">
        <v>409</v>
      </c>
      <c r="E768" s="94" t="s">
        <v>508</v>
      </c>
      <c r="F768" s="93" t="s">
        <v>442</v>
      </c>
      <c r="G768" s="93" t="s">
        <v>304</v>
      </c>
      <c r="H768" s="93" t="s">
        <v>13</v>
      </c>
      <c r="I768" s="93" t="s">
        <v>255</v>
      </c>
      <c r="J768" s="93" t="s">
        <v>47</v>
      </c>
      <c r="K768" s="93"/>
      <c r="L768" s="95">
        <v>6.25</v>
      </c>
      <c r="M768" s="95">
        <f>L768*VLOOKUP(H768,dagsoorttabel1,2,FALSE)</f>
        <v>4.9019607843137258</v>
      </c>
      <c r="N768" s="96">
        <f>prodnorm74</f>
        <v>0</v>
      </c>
      <c r="O768" s="37">
        <f>dagwerk74</f>
        <v>0</v>
      </c>
      <c r="P768" s="93" t="s">
        <v>105</v>
      </c>
      <c r="Q768" s="24">
        <f>uurtarief74</f>
        <v>0</v>
      </c>
      <c r="R768" s="95" t="e">
        <f>IF(ISBLANK(N768),0,M768/ROUND(N768,4))</f>
        <v>#DIV/0!</v>
      </c>
      <c r="S768" s="95" t="e">
        <f>IF(ISBLANK(N768),0,R768*ROUND(O768,2))</f>
        <v>#DIV/0!</v>
      </c>
      <c r="T768" s="24" t="e">
        <f>ROUND(Q768,2)*R768</f>
        <v>#DIV/0!</v>
      </c>
      <c r="U768" s="95" t="e">
        <f>R768*dagenperjaar1</f>
        <v>#DIV/0!</v>
      </c>
      <c r="V768" s="25" t="e">
        <f>U768*ROUND(Q768,2)</f>
        <v>#DIV/0!</v>
      </c>
    </row>
    <row r="769" spans="1:22" x14ac:dyDescent="0.2">
      <c r="A769" s="92" t="s">
        <v>845</v>
      </c>
      <c r="B769" s="93" t="s">
        <v>47</v>
      </c>
      <c r="C769" s="93" t="s">
        <v>394</v>
      </c>
      <c r="D769" s="93" t="s">
        <v>411</v>
      </c>
      <c r="E769" s="94" t="s">
        <v>447</v>
      </c>
      <c r="F769" s="93" t="s">
        <v>442</v>
      </c>
      <c r="G769" s="93" t="s">
        <v>284</v>
      </c>
      <c r="H769" s="93" t="s">
        <v>13</v>
      </c>
      <c r="I769" s="93" t="s">
        <v>255</v>
      </c>
      <c r="J769" s="93" t="s">
        <v>47</v>
      </c>
      <c r="K769" s="93"/>
      <c r="L769" s="95">
        <v>25.4</v>
      </c>
      <c r="M769" s="95">
        <f>L769*VLOOKUP(H769,dagsoorttabel1,2,FALSE)</f>
        <v>19.921568627450981</v>
      </c>
      <c r="N769" s="96">
        <f>prodnorm58</f>
        <v>0</v>
      </c>
      <c r="O769" s="37">
        <f>dagwerk58</f>
        <v>0</v>
      </c>
      <c r="P769" s="93" t="s">
        <v>105</v>
      </c>
      <c r="Q769" s="24">
        <f>uurtarief58</f>
        <v>0</v>
      </c>
      <c r="R769" s="95" t="e">
        <f>IF(ISBLANK(N769),0,M769/ROUND(N769,4))</f>
        <v>#DIV/0!</v>
      </c>
      <c r="S769" s="95" t="e">
        <f>IF(ISBLANK(N769),0,R769*ROUND(O769,2))</f>
        <v>#DIV/0!</v>
      </c>
      <c r="T769" s="24" t="e">
        <f>ROUND(Q769,2)*R769</f>
        <v>#DIV/0!</v>
      </c>
      <c r="U769" s="95" t="e">
        <f>R769*dagenperjaar1</f>
        <v>#DIV/0!</v>
      </c>
      <c r="V769" s="25" t="e">
        <f>U769*ROUND(Q769,2)</f>
        <v>#DIV/0!</v>
      </c>
    </row>
    <row r="770" spans="1:22" x14ac:dyDescent="0.2">
      <c r="A770" s="92" t="s">
        <v>845</v>
      </c>
      <c r="B770" s="93" t="s">
        <v>47</v>
      </c>
      <c r="C770" s="93" t="s">
        <v>394</v>
      </c>
      <c r="D770" s="93" t="s">
        <v>413</v>
      </c>
      <c r="E770" s="94" t="s">
        <v>447</v>
      </c>
      <c r="F770" s="93" t="s">
        <v>442</v>
      </c>
      <c r="G770" s="93" t="s">
        <v>284</v>
      </c>
      <c r="H770" s="93" t="s">
        <v>13</v>
      </c>
      <c r="I770" s="93" t="s">
        <v>255</v>
      </c>
      <c r="J770" s="93" t="s">
        <v>47</v>
      </c>
      <c r="K770" s="93"/>
      <c r="L770" s="95">
        <v>22.5</v>
      </c>
      <c r="M770" s="95">
        <f>L770*VLOOKUP(H770,dagsoorttabel1,2,FALSE)</f>
        <v>17.647058823529413</v>
      </c>
      <c r="N770" s="96">
        <f>prodnorm58</f>
        <v>0</v>
      </c>
      <c r="O770" s="37">
        <f>dagwerk58</f>
        <v>0</v>
      </c>
      <c r="P770" s="93" t="s">
        <v>105</v>
      </c>
      <c r="Q770" s="24">
        <f>uurtarief58</f>
        <v>0</v>
      </c>
      <c r="R770" s="95" t="e">
        <f>IF(ISBLANK(N770),0,M770/ROUND(N770,4))</f>
        <v>#DIV/0!</v>
      </c>
      <c r="S770" s="95" t="e">
        <f>IF(ISBLANK(N770),0,R770*ROUND(O770,2))</f>
        <v>#DIV/0!</v>
      </c>
      <c r="T770" s="24" t="e">
        <f>ROUND(Q770,2)*R770</f>
        <v>#DIV/0!</v>
      </c>
      <c r="U770" s="95" t="e">
        <f>R770*dagenperjaar1</f>
        <v>#DIV/0!</v>
      </c>
      <c r="V770" s="25" t="e">
        <f>U770*ROUND(Q770,2)</f>
        <v>#DIV/0!</v>
      </c>
    </row>
    <row r="771" spans="1:22" x14ac:dyDescent="0.2">
      <c r="A771" s="97" t="s">
        <v>845</v>
      </c>
      <c r="B771" s="98" t="s">
        <v>47</v>
      </c>
      <c r="C771" s="98" t="s">
        <v>394</v>
      </c>
      <c r="D771" s="98" t="s">
        <v>416</v>
      </c>
      <c r="E771" s="99" t="s">
        <v>525</v>
      </c>
      <c r="F771" s="98" t="s">
        <v>442</v>
      </c>
      <c r="G771" s="98" t="s">
        <v>274</v>
      </c>
      <c r="H771" s="98" t="s">
        <v>13</v>
      </c>
      <c r="I771" s="98" t="s">
        <v>255</v>
      </c>
      <c r="J771" s="98" t="s">
        <v>47</v>
      </c>
      <c r="K771" s="98"/>
      <c r="L771" s="100">
        <v>22.5</v>
      </c>
      <c r="M771" s="100">
        <f>L771*VLOOKUP(H771,dagsoorttabel1,2,FALSE)</f>
        <v>17.647058823529413</v>
      </c>
      <c r="N771" s="101">
        <f>prodnorm47</f>
        <v>0</v>
      </c>
      <c r="O771" s="102">
        <f>dagwerk47</f>
        <v>0</v>
      </c>
      <c r="P771" s="98" t="s">
        <v>105</v>
      </c>
      <c r="Q771" s="34">
        <f>uurtarief47</f>
        <v>0</v>
      </c>
      <c r="R771" s="100" t="e">
        <f>IF(ISBLANK(N771),0,M771/ROUND(N771,4))</f>
        <v>#DIV/0!</v>
      </c>
      <c r="S771" s="100" t="e">
        <f>IF(ISBLANK(N771),0,R771*ROUND(O771,2))</f>
        <v>#DIV/0!</v>
      </c>
      <c r="T771" s="34" t="e">
        <f>ROUND(Q771,2)*R771</f>
        <v>#DIV/0!</v>
      </c>
      <c r="U771" s="100" t="e">
        <f>R771*dagenperjaar1</f>
        <v>#DIV/0!</v>
      </c>
      <c r="V771" s="35" t="e">
        <f>U771*ROUND(Q771,2)</f>
        <v>#DIV/0!</v>
      </c>
    </row>
    <row r="772" spans="1:22" x14ac:dyDescent="0.2">
      <c r="A772" s="103" t="s">
        <v>436</v>
      </c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5" t="e">
        <f>IF(_xlfn.SINGLE(object19_urenjaar1)&gt;0,_xlfn.SINGLE(object19_prijsjaar1)/_xlfn.SINGLE(object19_urenjaar1),0)</f>
        <v>#DIV/0!</v>
      </c>
      <c r="R772" s="74" t="e">
        <f>SUM(R763:R771)</f>
        <v>#DIV/0!</v>
      </c>
      <c r="S772" s="74" t="e">
        <f>SUM(S763:S771)</f>
        <v>#DIV/0!</v>
      </c>
      <c r="T772" s="75" t="e">
        <f>SUM(T763:T771)</f>
        <v>#DIV/0!</v>
      </c>
      <c r="U772" s="74" t="e">
        <f>SUM(U763:U771)</f>
        <v>#DIV/0!</v>
      </c>
      <c r="V772" s="76" t="e">
        <f>SUM(V763:V771)</f>
        <v>#DIV/0!</v>
      </c>
    </row>
    <row r="773" spans="1:22" x14ac:dyDescent="0.2">
      <c r="A773" s="83" t="s">
        <v>846</v>
      </c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71"/>
    </row>
    <row r="774" spans="1:22" x14ac:dyDescent="0.2">
      <c r="A774" s="84" t="s">
        <v>847</v>
      </c>
      <c r="B774" s="85" t="s">
        <v>47</v>
      </c>
      <c r="C774" s="85" t="s">
        <v>394</v>
      </c>
      <c r="D774" s="85" t="s">
        <v>395</v>
      </c>
      <c r="E774" s="86" t="s">
        <v>525</v>
      </c>
      <c r="F774" s="85" t="s">
        <v>476</v>
      </c>
      <c r="G774" s="85" t="s">
        <v>274</v>
      </c>
      <c r="H774" s="85" t="s">
        <v>13</v>
      </c>
      <c r="I774" s="85" t="s">
        <v>255</v>
      </c>
      <c r="J774" s="85" t="s">
        <v>47</v>
      </c>
      <c r="K774" s="85"/>
      <c r="L774" s="87">
        <v>10</v>
      </c>
      <c r="M774" s="87">
        <f>L774*VLOOKUP(H774,dagsoorttabel1,2,FALSE)</f>
        <v>7.8431372549019605</v>
      </c>
      <c r="N774" s="88">
        <f>prodnorm47</f>
        <v>0</v>
      </c>
      <c r="O774" s="89">
        <f>dagwerk47</f>
        <v>0</v>
      </c>
      <c r="P774" s="85" t="s">
        <v>105</v>
      </c>
      <c r="Q774" s="90">
        <f>uurtarief47</f>
        <v>0</v>
      </c>
      <c r="R774" s="87" t="e">
        <f>IF(ISBLANK(N774),0,M774/ROUND(N774,4))</f>
        <v>#DIV/0!</v>
      </c>
      <c r="S774" s="87" t="e">
        <f>IF(ISBLANK(N774),0,R774*ROUND(O774,2))</f>
        <v>#DIV/0!</v>
      </c>
      <c r="T774" s="90" t="e">
        <f>ROUND(Q774,2)*R774</f>
        <v>#DIV/0!</v>
      </c>
      <c r="U774" s="87" t="e">
        <f>R774*dagenperjaar1</f>
        <v>#DIV/0!</v>
      </c>
      <c r="V774" s="91" t="e">
        <f>U774*ROUND(Q774,2)</f>
        <v>#DIV/0!</v>
      </c>
    </row>
    <row r="775" spans="1:22" x14ac:dyDescent="0.2">
      <c r="A775" s="92" t="s">
        <v>847</v>
      </c>
      <c r="B775" s="93" t="s">
        <v>47</v>
      </c>
      <c r="C775" s="93" t="s">
        <v>394</v>
      </c>
      <c r="D775" s="93" t="s">
        <v>487</v>
      </c>
      <c r="E775" s="94" t="s">
        <v>525</v>
      </c>
      <c r="F775" s="93" t="s">
        <v>764</v>
      </c>
      <c r="G775" s="93" t="s">
        <v>270</v>
      </c>
      <c r="H775" s="93" t="s">
        <v>13</v>
      </c>
      <c r="I775" s="93" t="s">
        <v>255</v>
      </c>
      <c r="J775" s="93" t="s">
        <v>47</v>
      </c>
      <c r="K775" s="93"/>
      <c r="L775" s="95">
        <v>34.4</v>
      </c>
      <c r="M775" s="95">
        <f>L775*VLOOKUP(H775,dagsoorttabel1,2,FALSE)</f>
        <v>26.980392156862745</v>
      </c>
      <c r="N775" s="96">
        <f>prodnorm43</f>
        <v>0</v>
      </c>
      <c r="O775" s="37">
        <f>dagwerk43</f>
        <v>0</v>
      </c>
      <c r="P775" s="93" t="s">
        <v>105</v>
      </c>
      <c r="Q775" s="24">
        <f>uurtarief43</f>
        <v>0</v>
      </c>
      <c r="R775" s="95" t="e">
        <f>IF(ISBLANK(N775),0,M775/ROUND(N775,4))</f>
        <v>#DIV/0!</v>
      </c>
      <c r="S775" s="95" t="e">
        <f>IF(ISBLANK(N775),0,R775*ROUND(O775,2))</f>
        <v>#DIV/0!</v>
      </c>
      <c r="T775" s="24" t="e">
        <f>ROUND(Q775,2)*R775</f>
        <v>#DIV/0!</v>
      </c>
      <c r="U775" s="95" t="e">
        <f>R775*dagenperjaar1</f>
        <v>#DIV/0!</v>
      </c>
      <c r="V775" s="25" t="e">
        <f>U775*ROUND(Q775,2)</f>
        <v>#DIV/0!</v>
      </c>
    </row>
    <row r="776" spans="1:22" x14ac:dyDescent="0.2">
      <c r="A776" s="92" t="s">
        <v>847</v>
      </c>
      <c r="B776" s="93" t="s">
        <v>47</v>
      </c>
      <c r="C776" s="93" t="s">
        <v>394</v>
      </c>
      <c r="D776" s="93" t="s">
        <v>402</v>
      </c>
      <c r="E776" s="94" t="s">
        <v>423</v>
      </c>
      <c r="F776" s="93" t="s">
        <v>764</v>
      </c>
      <c r="G776" s="93" t="s">
        <v>304</v>
      </c>
      <c r="H776" s="93" t="s">
        <v>13</v>
      </c>
      <c r="I776" s="93" t="s">
        <v>255</v>
      </c>
      <c r="J776" s="93" t="s">
        <v>47</v>
      </c>
      <c r="K776" s="93"/>
      <c r="L776" s="95">
        <v>1.5</v>
      </c>
      <c r="M776" s="95">
        <f>L776*VLOOKUP(H776,dagsoorttabel1,2,FALSE)</f>
        <v>1.1764705882352942</v>
      </c>
      <c r="N776" s="96">
        <f>prodnorm74</f>
        <v>0</v>
      </c>
      <c r="O776" s="37">
        <f>dagwerk74</f>
        <v>0</v>
      </c>
      <c r="P776" s="93" t="s">
        <v>105</v>
      </c>
      <c r="Q776" s="24">
        <f>uurtarief74</f>
        <v>0</v>
      </c>
      <c r="R776" s="95" t="e">
        <f>IF(ISBLANK(N776),0,M776/ROUND(N776,4))</f>
        <v>#DIV/0!</v>
      </c>
      <c r="S776" s="95" t="e">
        <f>IF(ISBLANK(N776),0,R776*ROUND(O776,2))</f>
        <v>#DIV/0!</v>
      </c>
      <c r="T776" s="24" t="e">
        <f>ROUND(Q776,2)*R776</f>
        <v>#DIV/0!</v>
      </c>
      <c r="U776" s="95" t="e">
        <f>R776*dagenperjaar1</f>
        <v>#DIV/0!</v>
      </c>
      <c r="V776" s="25" t="e">
        <f>U776*ROUND(Q776,2)</f>
        <v>#DIV/0!</v>
      </c>
    </row>
    <row r="777" spans="1:22" x14ac:dyDescent="0.2">
      <c r="A777" s="92" t="s">
        <v>847</v>
      </c>
      <c r="B777" s="93" t="s">
        <v>47</v>
      </c>
      <c r="C777" s="93" t="s">
        <v>394</v>
      </c>
      <c r="D777" s="93" t="s">
        <v>404</v>
      </c>
      <c r="E777" s="94" t="s">
        <v>525</v>
      </c>
      <c r="F777" s="93" t="s">
        <v>808</v>
      </c>
      <c r="G777" s="93" t="s">
        <v>270</v>
      </c>
      <c r="H777" s="93" t="s">
        <v>13</v>
      </c>
      <c r="I777" s="93" t="s">
        <v>255</v>
      </c>
      <c r="J777" s="93" t="s">
        <v>47</v>
      </c>
      <c r="K777" s="93"/>
      <c r="L777" s="95">
        <v>5.0999999999999996</v>
      </c>
      <c r="M777" s="95">
        <f>L777*VLOOKUP(H777,dagsoorttabel1,2,FALSE)</f>
        <v>3.9999999999999996</v>
      </c>
      <c r="N777" s="96">
        <f>prodnorm43</f>
        <v>0</v>
      </c>
      <c r="O777" s="37">
        <f>dagwerk43</f>
        <v>0</v>
      </c>
      <c r="P777" s="93" t="s">
        <v>105</v>
      </c>
      <c r="Q777" s="24">
        <f>uurtarief43</f>
        <v>0</v>
      </c>
      <c r="R777" s="95" t="e">
        <f>IF(ISBLANK(N777),0,M777/ROUND(N777,4))</f>
        <v>#DIV/0!</v>
      </c>
      <c r="S777" s="95" t="e">
        <f>IF(ISBLANK(N777),0,R777*ROUND(O777,2))</f>
        <v>#DIV/0!</v>
      </c>
      <c r="T777" s="24" t="e">
        <f>ROUND(Q777,2)*R777</f>
        <v>#DIV/0!</v>
      </c>
      <c r="U777" s="95" t="e">
        <f>R777*dagenperjaar1</f>
        <v>#DIV/0!</v>
      </c>
      <c r="V777" s="25" t="e">
        <f>U777*ROUND(Q777,2)</f>
        <v>#DIV/0!</v>
      </c>
    </row>
    <row r="778" spans="1:22" x14ac:dyDescent="0.2">
      <c r="A778" s="92" t="s">
        <v>847</v>
      </c>
      <c r="B778" s="93" t="s">
        <v>47</v>
      </c>
      <c r="C778" s="93" t="s">
        <v>394</v>
      </c>
      <c r="D778" s="93" t="s">
        <v>409</v>
      </c>
      <c r="E778" s="94" t="s">
        <v>447</v>
      </c>
      <c r="F778" s="93" t="s">
        <v>764</v>
      </c>
      <c r="G778" s="93" t="s">
        <v>284</v>
      </c>
      <c r="H778" s="93" t="s">
        <v>13</v>
      </c>
      <c r="I778" s="93" t="s">
        <v>255</v>
      </c>
      <c r="J778" s="93" t="s">
        <v>47</v>
      </c>
      <c r="K778" s="93"/>
      <c r="L778" s="95">
        <v>22.4</v>
      </c>
      <c r="M778" s="95">
        <f>L778*VLOOKUP(H778,dagsoorttabel1,2,FALSE)</f>
        <v>17.56862745098039</v>
      </c>
      <c r="N778" s="96">
        <f>prodnorm58</f>
        <v>0</v>
      </c>
      <c r="O778" s="37">
        <f>dagwerk58</f>
        <v>0</v>
      </c>
      <c r="P778" s="93" t="s">
        <v>105</v>
      </c>
      <c r="Q778" s="24">
        <f>uurtarief58</f>
        <v>0</v>
      </c>
      <c r="R778" s="95" t="e">
        <f>IF(ISBLANK(N778),0,M778/ROUND(N778,4))</f>
        <v>#DIV/0!</v>
      </c>
      <c r="S778" s="95" t="e">
        <f>IF(ISBLANK(N778),0,R778*ROUND(O778,2))</f>
        <v>#DIV/0!</v>
      </c>
      <c r="T778" s="24" t="e">
        <f>ROUND(Q778,2)*R778</f>
        <v>#DIV/0!</v>
      </c>
      <c r="U778" s="95" t="e">
        <f>R778*dagenperjaar1</f>
        <v>#DIV/0!</v>
      </c>
      <c r="V778" s="25" t="e">
        <f>U778*ROUND(Q778,2)</f>
        <v>#DIV/0!</v>
      </c>
    </row>
    <row r="779" spans="1:22" x14ac:dyDescent="0.2">
      <c r="A779" s="92" t="s">
        <v>847</v>
      </c>
      <c r="B779" s="93" t="s">
        <v>47</v>
      </c>
      <c r="C779" s="93" t="s">
        <v>394</v>
      </c>
      <c r="D779" s="93" t="s">
        <v>411</v>
      </c>
      <c r="E779" s="94" t="s">
        <v>423</v>
      </c>
      <c r="F779" s="93" t="s">
        <v>764</v>
      </c>
      <c r="G779" s="93" t="s">
        <v>304</v>
      </c>
      <c r="H779" s="93" t="s">
        <v>13</v>
      </c>
      <c r="I779" s="93" t="s">
        <v>255</v>
      </c>
      <c r="J779" s="93" t="s">
        <v>47</v>
      </c>
      <c r="K779" s="93"/>
      <c r="L779" s="95">
        <v>1.4</v>
      </c>
      <c r="M779" s="95">
        <f>L779*VLOOKUP(H779,dagsoorttabel1,2,FALSE)</f>
        <v>1.0980392156862744</v>
      </c>
      <c r="N779" s="96">
        <f>prodnorm74</f>
        <v>0</v>
      </c>
      <c r="O779" s="37">
        <f>dagwerk74</f>
        <v>0</v>
      </c>
      <c r="P779" s="93" t="s">
        <v>105</v>
      </c>
      <c r="Q779" s="24">
        <f>uurtarief74</f>
        <v>0</v>
      </c>
      <c r="R779" s="95" t="e">
        <f>IF(ISBLANK(N779),0,M779/ROUND(N779,4))</f>
        <v>#DIV/0!</v>
      </c>
      <c r="S779" s="95" t="e">
        <f>IF(ISBLANK(N779),0,R779*ROUND(O779,2))</f>
        <v>#DIV/0!</v>
      </c>
      <c r="T779" s="24" t="e">
        <f>ROUND(Q779,2)*R779</f>
        <v>#DIV/0!</v>
      </c>
      <c r="U779" s="95" t="e">
        <f>R779*dagenperjaar1</f>
        <v>#DIV/0!</v>
      </c>
      <c r="V779" s="25" t="e">
        <f>U779*ROUND(Q779,2)</f>
        <v>#DIV/0!</v>
      </c>
    </row>
    <row r="780" spans="1:22" x14ac:dyDescent="0.2">
      <c r="A780" s="92" t="s">
        <v>847</v>
      </c>
      <c r="B780" s="93" t="s">
        <v>47</v>
      </c>
      <c r="C780" s="93" t="s">
        <v>394</v>
      </c>
      <c r="D780" s="93" t="s">
        <v>413</v>
      </c>
      <c r="E780" s="94" t="s">
        <v>423</v>
      </c>
      <c r="F780" s="93" t="s">
        <v>764</v>
      </c>
      <c r="G780" s="93" t="s">
        <v>304</v>
      </c>
      <c r="H780" s="93" t="s">
        <v>13</v>
      </c>
      <c r="I780" s="93" t="s">
        <v>255</v>
      </c>
      <c r="J780" s="93" t="s">
        <v>47</v>
      </c>
      <c r="K780" s="93"/>
      <c r="L780" s="95">
        <v>1.3</v>
      </c>
      <c r="M780" s="95">
        <f>L780*VLOOKUP(H780,dagsoorttabel1,2,FALSE)</f>
        <v>1.0196078431372548</v>
      </c>
      <c r="N780" s="96">
        <f>prodnorm74</f>
        <v>0</v>
      </c>
      <c r="O780" s="37">
        <f>dagwerk74</f>
        <v>0</v>
      </c>
      <c r="P780" s="93" t="s">
        <v>105</v>
      </c>
      <c r="Q780" s="24">
        <f>uurtarief74</f>
        <v>0</v>
      </c>
      <c r="R780" s="95" t="e">
        <f>IF(ISBLANK(N780),0,M780/ROUND(N780,4))</f>
        <v>#DIV/0!</v>
      </c>
      <c r="S780" s="95" t="e">
        <f>IF(ISBLANK(N780),0,R780*ROUND(O780,2))</f>
        <v>#DIV/0!</v>
      </c>
      <c r="T780" s="24" t="e">
        <f>ROUND(Q780,2)*R780</f>
        <v>#DIV/0!</v>
      </c>
      <c r="U780" s="95" t="e">
        <f>R780*dagenperjaar1</f>
        <v>#DIV/0!</v>
      </c>
      <c r="V780" s="25" t="e">
        <f>U780*ROUND(Q780,2)</f>
        <v>#DIV/0!</v>
      </c>
    </row>
    <row r="781" spans="1:22" x14ac:dyDescent="0.2">
      <c r="A781" s="92" t="s">
        <v>847</v>
      </c>
      <c r="B781" s="93" t="s">
        <v>47</v>
      </c>
      <c r="C781" s="93" t="s">
        <v>394</v>
      </c>
      <c r="D781" s="93" t="s">
        <v>415</v>
      </c>
      <c r="E781" s="94" t="s">
        <v>447</v>
      </c>
      <c r="F781" s="93" t="s">
        <v>764</v>
      </c>
      <c r="G781" s="93" t="s">
        <v>284</v>
      </c>
      <c r="H781" s="93" t="s">
        <v>13</v>
      </c>
      <c r="I781" s="93" t="s">
        <v>255</v>
      </c>
      <c r="J781" s="93" t="s">
        <v>47</v>
      </c>
      <c r="K781" s="93"/>
      <c r="L781" s="95">
        <v>23.5</v>
      </c>
      <c r="M781" s="95">
        <f>L781*VLOOKUP(H781,dagsoorttabel1,2,FALSE)</f>
        <v>18.431372549019606</v>
      </c>
      <c r="N781" s="96">
        <f>prodnorm58</f>
        <v>0</v>
      </c>
      <c r="O781" s="37">
        <f>dagwerk58</f>
        <v>0</v>
      </c>
      <c r="P781" s="93" t="s">
        <v>105</v>
      </c>
      <c r="Q781" s="24">
        <f>uurtarief58</f>
        <v>0</v>
      </c>
      <c r="R781" s="95" t="e">
        <f>IF(ISBLANK(N781),0,M781/ROUND(N781,4))</f>
        <v>#DIV/0!</v>
      </c>
      <c r="S781" s="95" t="e">
        <f>IF(ISBLANK(N781),0,R781*ROUND(O781,2))</f>
        <v>#DIV/0!</v>
      </c>
      <c r="T781" s="24" t="e">
        <f>ROUND(Q781,2)*R781</f>
        <v>#DIV/0!</v>
      </c>
      <c r="U781" s="95" t="e">
        <f>R781*dagenperjaar1</f>
        <v>#DIV/0!</v>
      </c>
      <c r="V781" s="25" t="e">
        <f>U781*ROUND(Q781,2)</f>
        <v>#DIV/0!</v>
      </c>
    </row>
    <row r="782" spans="1:22" x14ac:dyDescent="0.2">
      <c r="A782" s="92" t="s">
        <v>847</v>
      </c>
      <c r="B782" s="93" t="s">
        <v>47</v>
      </c>
      <c r="C782" s="93" t="s">
        <v>394</v>
      </c>
      <c r="D782" s="93" t="s">
        <v>416</v>
      </c>
      <c r="E782" s="94" t="s">
        <v>810</v>
      </c>
      <c r="F782" s="93" t="s">
        <v>764</v>
      </c>
      <c r="G782" s="93" t="s">
        <v>304</v>
      </c>
      <c r="H782" s="93" t="s">
        <v>13</v>
      </c>
      <c r="I782" s="93" t="s">
        <v>255</v>
      </c>
      <c r="J782" s="93" t="s">
        <v>47</v>
      </c>
      <c r="K782" s="93"/>
      <c r="L782" s="95">
        <v>6.8</v>
      </c>
      <c r="M782" s="95">
        <f>L782*VLOOKUP(H782,dagsoorttabel1,2,FALSE)</f>
        <v>5.333333333333333</v>
      </c>
      <c r="N782" s="96">
        <f>prodnorm74</f>
        <v>0</v>
      </c>
      <c r="O782" s="37">
        <f>dagwerk74</f>
        <v>0</v>
      </c>
      <c r="P782" s="93" t="s">
        <v>105</v>
      </c>
      <c r="Q782" s="24">
        <f>uurtarief74</f>
        <v>0</v>
      </c>
      <c r="R782" s="95" t="e">
        <f>IF(ISBLANK(N782),0,M782/ROUND(N782,4))</f>
        <v>#DIV/0!</v>
      </c>
      <c r="S782" s="95" t="e">
        <f>IF(ISBLANK(N782),0,R782*ROUND(O782,2))</f>
        <v>#DIV/0!</v>
      </c>
      <c r="T782" s="24" t="e">
        <f>ROUND(Q782,2)*R782</f>
        <v>#DIV/0!</v>
      </c>
      <c r="U782" s="95" t="e">
        <f>R782*dagenperjaar1</f>
        <v>#DIV/0!</v>
      </c>
      <c r="V782" s="25" t="e">
        <f>U782*ROUND(Q782,2)</f>
        <v>#DIV/0!</v>
      </c>
    </row>
    <row r="783" spans="1:22" ht="25.2" x14ac:dyDescent="0.2">
      <c r="A783" s="92" t="s">
        <v>847</v>
      </c>
      <c r="B783" s="93" t="s">
        <v>47</v>
      </c>
      <c r="C783" s="93" t="s">
        <v>394</v>
      </c>
      <c r="D783" s="93" t="s">
        <v>418</v>
      </c>
      <c r="E783" s="94" t="s">
        <v>848</v>
      </c>
      <c r="F783" s="93" t="s">
        <v>808</v>
      </c>
      <c r="G783" s="93" t="s">
        <v>284</v>
      </c>
      <c r="H783" s="93" t="s">
        <v>13</v>
      </c>
      <c r="I783" s="93" t="s">
        <v>255</v>
      </c>
      <c r="J783" s="93" t="s">
        <v>47</v>
      </c>
      <c r="K783" s="93"/>
      <c r="L783" s="95">
        <v>9.3000000000000007</v>
      </c>
      <c r="M783" s="95">
        <f>L783*VLOOKUP(H783,dagsoorttabel1,2,FALSE)</f>
        <v>7.2941176470588243</v>
      </c>
      <c r="N783" s="96">
        <f>prodnorm58</f>
        <v>0</v>
      </c>
      <c r="O783" s="37">
        <f>dagwerk58</f>
        <v>0</v>
      </c>
      <c r="P783" s="93" t="s">
        <v>105</v>
      </c>
      <c r="Q783" s="24">
        <f>uurtarief58</f>
        <v>0</v>
      </c>
      <c r="R783" s="95" t="e">
        <f>IF(ISBLANK(N783),0,M783/ROUND(N783,4))</f>
        <v>#DIV/0!</v>
      </c>
      <c r="S783" s="95" t="e">
        <f>IF(ISBLANK(N783),0,R783*ROUND(O783,2))</f>
        <v>#DIV/0!</v>
      </c>
      <c r="T783" s="24" t="e">
        <f>ROUND(Q783,2)*R783</f>
        <v>#DIV/0!</v>
      </c>
      <c r="U783" s="95" t="e">
        <f>R783*dagenperjaar1</f>
        <v>#DIV/0!</v>
      </c>
      <c r="V783" s="25" t="e">
        <f>U783*ROUND(Q783,2)</f>
        <v>#DIV/0!</v>
      </c>
    </row>
    <row r="784" spans="1:22" ht="25.2" x14ac:dyDescent="0.2">
      <c r="A784" s="92" t="s">
        <v>847</v>
      </c>
      <c r="B784" s="93" t="s">
        <v>47</v>
      </c>
      <c r="C784" s="93" t="s">
        <v>394</v>
      </c>
      <c r="D784" s="93" t="s">
        <v>419</v>
      </c>
      <c r="E784" s="94" t="s">
        <v>848</v>
      </c>
      <c r="F784" s="93" t="s">
        <v>808</v>
      </c>
      <c r="G784" s="93" t="s">
        <v>284</v>
      </c>
      <c r="H784" s="93" t="s">
        <v>13</v>
      </c>
      <c r="I784" s="93" t="s">
        <v>255</v>
      </c>
      <c r="J784" s="93" t="s">
        <v>47</v>
      </c>
      <c r="K784" s="93"/>
      <c r="L784" s="95">
        <v>9.3000000000000007</v>
      </c>
      <c r="M784" s="95">
        <f>L784*VLOOKUP(H784,dagsoorttabel1,2,FALSE)</f>
        <v>7.2941176470588243</v>
      </c>
      <c r="N784" s="96">
        <f>prodnorm58</f>
        <v>0</v>
      </c>
      <c r="O784" s="37">
        <f>dagwerk58</f>
        <v>0</v>
      </c>
      <c r="P784" s="93" t="s">
        <v>105</v>
      </c>
      <c r="Q784" s="24">
        <f>uurtarief58</f>
        <v>0</v>
      </c>
      <c r="R784" s="95" t="e">
        <f>IF(ISBLANK(N784),0,M784/ROUND(N784,4))</f>
        <v>#DIV/0!</v>
      </c>
      <c r="S784" s="95" t="e">
        <f>IF(ISBLANK(N784),0,R784*ROUND(O784,2))</f>
        <v>#DIV/0!</v>
      </c>
      <c r="T784" s="24" t="e">
        <f>ROUND(Q784,2)*R784</f>
        <v>#DIV/0!</v>
      </c>
      <c r="U784" s="95" t="e">
        <f>R784*dagenperjaar1</f>
        <v>#DIV/0!</v>
      </c>
      <c r="V784" s="25" t="e">
        <f>U784*ROUND(Q784,2)</f>
        <v>#DIV/0!</v>
      </c>
    </row>
    <row r="785" spans="1:22" x14ac:dyDescent="0.2">
      <c r="A785" s="92" t="s">
        <v>847</v>
      </c>
      <c r="B785" s="93" t="s">
        <v>47</v>
      </c>
      <c r="C785" s="93" t="s">
        <v>394</v>
      </c>
      <c r="D785" s="93" t="s">
        <v>424</v>
      </c>
      <c r="E785" s="94" t="s">
        <v>447</v>
      </c>
      <c r="F785" s="93" t="s">
        <v>764</v>
      </c>
      <c r="G785" s="93" t="s">
        <v>284</v>
      </c>
      <c r="H785" s="93" t="s">
        <v>13</v>
      </c>
      <c r="I785" s="93" t="s">
        <v>255</v>
      </c>
      <c r="J785" s="93" t="s">
        <v>47</v>
      </c>
      <c r="K785" s="93"/>
      <c r="L785" s="95">
        <v>26.7</v>
      </c>
      <c r="M785" s="95">
        <f>L785*VLOOKUP(H785,dagsoorttabel1,2,FALSE)</f>
        <v>20.941176470588236</v>
      </c>
      <c r="N785" s="96">
        <f>prodnorm58</f>
        <v>0</v>
      </c>
      <c r="O785" s="37">
        <f>dagwerk58</f>
        <v>0</v>
      </c>
      <c r="P785" s="93" t="s">
        <v>105</v>
      </c>
      <c r="Q785" s="24">
        <f>uurtarief58</f>
        <v>0</v>
      </c>
      <c r="R785" s="95" t="e">
        <f>IF(ISBLANK(N785),0,M785/ROUND(N785,4))</f>
        <v>#DIV/0!</v>
      </c>
      <c r="S785" s="95" t="e">
        <f>IF(ISBLANK(N785),0,R785*ROUND(O785,2))</f>
        <v>#DIV/0!</v>
      </c>
      <c r="T785" s="24" t="e">
        <f>ROUND(Q785,2)*R785</f>
        <v>#DIV/0!</v>
      </c>
      <c r="U785" s="95" t="e">
        <f>R785*dagenperjaar1</f>
        <v>#DIV/0!</v>
      </c>
      <c r="V785" s="25" t="e">
        <f>U785*ROUND(Q785,2)</f>
        <v>#DIV/0!</v>
      </c>
    </row>
    <row r="786" spans="1:22" x14ac:dyDescent="0.2">
      <c r="A786" s="92" t="s">
        <v>847</v>
      </c>
      <c r="B786" s="93" t="s">
        <v>47</v>
      </c>
      <c r="C786" s="93" t="s">
        <v>394</v>
      </c>
      <c r="D786" s="93" t="s">
        <v>849</v>
      </c>
      <c r="E786" s="94" t="s">
        <v>407</v>
      </c>
      <c r="F786" s="93" t="s">
        <v>764</v>
      </c>
      <c r="G786" s="93" t="s">
        <v>266</v>
      </c>
      <c r="H786" s="93" t="s">
        <v>13</v>
      </c>
      <c r="I786" s="93" t="s">
        <v>255</v>
      </c>
      <c r="J786" s="93" t="s">
        <v>47</v>
      </c>
      <c r="K786" s="93"/>
      <c r="L786" s="95">
        <v>8</v>
      </c>
      <c r="M786" s="95">
        <f>L786*VLOOKUP(H786,dagsoorttabel1,2,FALSE)</f>
        <v>6.2745098039215685</v>
      </c>
      <c r="N786" s="96">
        <f>prodnorm40</f>
        <v>0</v>
      </c>
      <c r="O786" s="37">
        <f>dagwerk40</f>
        <v>0</v>
      </c>
      <c r="P786" s="93" t="s">
        <v>105</v>
      </c>
      <c r="Q786" s="24">
        <f>uurtarief40</f>
        <v>0</v>
      </c>
      <c r="R786" s="95" t="e">
        <f>IF(ISBLANK(N786),0,M786/ROUND(N786,4))</f>
        <v>#DIV/0!</v>
      </c>
      <c r="S786" s="95" t="e">
        <f>IF(ISBLANK(N786),0,R786*ROUND(O786,2))</f>
        <v>#DIV/0!</v>
      </c>
      <c r="T786" s="24" t="e">
        <f>ROUND(Q786,2)*R786</f>
        <v>#DIV/0!</v>
      </c>
      <c r="U786" s="95" t="e">
        <f>R786*dagenperjaar1</f>
        <v>#DIV/0!</v>
      </c>
      <c r="V786" s="25" t="e">
        <f>U786*ROUND(Q786,2)</f>
        <v>#DIV/0!</v>
      </c>
    </row>
    <row r="787" spans="1:22" x14ac:dyDescent="0.2">
      <c r="A787" s="92" t="s">
        <v>847</v>
      </c>
      <c r="B787" s="93" t="s">
        <v>47</v>
      </c>
      <c r="C787" s="93" t="s">
        <v>394</v>
      </c>
      <c r="D787" s="93" t="s">
        <v>446</v>
      </c>
      <c r="E787" s="94" t="s">
        <v>850</v>
      </c>
      <c r="F787" s="93" t="s">
        <v>764</v>
      </c>
      <c r="G787" s="93" t="s">
        <v>304</v>
      </c>
      <c r="H787" s="93" t="s">
        <v>13</v>
      </c>
      <c r="I787" s="93" t="s">
        <v>255</v>
      </c>
      <c r="J787" s="93" t="s">
        <v>47</v>
      </c>
      <c r="K787" s="93"/>
      <c r="L787" s="95">
        <v>1.3</v>
      </c>
      <c r="M787" s="95">
        <f>L787*VLOOKUP(H787,dagsoorttabel1,2,FALSE)</f>
        <v>1.0196078431372548</v>
      </c>
      <c r="N787" s="96">
        <f>prodnorm74</f>
        <v>0</v>
      </c>
      <c r="O787" s="37">
        <f>dagwerk74</f>
        <v>0</v>
      </c>
      <c r="P787" s="93" t="s">
        <v>105</v>
      </c>
      <c r="Q787" s="24">
        <f>uurtarief74</f>
        <v>0</v>
      </c>
      <c r="R787" s="95" t="e">
        <f>IF(ISBLANK(N787),0,M787/ROUND(N787,4))</f>
        <v>#DIV/0!</v>
      </c>
      <c r="S787" s="95" t="e">
        <f>IF(ISBLANK(N787),0,R787*ROUND(O787,2))</f>
        <v>#DIV/0!</v>
      </c>
      <c r="T787" s="24" t="e">
        <f>ROUND(Q787,2)*R787</f>
        <v>#DIV/0!</v>
      </c>
      <c r="U787" s="95" t="e">
        <f>R787*dagenperjaar1</f>
        <v>#DIV/0!</v>
      </c>
      <c r="V787" s="25" t="e">
        <f>U787*ROUND(Q787,2)</f>
        <v>#DIV/0!</v>
      </c>
    </row>
    <row r="788" spans="1:22" x14ac:dyDescent="0.2">
      <c r="A788" s="92" t="s">
        <v>847</v>
      </c>
      <c r="B788" s="93" t="s">
        <v>47</v>
      </c>
      <c r="C788" s="93" t="s">
        <v>394</v>
      </c>
      <c r="D788" s="93" t="s">
        <v>425</v>
      </c>
      <c r="E788" s="94" t="s">
        <v>850</v>
      </c>
      <c r="F788" s="93" t="s">
        <v>764</v>
      </c>
      <c r="G788" s="93" t="s">
        <v>304</v>
      </c>
      <c r="H788" s="93" t="s">
        <v>13</v>
      </c>
      <c r="I788" s="93" t="s">
        <v>255</v>
      </c>
      <c r="J788" s="93" t="s">
        <v>47</v>
      </c>
      <c r="K788" s="93"/>
      <c r="L788" s="95">
        <v>1.3</v>
      </c>
      <c r="M788" s="95">
        <f>L788*VLOOKUP(H788,dagsoorttabel1,2,FALSE)</f>
        <v>1.0196078431372548</v>
      </c>
      <c r="N788" s="96">
        <f>prodnorm74</f>
        <v>0</v>
      </c>
      <c r="O788" s="37">
        <f>dagwerk74</f>
        <v>0</v>
      </c>
      <c r="P788" s="93" t="s">
        <v>105</v>
      </c>
      <c r="Q788" s="24">
        <f>uurtarief74</f>
        <v>0</v>
      </c>
      <c r="R788" s="95" t="e">
        <f>IF(ISBLANK(N788),0,M788/ROUND(N788,4))</f>
        <v>#DIV/0!</v>
      </c>
      <c r="S788" s="95" t="e">
        <f>IF(ISBLANK(N788),0,R788*ROUND(O788,2))</f>
        <v>#DIV/0!</v>
      </c>
      <c r="T788" s="24" t="e">
        <f>ROUND(Q788,2)*R788</f>
        <v>#DIV/0!</v>
      </c>
      <c r="U788" s="95" t="e">
        <f>R788*dagenperjaar1</f>
        <v>#DIV/0!</v>
      </c>
      <c r="V788" s="25" t="e">
        <f>U788*ROUND(Q788,2)</f>
        <v>#DIV/0!</v>
      </c>
    </row>
    <row r="789" spans="1:22" x14ac:dyDescent="0.2">
      <c r="A789" s="92" t="s">
        <v>847</v>
      </c>
      <c r="B789" s="93" t="s">
        <v>47</v>
      </c>
      <c r="C789" s="93" t="s">
        <v>394</v>
      </c>
      <c r="D789" s="93" t="s">
        <v>426</v>
      </c>
      <c r="E789" s="94" t="s">
        <v>447</v>
      </c>
      <c r="F789" s="93" t="s">
        <v>764</v>
      </c>
      <c r="G789" s="93" t="s">
        <v>284</v>
      </c>
      <c r="H789" s="93" t="s">
        <v>13</v>
      </c>
      <c r="I789" s="93" t="s">
        <v>255</v>
      </c>
      <c r="J789" s="93" t="s">
        <v>47</v>
      </c>
      <c r="K789" s="93"/>
      <c r="L789" s="95">
        <v>26.7</v>
      </c>
      <c r="M789" s="95">
        <f>L789*VLOOKUP(H789,dagsoorttabel1,2,FALSE)</f>
        <v>20.941176470588236</v>
      </c>
      <c r="N789" s="96">
        <f>prodnorm58</f>
        <v>0</v>
      </c>
      <c r="O789" s="37">
        <f>dagwerk58</f>
        <v>0</v>
      </c>
      <c r="P789" s="93" t="s">
        <v>105</v>
      </c>
      <c r="Q789" s="24">
        <f>uurtarief58</f>
        <v>0</v>
      </c>
      <c r="R789" s="95" t="e">
        <f>IF(ISBLANK(N789),0,M789/ROUND(N789,4))</f>
        <v>#DIV/0!</v>
      </c>
      <c r="S789" s="95" t="e">
        <f>IF(ISBLANK(N789),0,R789*ROUND(O789,2))</f>
        <v>#DIV/0!</v>
      </c>
      <c r="T789" s="24" t="e">
        <f>ROUND(Q789,2)*R789</f>
        <v>#DIV/0!</v>
      </c>
      <c r="U789" s="95" t="e">
        <f>R789*dagenperjaar1</f>
        <v>#DIV/0!</v>
      </c>
      <c r="V789" s="25" t="e">
        <f>U789*ROUND(Q789,2)</f>
        <v>#DIV/0!</v>
      </c>
    </row>
    <row r="790" spans="1:22" x14ac:dyDescent="0.2">
      <c r="A790" s="92" t="s">
        <v>847</v>
      </c>
      <c r="B790" s="93" t="s">
        <v>47</v>
      </c>
      <c r="C790" s="93" t="s">
        <v>394</v>
      </c>
      <c r="D790" s="93" t="s">
        <v>851</v>
      </c>
      <c r="E790" s="94" t="s">
        <v>407</v>
      </c>
      <c r="F790" s="93" t="s">
        <v>764</v>
      </c>
      <c r="G790" s="93" t="s">
        <v>266</v>
      </c>
      <c r="H790" s="93" t="s">
        <v>13</v>
      </c>
      <c r="I790" s="93" t="s">
        <v>255</v>
      </c>
      <c r="J790" s="93" t="s">
        <v>47</v>
      </c>
      <c r="K790" s="93"/>
      <c r="L790" s="95">
        <v>8</v>
      </c>
      <c r="M790" s="95">
        <f>L790*VLOOKUP(H790,dagsoorttabel1,2,FALSE)</f>
        <v>6.2745098039215685</v>
      </c>
      <c r="N790" s="96">
        <f>prodnorm40</f>
        <v>0</v>
      </c>
      <c r="O790" s="37">
        <f>dagwerk40</f>
        <v>0</v>
      </c>
      <c r="P790" s="93" t="s">
        <v>105</v>
      </c>
      <c r="Q790" s="24">
        <f>uurtarief40</f>
        <v>0</v>
      </c>
      <c r="R790" s="95" t="e">
        <f>IF(ISBLANK(N790),0,M790/ROUND(N790,4))</f>
        <v>#DIV/0!</v>
      </c>
      <c r="S790" s="95" t="e">
        <f>IF(ISBLANK(N790),0,R790*ROUND(O790,2))</f>
        <v>#DIV/0!</v>
      </c>
      <c r="T790" s="24" t="e">
        <f>ROUND(Q790,2)*R790</f>
        <v>#DIV/0!</v>
      </c>
      <c r="U790" s="95" t="e">
        <f>R790*dagenperjaar1</f>
        <v>#DIV/0!</v>
      </c>
      <c r="V790" s="25" t="e">
        <f>U790*ROUND(Q790,2)</f>
        <v>#DIV/0!</v>
      </c>
    </row>
    <row r="791" spans="1:22" x14ac:dyDescent="0.2">
      <c r="A791" s="92" t="s">
        <v>847</v>
      </c>
      <c r="B791" s="93" t="s">
        <v>47</v>
      </c>
      <c r="C791" s="93" t="s">
        <v>394</v>
      </c>
      <c r="D791" s="93" t="s">
        <v>427</v>
      </c>
      <c r="E791" s="94" t="s">
        <v>430</v>
      </c>
      <c r="F791" s="93" t="s">
        <v>439</v>
      </c>
      <c r="G791" s="93" t="s">
        <v>280</v>
      </c>
      <c r="H791" s="93" t="s">
        <v>13</v>
      </c>
      <c r="I791" s="93" t="s">
        <v>255</v>
      </c>
      <c r="J791" s="93" t="s">
        <v>47</v>
      </c>
      <c r="K791" s="93"/>
      <c r="L791" s="95">
        <v>616.29999999999995</v>
      </c>
      <c r="M791" s="95">
        <f>L791*VLOOKUP(H791,dagsoorttabel1,2,FALSE)</f>
        <v>483.37254901960779</v>
      </c>
      <c r="N791" s="96">
        <f>prodnorm52</f>
        <v>0</v>
      </c>
      <c r="O791" s="37">
        <f>dagwerk52</f>
        <v>0</v>
      </c>
      <c r="P791" s="93" t="s">
        <v>105</v>
      </c>
      <c r="Q791" s="24">
        <f>uurtarief52</f>
        <v>0</v>
      </c>
      <c r="R791" s="95" t="e">
        <f>IF(ISBLANK(N791),0,M791/ROUND(N791,4))</f>
        <v>#DIV/0!</v>
      </c>
      <c r="S791" s="95" t="e">
        <f>IF(ISBLANK(N791),0,R791*ROUND(O791,2))</f>
        <v>#DIV/0!</v>
      </c>
      <c r="T791" s="24" t="e">
        <f>ROUND(Q791,2)*R791</f>
        <v>#DIV/0!</v>
      </c>
      <c r="U791" s="95" t="e">
        <f>R791*dagenperjaar1</f>
        <v>#DIV/0!</v>
      </c>
      <c r="V791" s="25" t="e">
        <f>U791*ROUND(Q791,2)</f>
        <v>#DIV/0!</v>
      </c>
    </row>
    <row r="792" spans="1:22" x14ac:dyDescent="0.2">
      <c r="A792" s="97" t="s">
        <v>847</v>
      </c>
      <c r="B792" s="98" t="s">
        <v>47</v>
      </c>
      <c r="C792" s="98" t="s">
        <v>394</v>
      </c>
      <c r="D792" s="98" t="s">
        <v>429</v>
      </c>
      <c r="E792" s="99" t="s">
        <v>852</v>
      </c>
      <c r="F792" s="98" t="s">
        <v>439</v>
      </c>
      <c r="G792" s="98" t="s">
        <v>280</v>
      </c>
      <c r="H792" s="98" t="s">
        <v>22</v>
      </c>
      <c r="I792" s="98" t="s">
        <v>255</v>
      </c>
      <c r="J792" s="98" t="s">
        <v>47</v>
      </c>
      <c r="K792" s="98"/>
      <c r="L792" s="100">
        <v>141.6</v>
      </c>
      <c r="M792" s="100">
        <f>L792*VLOOKUP(H792,dagsoorttabel1,2,FALSE)</f>
        <v>22.211764705882352</v>
      </c>
      <c r="N792" s="101">
        <f>prodnorm54</f>
        <v>0</v>
      </c>
      <c r="O792" s="102">
        <f>dagwerk54</f>
        <v>0</v>
      </c>
      <c r="P792" s="98" t="s">
        <v>105</v>
      </c>
      <c r="Q792" s="34">
        <f>uurtarief54</f>
        <v>0</v>
      </c>
      <c r="R792" s="100" t="e">
        <f>IF(ISBLANK(N792),0,M792/ROUND(N792,4))</f>
        <v>#DIV/0!</v>
      </c>
      <c r="S792" s="100" t="e">
        <f>IF(ISBLANK(N792),0,R792*ROUND(O792,2))</f>
        <v>#DIV/0!</v>
      </c>
      <c r="T792" s="34" t="e">
        <f>ROUND(Q792,2)*R792</f>
        <v>#DIV/0!</v>
      </c>
      <c r="U792" s="100" t="e">
        <f>R792*dagenperjaar1</f>
        <v>#DIV/0!</v>
      </c>
      <c r="V792" s="35" t="e">
        <f>U792*ROUND(Q792,2)</f>
        <v>#DIV/0!</v>
      </c>
    </row>
    <row r="793" spans="1:22" x14ac:dyDescent="0.2">
      <c r="A793" s="103" t="s">
        <v>436</v>
      </c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5" t="e">
        <f>IF(_xlfn.SINGLE(object20_urenjaar1)&gt;0,_xlfn.SINGLE(object20_prijsjaar1)/_xlfn.SINGLE(object20_urenjaar1),0)</f>
        <v>#DIV/0!</v>
      </c>
      <c r="R793" s="74" t="e">
        <f>SUM(R774:R792)</f>
        <v>#DIV/0!</v>
      </c>
      <c r="S793" s="74" t="e">
        <f>SUM(S774:S792)</f>
        <v>#DIV/0!</v>
      </c>
      <c r="T793" s="75" t="e">
        <f>SUM(T774:T792)</f>
        <v>#DIV/0!</v>
      </c>
      <c r="U793" s="74" t="e">
        <f>SUM(U774:U792)</f>
        <v>#DIV/0!</v>
      </c>
      <c r="V793" s="76" t="e">
        <f>SUM(V774:V792)</f>
        <v>#DIV/0!</v>
      </c>
    </row>
    <row r="794" spans="1:22" x14ac:dyDescent="0.2">
      <c r="A794" s="83" t="s">
        <v>853</v>
      </c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71"/>
    </row>
    <row r="795" spans="1:22" x14ac:dyDescent="0.2">
      <c r="A795" s="84" t="s">
        <v>854</v>
      </c>
      <c r="B795" s="85" t="s">
        <v>47</v>
      </c>
      <c r="C795" s="85" t="s">
        <v>394</v>
      </c>
      <c r="D795" s="85" t="s">
        <v>395</v>
      </c>
      <c r="E795" s="86" t="s">
        <v>430</v>
      </c>
      <c r="F795" s="85" t="s">
        <v>439</v>
      </c>
      <c r="G795" s="85" t="s">
        <v>280</v>
      </c>
      <c r="H795" s="85" t="s">
        <v>13</v>
      </c>
      <c r="I795" s="85" t="s">
        <v>255</v>
      </c>
      <c r="J795" s="85" t="s">
        <v>47</v>
      </c>
      <c r="K795" s="85"/>
      <c r="L795" s="87">
        <v>252</v>
      </c>
      <c r="M795" s="87">
        <f>L795*VLOOKUP(H795,dagsoorttabel1,2,FALSE)</f>
        <v>197.64705882352942</v>
      </c>
      <c r="N795" s="88">
        <f>prodnorm52</f>
        <v>0</v>
      </c>
      <c r="O795" s="89">
        <f>dagwerk52</f>
        <v>0</v>
      </c>
      <c r="P795" s="85" t="s">
        <v>105</v>
      </c>
      <c r="Q795" s="90">
        <f>uurtarief52</f>
        <v>0</v>
      </c>
      <c r="R795" s="87" t="e">
        <f>IF(ISBLANK(N795),0,M795/ROUND(N795,4))</f>
        <v>#DIV/0!</v>
      </c>
      <c r="S795" s="87" t="e">
        <f>IF(ISBLANK(N795),0,R795*ROUND(O795,2))</f>
        <v>#DIV/0!</v>
      </c>
      <c r="T795" s="90" t="e">
        <f>ROUND(Q795,2)*R795</f>
        <v>#DIV/0!</v>
      </c>
      <c r="U795" s="87" t="e">
        <f>R795*dagenperjaar1</f>
        <v>#DIV/0!</v>
      </c>
      <c r="V795" s="91" t="e">
        <f>U795*ROUND(Q795,2)</f>
        <v>#DIV/0!</v>
      </c>
    </row>
    <row r="796" spans="1:22" x14ac:dyDescent="0.2">
      <c r="A796" s="92" t="s">
        <v>854</v>
      </c>
      <c r="B796" s="93" t="s">
        <v>47</v>
      </c>
      <c r="C796" s="93" t="s">
        <v>394</v>
      </c>
      <c r="D796" s="93" t="s">
        <v>395</v>
      </c>
      <c r="E796" s="94" t="s">
        <v>430</v>
      </c>
      <c r="F796" s="93" t="s">
        <v>439</v>
      </c>
      <c r="G796" s="93" t="s">
        <v>350</v>
      </c>
      <c r="H796" s="93" t="s">
        <v>26</v>
      </c>
      <c r="I796" s="93" t="s">
        <v>352</v>
      </c>
      <c r="J796" s="93" t="s">
        <v>47</v>
      </c>
      <c r="K796" s="93"/>
      <c r="L796" s="95">
        <v>252</v>
      </c>
      <c r="M796" s="95">
        <f>L796*VLOOKUP(H796,dagsoorttabel1,2,FALSE)</f>
        <v>7.9058823529411768</v>
      </c>
      <c r="N796" s="96">
        <f>prodnorm117</f>
        <v>0</v>
      </c>
      <c r="O796" s="37">
        <f>dagwerk117</f>
        <v>0</v>
      </c>
      <c r="P796" s="93" t="s">
        <v>105</v>
      </c>
      <c r="Q796" s="24">
        <f>uurtarief117</f>
        <v>0</v>
      </c>
      <c r="R796" s="95" t="e">
        <f>IF(ISBLANK(N796),0,M796/ROUND(N796,4))</f>
        <v>#DIV/0!</v>
      </c>
      <c r="S796" s="95" t="e">
        <f>IF(ISBLANK(N796),0,R796*ROUND(O796,2))</f>
        <v>#DIV/0!</v>
      </c>
      <c r="T796" s="24" t="e">
        <f>ROUND(Q796,2)*R796</f>
        <v>#DIV/0!</v>
      </c>
      <c r="U796" s="95" t="e">
        <f>R796*dagenperjaar1</f>
        <v>#DIV/0!</v>
      </c>
      <c r="V796" s="25" t="e">
        <f>U796*ROUND(Q796,2)</f>
        <v>#DIV/0!</v>
      </c>
    </row>
    <row r="797" spans="1:22" x14ac:dyDescent="0.2">
      <c r="A797" s="92" t="s">
        <v>854</v>
      </c>
      <c r="B797" s="93" t="s">
        <v>47</v>
      </c>
      <c r="C797" s="93" t="s">
        <v>394</v>
      </c>
      <c r="D797" s="93" t="s">
        <v>398</v>
      </c>
      <c r="E797" s="94" t="s">
        <v>440</v>
      </c>
      <c r="F797" s="93" t="s">
        <v>439</v>
      </c>
      <c r="G797" s="93" t="s">
        <v>280</v>
      </c>
      <c r="H797" s="93" t="s">
        <v>22</v>
      </c>
      <c r="I797" s="93" t="s">
        <v>255</v>
      </c>
      <c r="J797" s="93" t="s">
        <v>47</v>
      </c>
      <c r="K797" s="93"/>
      <c r="L797" s="95">
        <v>41</v>
      </c>
      <c r="M797" s="95">
        <f>L797*VLOOKUP(H797,dagsoorttabel1,2,FALSE)</f>
        <v>6.4313725490196081</v>
      </c>
      <c r="N797" s="96">
        <f>prodnorm54</f>
        <v>0</v>
      </c>
      <c r="O797" s="37">
        <f>dagwerk54</f>
        <v>0</v>
      </c>
      <c r="P797" s="93" t="s">
        <v>105</v>
      </c>
      <c r="Q797" s="24">
        <f>uurtarief54</f>
        <v>0</v>
      </c>
      <c r="R797" s="95" t="e">
        <f>IF(ISBLANK(N797),0,M797/ROUND(N797,4))</f>
        <v>#DIV/0!</v>
      </c>
      <c r="S797" s="95" t="e">
        <f>IF(ISBLANK(N797),0,R797*ROUND(O797,2))</f>
        <v>#DIV/0!</v>
      </c>
      <c r="T797" s="24" t="e">
        <f>ROUND(Q797,2)*R797</f>
        <v>#DIV/0!</v>
      </c>
      <c r="U797" s="95" t="e">
        <f>R797*dagenperjaar1</f>
        <v>#DIV/0!</v>
      </c>
      <c r="V797" s="25" t="e">
        <f>U797*ROUND(Q797,2)</f>
        <v>#DIV/0!</v>
      </c>
    </row>
    <row r="798" spans="1:22" x14ac:dyDescent="0.2">
      <c r="A798" s="92" t="s">
        <v>854</v>
      </c>
      <c r="B798" s="93" t="s">
        <v>47</v>
      </c>
      <c r="C798" s="93" t="s">
        <v>394</v>
      </c>
      <c r="D798" s="93" t="s">
        <v>400</v>
      </c>
      <c r="E798" s="94" t="s">
        <v>443</v>
      </c>
      <c r="F798" s="93" t="s">
        <v>442</v>
      </c>
      <c r="G798" s="93" t="s">
        <v>304</v>
      </c>
      <c r="H798" s="93" t="s">
        <v>13</v>
      </c>
      <c r="I798" s="93" t="s">
        <v>255</v>
      </c>
      <c r="J798" s="93" t="s">
        <v>47</v>
      </c>
      <c r="K798" s="93"/>
      <c r="L798" s="95">
        <v>3</v>
      </c>
      <c r="M798" s="95">
        <f>L798*VLOOKUP(H798,dagsoorttabel1,2,FALSE)</f>
        <v>2.3529411764705883</v>
      </c>
      <c r="N798" s="96">
        <f>prodnorm74</f>
        <v>0</v>
      </c>
      <c r="O798" s="37">
        <f>dagwerk74</f>
        <v>0</v>
      </c>
      <c r="P798" s="93" t="s">
        <v>105</v>
      </c>
      <c r="Q798" s="24">
        <f>uurtarief74</f>
        <v>0</v>
      </c>
      <c r="R798" s="95" t="e">
        <f>IF(ISBLANK(N798),0,M798/ROUND(N798,4))</f>
        <v>#DIV/0!</v>
      </c>
      <c r="S798" s="95" t="e">
        <f>IF(ISBLANK(N798),0,R798*ROUND(O798,2))</f>
        <v>#DIV/0!</v>
      </c>
      <c r="T798" s="24" t="e">
        <f>ROUND(Q798,2)*R798</f>
        <v>#DIV/0!</v>
      </c>
      <c r="U798" s="95" t="e">
        <f>R798*dagenperjaar1</f>
        <v>#DIV/0!</v>
      </c>
      <c r="V798" s="25" t="e">
        <f>U798*ROUND(Q798,2)</f>
        <v>#DIV/0!</v>
      </c>
    </row>
    <row r="799" spans="1:22" x14ac:dyDescent="0.2">
      <c r="A799" s="92" t="s">
        <v>854</v>
      </c>
      <c r="B799" s="93" t="s">
        <v>47</v>
      </c>
      <c r="C799" s="93" t="s">
        <v>394</v>
      </c>
      <c r="D799" s="93" t="s">
        <v>402</v>
      </c>
      <c r="E799" s="94" t="s">
        <v>443</v>
      </c>
      <c r="F799" s="93" t="s">
        <v>442</v>
      </c>
      <c r="G799" s="93" t="s">
        <v>304</v>
      </c>
      <c r="H799" s="93" t="s">
        <v>13</v>
      </c>
      <c r="I799" s="93" t="s">
        <v>255</v>
      </c>
      <c r="J799" s="93" t="s">
        <v>47</v>
      </c>
      <c r="K799" s="93"/>
      <c r="L799" s="95">
        <v>3</v>
      </c>
      <c r="M799" s="95">
        <f>L799*VLOOKUP(H799,dagsoorttabel1,2,FALSE)</f>
        <v>2.3529411764705883</v>
      </c>
      <c r="N799" s="96">
        <f>prodnorm74</f>
        <v>0</v>
      </c>
      <c r="O799" s="37">
        <f>dagwerk74</f>
        <v>0</v>
      </c>
      <c r="P799" s="93" t="s">
        <v>105</v>
      </c>
      <c r="Q799" s="24">
        <f>uurtarief74</f>
        <v>0</v>
      </c>
      <c r="R799" s="95" t="e">
        <f>IF(ISBLANK(N799),0,M799/ROUND(N799,4))</f>
        <v>#DIV/0!</v>
      </c>
      <c r="S799" s="95" t="e">
        <f>IF(ISBLANK(N799),0,R799*ROUND(O799,2))</f>
        <v>#DIV/0!</v>
      </c>
      <c r="T799" s="24" t="e">
        <f>ROUND(Q799,2)*R799</f>
        <v>#DIV/0!</v>
      </c>
      <c r="U799" s="95" t="e">
        <f>R799*dagenperjaar1</f>
        <v>#DIV/0!</v>
      </c>
      <c r="V799" s="25" t="e">
        <f>U799*ROUND(Q799,2)</f>
        <v>#DIV/0!</v>
      </c>
    </row>
    <row r="800" spans="1:22" x14ac:dyDescent="0.2">
      <c r="A800" s="92" t="s">
        <v>854</v>
      </c>
      <c r="B800" s="93" t="s">
        <v>47</v>
      </c>
      <c r="C800" s="93" t="s">
        <v>394</v>
      </c>
      <c r="D800" s="93" t="s">
        <v>411</v>
      </c>
      <c r="E800" s="94" t="s">
        <v>447</v>
      </c>
      <c r="F800" s="93" t="s">
        <v>472</v>
      </c>
      <c r="G800" s="93" t="s">
        <v>284</v>
      </c>
      <c r="H800" s="93" t="s">
        <v>13</v>
      </c>
      <c r="I800" s="93" t="s">
        <v>255</v>
      </c>
      <c r="J800" s="93" t="s">
        <v>47</v>
      </c>
      <c r="K800" s="93"/>
      <c r="L800" s="95">
        <v>33.5</v>
      </c>
      <c r="M800" s="95">
        <f>L800*VLOOKUP(H800,dagsoorttabel1,2,FALSE)</f>
        <v>26.274509803921568</v>
      </c>
      <c r="N800" s="96">
        <f>prodnorm58</f>
        <v>0</v>
      </c>
      <c r="O800" s="37">
        <f>dagwerk58</f>
        <v>0</v>
      </c>
      <c r="P800" s="93" t="s">
        <v>105</v>
      </c>
      <c r="Q800" s="24">
        <f>uurtarief58</f>
        <v>0</v>
      </c>
      <c r="R800" s="95" t="e">
        <f>IF(ISBLANK(N800),0,M800/ROUND(N800,4))</f>
        <v>#DIV/0!</v>
      </c>
      <c r="S800" s="95" t="e">
        <f>IF(ISBLANK(N800),0,R800*ROUND(O800,2))</f>
        <v>#DIV/0!</v>
      </c>
      <c r="T800" s="24" t="e">
        <f>ROUND(Q800,2)*R800</f>
        <v>#DIV/0!</v>
      </c>
      <c r="U800" s="95" t="e">
        <f>R800*dagenperjaar1</f>
        <v>#DIV/0!</v>
      </c>
      <c r="V800" s="25" t="e">
        <f>U800*ROUND(Q800,2)</f>
        <v>#DIV/0!</v>
      </c>
    </row>
    <row r="801" spans="1:22" x14ac:dyDescent="0.2">
      <c r="A801" s="92" t="s">
        <v>854</v>
      </c>
      <c r="B801" s="93" t="s">
        <v>47</v>
      </c>
      <c r="C801" s="93" t="s">
        <v>394</v>
      </c>
      <c r="D801" s="93" t="s">
        <v>413</v>
      </c>
      <c r="E801" s="94" t="s">
        <v>447</v>
      </c>
      <c r="F801" s="93" t="s">
        <v>472</v>
      </c>
      <c r="G801" s="93" t="s">
        <v>284</v>
      </c>
      <c r="H801" s="93" t="s">
        <v>13</v>
      </c>
      <c r="I801" s="93" t="s">
        <v>255</v>
      </c>
      <c r="J801" s="93" t="s">
        <v>47</v>
      </c>
      <c r="K801" s="93"/>
      <c r="L801" s="95">
        <v>32.5</v>
      </c>
      <c r="M801" s="95">
        <f>L801*VLOOKUP(H801,dagsoorttabel1,2,FALSE)</f>
        <v>25.490196078431371</v>
      </c>
      <c r="N801" s="96">
        <f>prodnorm58</f>
        <v>0</v>
      </c>
      <c r="O801" s="37">
        <f>dagwerk58</f>
        <v>0</v>
      </c>
      <c r="P801" s="93" t="s">
        <v>105</v>
      </c>
      <c r="Q801" s="24">
        <f>uurtarief58</f>
        <v>0</v>
      </c>
      <c r="R801" s="95" t="e">
        <f>IF(ISBLANK(N801),0,M801/ROUND(N801,4))</f>
        <v>#DIV/0!</v>
      </c>
      <c r="S801" s="95" t="e">
        <f>IF(ISBLANK(N801),0,R801*ROUND(O801,2))</f>
        <v>#DIV/0!</v>
      </c>
      <c r="T801" s="24" t="e">
        <f>ROUND(Q801,2)*R801</f>
        <v>#DIV/0!</v>
      </c>
      <c r="U801" s="95" t="e">
        <f>R801*dagenperjaar1</f>
        <v>#DIV/0!</v>
      </c>
      <c r="V801" s="25" t="e">
        <f>U801*ROUND(Q801,2)</f>
        <v>#DIV/0!</v>
      </c>
    </row>
    <row r="802" spans="1:22" x14ac:dyDescent="0.2">
      <c r="A802" s="92" t="s">
        <v>854</v>
      </c>
      <c r="B802" s="93" t="s">
        <v>47</v>
      </c>
      <c r="C802" s="93" t="s">
        <v>394</v>
      </c>
      <c r="D802" s="93" t="s">
        <v>416</v>
      </c>
      <c r="E802" s="94" t="s">
        <v>473</v>
      </c>
      <c r="F802" s="93" t="s">
        <v>472</v>
      </c>
      <c r="G802" s="93" t="s">
        <v>284</v>
      </c>
      <c r="H802" s="93" t="s">
        <v>13</v>
      </c>
      <c r="I802" s="93" t="s">
        <v>255</v>
      </c>
      <c r="J802" s="93" t="s">
        <v>47</v>
      </c>
      <c r="K802" s="93"/>
      <c r="L802" s="95">
        <v>3.3</v>
      </c>
      <c r="M802" s="95">
        <f>L802*VLOOKUP(H802,dagsoorttabel1,2,FALSE)</f>
        <v>2.5882352941176467</v>
      </c>
      <c r="N802" s="96">
        <f>prodnorm58</f>
        <v>0</v>
      </c>
      <c r="O802" s="37">
        <f>dagwerk58</f>
        <v>0</v>
      </c>
      <c r="P802" s="93" t="s">
        <v>105</v>
      </c>
      <c r="Q802" s="24">
        <f>uurtarief58</f>
        <v>0</v>
      </c>
      <c r="R802" s="95" t="e">
        <f>IF(ISBLANK(N802),0,M802/ROUND(N802,4))</f>
        <v>#DIV/0!</v>
      </c>
      <c r="S802" s="95" t="e">
        <f>IF(ISBLANK(N802),0,R802*ROUND(O802,2))</f>
        <v>#DIV/0!</v>
      </c>
      <c r="T802" s="24" t="e">
        <f>ROUND(Q802,2)*R802</f>
        <v>#DIV/0!</v>
      </c>
      <c r="U802" s="95" t="e">
        <f>R802*dagenperjaar1</f>
        <v>#DIV/0!</v>
      </c>
      <c r="V802" s="25" t="e">
        <f>U802*ROUND(Q802,2)</f>
        <v>#DIV/0!</v>
      </c>
    </row>
    <row r="803" spans="1:22" x14ac:dyDescent="0.2">
      <c r="A803" s="92" t="s">
        <v>854</v>
      </c>
      <c r="B803" s="93" t="s">
        <v>47</v>
      </c>
      <c r="C803" s="93" t="s">
        <v>394</v>
      </c>
      <c r="D803" s="93" t="s">
        <v>474</v>
      </c>
      <c r="E803" s="94" t="s">
        <v>396</v>
      </c>
      <c r="F803" s="93" t="s">
        <v>472</v>
      </c>
      <c r="G803" s="93" t="s">
        <v>270</v>
      </c>
      <c r="H803" s="93" t="s">
        <v>13</v>
      </c>
      <c r="I803" s="93" t="s">
        <v>255</v>
      </c>
      <c r="J803" s="93" t="s">
        <v>47</v>
      </c>
      <c r="K803" s="93"/>
      <c r="L803" s="95">
        <v>9</v>
      </c>
      <c r="M803" s="95">
        <f>L803*VLOOKUP(H803,dagsoorttabel1,2,FALSE)</f>
        <v>7.0588235294117645</v>
      </c>
      <c r="N803" s="96">
        <f>prodnorm43</f>
        <v>0</v>
      </c>
      <c r="O803" s="37">
        <f>dagwerk43</f>
        <v>0</v>
      </c>
      <c r="P803" s="93" t="s">
        <v>105</v>
      </c>
      <c r="Q803" s="24">
        <f>uurtarief43</f>
        <v>0</v>
      </c>
      <c r="R803" s="95" t="e">
        <f>IF(ISBLANK(N803),0,M803/ROUND(N803,4))</f>
        <v>#DIV/0!</v>
      </c>
      <c r="S803" s="95" t="e">
        <f>IF(ISBLANK(N803),0,R803*ROUND(O803,2))</f>
        <v>#DIV/0!</v>
      </c>
      <c r="T803" s="24" t="e">
        <f>ROUND(Q803,2)*R803</f>
        <v>#DIV/0!</v>
      </c>
      <c r="U803" s="95" t="e">
        <f>R803*dagenperjaar1</f>
        <v>#DIV/0!</v>
      </c>
      <c r="V803" s="25" t="e">
        <f>U803*ROUND(Q803,2)</f>
        <v>#DIV/0!</v>
      </c>
    </row>
    <row r="804" spans="1:22" x14ac:dyDescent="0.2">
      <c r="A804" s="97" t="s">
        <v>854</v>
      </c>
      <c r="B804" s="98" t="s">
        <v>47</v>
      </c>
      <c r="C804" s="98" t="s">
        <v>394</v>
      </c>
      <c r="D804" s="98" t="s">
        <v>475</v>
      </c>
      <c r="E804" s="99" t="s">
        <v>396</v>
      </c>
      <c r="F804" s="98" t="s">
        <v>476</v>
      </c>
      <c r="G804" s="98" t="s">
        <v>274</v>
      </c>
      <c r="H804" s="98" t="s">
        <v>13</v>
      </c>
      <c r="I804" s="98" t="s">
        <v>255</v>
      </c>
      <c r="J804" s="98" t="s">
        <v>47</v>
      </c>
      <c r="K804" s="98"/>
      <c r="L804" s="100">
        <v>9</v>
      </c>
      <c r="M804" s="100">
        <f>L804*VLOOKUP(H804,dagsoorttabel1,2,FALSE)</f>
        <v>7.0588235294117645</v>
      </c>
      <c r="N804" s="101">
        <f>prodnorm47</f>
        <v>0</v>
      </c>
      <c r="O804" s="102">
        <f>dagwerk47</f>
        <v>0</v>
      </c>
      <c r="P804" s="98" t="s">
        <v>105</v>
      </c>
      <c r="Q804" s="34">
        <f>uurtarief47</f>
        <v>0</v>
      </c>
      <c r="R804" s="100" t="e">
        <f>IF(ISBLANK(N804),0,M804/ROUND(N804,4))</f>
        <v>#DIV/0!</v>
      </c>
      <c r="S804" s="100" t="e">
        <f>IF(ISBLANK(N804),0,R804*ROUND(O804,2))</f>
        <v>#DIV/0!</v>
      </c>
      <c r="T804" s="34" t="e">
        <f>ROUND(Q804,2)*R804</f>
        <v>#DIV/0!</v>
      </c>
      <c r="U804" s="100" t="e">
        <f>R804*dagenperjaar1</f>
        <v>#DIV/0!</v>
      </c>
      <c r="V804" s="35" t="e">
        <f>U804*ROUND(Q804,2)</f>
        <v>#DIV/0!</v>
      </c>
    </row>
    <row r="805" spans="1:22" x14ac:dyDescent="0.2">
      <c r="A805" s="103" t="s">
        <v>436</v>
      </c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5" t="e">
        <f>IF(_xlfn.SINGLE(object21_urenjaar1)&gt;0,_xlfn.SINGLE(object21_prijsjaar1)/_xlfn.SINGLE(object21_urenjaar1),0)</f>
        <v>#DIV/0!</v>
      </c>
      <c r="R805" s="74" t="e">
        <f>SUM(R795:R804)</f>
        <v>#DIV/0!</v>
      </c>
      <c r="S805" s="74" t="e">
        <f>SUM(S795:S804)</f>
        <v>#DIV/0!</v>
      </c>
      <c r="T805" s="75" t="e">
        <f>SUM(T795:T804)</f>
        <v>#DIV/0!</v>
      </c>
      <c r="U805" s="74" t="e">
        <f>SUM(U795:U804)</f>
        <v>#DIV/0!</v>
      </c>
      <c r="V805" s="76" t="e">
        <f>SUM(V795:V804)</f>
        <v>#DIV/0!</v>
      </c>
    </row>
    <row r="806" spans="1:22" x14ac:dyDescent="0.2">
      <c r="A806" s="83" t="s">
        <v>855</v>
      </c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71"/>
    </row>
    <row r="807" spans="1:22" x14ac:dyDescent="0.2">
      <c r="A807" s="84" t="s">
        <v>856</v>
      </c>
      <c r="B807" s="85" t="s">
        <v>47</v>
      </c>
      <c r="C807" s="85" t="s">
        <v>394</v>
      </c>
      <c r="D807" s="85" t="s">
        <v>415</v>
      </c>
      <c r="E807" s="86" t="s">
        <v>430</v>
      </c>
      <c r="F807" s="85" t="s">
        <v>857</v>
      </c>
      <c r="G807" s="85" t="s">
        <v>280</v>
      </c>
      <c r="H807" s="85" t="s">
        <v>11</v>
      </c>
      <c r="I807" s="85" t="s">
        <v>255</v>
      </c>
      <c r="J807" s="85" t="s">
        <v>47</v>
      </c>
      <c r="K807" s="85"/>
      <c r="L807" s="87">
        <v>1330</v>
      </c>
      <c r="M807" s="87">
        <f>L807*VLOOKUP(H807,dagsoorttabel1,2,FALSE)</f>
        <v>1199.607843137255</v>
      </c>
      <c r="N807" s="88">
        <f>prodnorm53</f>
        <v>0</v>
      </c>
      <c r="O807" s="89">
        <f>dagwerk53</f>
        <v>0</v>
      </c>
      <c r="P807" s="85" t="s">
        <v>105</v>
      </c>
      <c r="Q807" s="90">
        <f>uurtarief53</f>
        <v>0</v>
      </c>
      <c r="R807" s="87" t="e">
        <f>IF(ISBLANK(N807),0,M807/ROUND(N807,4))</f>
        <v>#DIV/0!</v>
      </c>
      <c r="S807" s="87" t="e">
        <f>IF(ISBLANK(N807),0,R807*ROUND(O807,2))</f>
        <v>#DIV/0!</v>
      </c>
      <c r="T807" s="90" t="e">
        <f>ROUND(Q807,2)*R807</f>
        <v>#DIV/0!</v>
      </c>
      <c r="U807" s="87" t="e">
        <f>R807*dagenperjaar1</f>
        <v>#DIV/0!</v>
      </c>
      <c r="V807" s="91" t="e">
        <f>U807*ROUND(Q807,2)</f>
        <v>#DIV/0!</v>
      </c>
    </row>
    <row r="808" spans="1:22" x14ac:dyDescent="0.2">
      <c r="A808" s="92" t="s">
        <v>856</v>
      </c>
      <c r="B808" s="93" t="s">
        <v>47</v>
      </c>
      <c r="C808" s="93" t="s">
        <v>394</v>
      </c>
      <c r="D808" s="93" t="s">
        <v>415</v>
      </c>
      <c r="E808" s="94" t="s">
        <v>430</v>
      </c>
      <c r="F808" s="93" t="s">
        <v>857</v>
      </c>
      <c r="G808" s="93" t="s">
        <v>350</v>
      </c>
      <c r="H808" s="93" t="s">
        <v>26</v>
      </c>
      <c r="I808" s="93" t="s">
        <v>255</v>
      </c>
      <c r="J808" s="93" t="s">
        <v>47</v>
      </c>
      <c r="K808" s="93"/>
      <c r="L808" s="95">
        <v>1330</v>
      </c>
      <c r="M808" s="95">
        <f>L808*VLOOKUP(H808,dagsoorttabel1,2,FALSE)</f>
        <v>41.725490196078432</v>
      </c>
      <c r="N808" s="96">
        <f>prodnorm115</f>
        <v>0</v>
      </c>
      <c r="O808" s="37">
        <f>dagwerk115</f>
        <v>0</v>
      </c>
      <c r="P808" s="93" t="s">
        <v>105</v>
      </c>
      <c r="Q808" s="24">
        <f>uurtarief115</f>
        <v>0</v>
      </c>
      <c r="R808" s="95" t="e">
        <f>IF(ISBLANK(N808),0,M808/ROUND(N808,4))</f>
        <v>#DIV/0!</v>
      </c>
      <c r="S808" s="95" t="e">
        <f>IF(ISBLANK(N808),0,R808*ROUND(O808,2))</f>
        <v>#DIV/0!</v>
      </c>
      <c r="T808" s="24" t="e">
        <f>ROUND(Q808,2)*R808</f>
        <v>#DIV/0!</v>
      </c>
      <c r="U808" s="95" t="e">
        <f>R808*dagenperjaar1</f>
        <v>#DIV/0!</v>
      </c>
      <c r="V808" s="25" t="e">
        <f>U808*ROUND(Q808,2)</f>
        <v>#DIV/0!</v>
      </c>
    </row>
    <row r="809" spans="1:22" x14ac:dyDescent="0.2">
      <c r="A809" s="92" t="s">
        <v>856</v>
      </c>
      <c r="B809" s="93" t="s">
        <v>47</v>
      </c>
      <c r="C809" s="93" t="s">
        <v>394</v>
      </c>
      <c r="D809" s="93" t="s">
        <v>416</v>
      </c>
      <c r="E809" s="94" t="s">
        <v>858</v>
      </c>
      <c r="F809" s="93" t="s">
        <v>859</v>
      </c>
      <c r="G809" s="93" t="s">
        <v>284</v>
      </c>
      <c r="H809" s="93" t="s">
        <v>13</v>
      </c>
      <c r="I809" s="93" t="s">
        <v>255</v>
      </c>
      <c r="J809" s="93" t="s">
        <v>47</v>
      </c>
      <c r="K809" s="93"/>
      <c r="L809" s="95">
        <v>22.75</v>
      </c>
      <c r="M809" s="95">
        <f>L809*VLOOKUP(H809,dagsoorttabel1,2,FALSE)</f>
        <v>17.843137254901961</v>
      </c>
      <c r="N809" s="96">
        <f>prodnorm58</f>
        <v>0</v>
      </c>
      <c r="O809" s="37">
        <f>dagwerk58</f>
        <v>0</v>
      </c>
      <c r="P809" s="93" t="s">
        <v>105</v>
      </c>
      <c r="Q809" s="24">
        <f>uurtarief58</f>
        <v>0</v>
      </c>
      <c r="R809" s="95" t="e">
        <f>IF(ISBLANK(N809),0,M809/ROUND(N809,4))</f>
        <v>#DIV/0!</v>
      </c>
      <c r="S809" s="95" t="e">
        <f>IF(ISBLANK(N809),0,R809*ROUND(O809,2))</f>
        <v>#DIV/0!</v>
      </c>
      <c r="T809" s="24" t="e">
        <f>ROUND(Q809,2)*R809</f>
        <v>#DIV/0!</v>
      </c>
      <c r="U809" s="95" t="e">
        <f>R809*dagenperjaar1</f>
        <v>#DIV/0!</v>
      </c>
      <c r="V809" s="25" t="e">
        <f>U809*ROUND(Q809,2)</f>
        <v>#DIV/0!</v>
      </c>
    </row>
    <row r="810" spans="1:22" x14ac:dyDescent="0.2">
      <c r="A810" s="92" t="s">
        <v>856</v>
      </c>
      <c r="B810" s="93" t="s">
        <v>47</v>
      </c>
      <c r="C810" s="93" t="s">
        <v>394</v>
      </c>
      <c r="D810" s="93" t="s">
        <v>418</v>
      </c>
      <c r="E810" s="94" t="s">
        <v>860</v>
      </c>
      <c r="F810" s="93" t="s">
        <v>859</v>
      </c>
      <c r="G810" s="93" t="s">
        <v>266</v>
      </c>
      <c r="H810" s="93" t="s">
        <v>13</v>
      </c>
      <c r="I810" s="93" t="s">
        <v>255</v>
      </c>
      <c r="J810" s="93" t="s">
        <v>47</v>
      </c>
      <c r="K810" s="93"/>
      <c r="L810" s="95">
        <v>6</v>
      </c>
      <c r="M810" s="95">
        <f>L810*VLOOKUP(H810,dagsoorttabel1,2,FALSE)</f>
        <v>4.7058823529411766</v>
      </c>
      <c r="N810" s="96">
        <f>prodnorm40</f>
        <v>0</v>
      </c>
      <c r="O810" s="37">
        <f>dagwerk40</f>
        <v>0</v>
      </c>
      <c r="P810" s="93" t="s">
        <v>105</v>
      </c>
      <c r="Q810" s="24">
        <f>uurtarief40</f>
        <v>0</v>
      </c>
      <c r="R810" s="95" t="e">
        <f>IF(ISBLANK(N810),0,M810/ROUND(N810,4))</f>
        <v>#DIV/0!</v>
      </c>
      <c r="S810" s="95" t="e">
        <f>IF(ISBLANK(N810),0,R810*ROUND(O810,2))</f>
        <v>#DIV/0!</v>
      </c>
      <c r="T810" s="24" t="e">
        <f>ROUND(Q810,2)*R810</f>
        <v>#DIV/0!</v>
      </c>
      <c r="U810" s="95" t="e">
        <f>R810*dagenperjaar1</f>
        <v>#DIV/0!</v>
      </c>
      <c r="V810" s="25" t="e">
        <f>U810*ROUND(Q810,2)</f>
        <v>#DIV/0!</v>
      </c>
    </row>
    <row r="811" spans="1:22" x14ac:dyDescent="0.2">
      <c r="A811" s="92" t="s">
        <v>856</v>
      </c>
      <c r="B811" s="93" t="s">
        <v>47</v>
      </c>
      <c r="C811" s="93" t="s">
        <v>394</v>
      </c>
      <c r="D811" s="93" t="s">
        <v>419</v>
      </c>
      <c r="E811" s="94" t="s">
        <v>861</v>
      </c>
      <c r="F811" s="93" t="s">
        <v>859</v>
      </c>
      <c r="G811" s="93" t="s">
        <v>284</v>
      </c>
      <c r="H811" s="93" t="s">
        <v>13</v>
      </c>
      <c r="I811" s="93" t="s">
        <v>255</v>
      </c>
      <c r="J811" s="93" t="s">
        <v>47</v>
      </c>
      <c r="K811" s="93"/>
      <c r="L811" s="95">
        <v>19.5</v>
      </c>
      <c r="M811" s="95">
        <f>L811*VLOOKUP(H811,dagsoorttabel1,2,FALSE)</f>
        <v>15.294117647058822</v>
      </c>
      <c r="N811" s="96">
        <f>prodnorm58</f>
        <v>0</v>
      </c>
      <c r="O811" s="37">
        <f>dagwerk58</f>
        <v>0</v>
      </c>
      <c r="P811" s="93" t="s">
        <v>105</v>
      </c>
      <c r="Q811" s="24">
        <f>uurtarief58</f>
        <v>0</v>
      </c>
      <c r="R811" s="95" t="e">
        <f>IF(ISBLANK(N811),0,M811/ROUND(N811,4))</f>
        <v>#DIV/0!</v>
      </c>
      <c r="S811" s="95" t="e">
        <f>IF(ISBLANK(N811),0,R811*ROUND(O811,2))</f>
        <v>#DIV/0!</v>
      </c>
      <c r="T811" s="24" t="e">
        <f>ROUND(Q811,2)*R811</f>
        <v>#DIV/0!</v>
      </c>
      <c r="U811" s="95" t="e">
        <f>R811*dagenperjaar1</f>
        <v>#DIV/0!</v>
      </c>
      <c r="V811" s="25" t="e">
        <f>U811*ROUND(Q811,2)</f>
        <v>#DIV/0!</v>
      </c>
    </row>
    <row r="812" spans="1:22" x14ac:dyDescent="0.2">
      <c r="A812" s="92" t="s">
        <v>856</v>
      </c>
      <c r="B812" s="93" t="s">
        <v>47</v>
      </c>
      <c r="C812" s="93" t="s">
        <v>394</v>
      </c>
      <c r="D812" s="93" t="s">
        <v>420</v>
      </c>
      <c r="E812" s="94" t="s">
        <v>862</v>
      </c>
      <c r="F812" s="93" t="s">
        <v>859</v>
      </c>
      <c r="G812" s="93" t="s">
        <v>304</v>
      </c>
      <c r="H812" s="93" t="s">
        <v>13</v>
      </c>
      <c r="I812" s="93" t="s">
        <v>255</v>
      </c>
      <c r="J812" s="93" t="s">
        <v>47</v>
      </c>
      <c r="K812" s="93"/>
      <c r="L812" s="95">
        <v>1.1000000000000001</v>
      </c>
      <c r="M812" s="95">
        <f>L812*VLOOKUP(H812,dagsoorttabel1,2,FALSE)</f>
        <v>0.86274509803921573</v>
      </c>
      <c r="N812" s="96">
        <f>prodnorm74</f>
        <v>0</v>
      </c>
      <c r="O812" s="37">
        <f>dagwerk74</f>
        <v>0</v>
      </c>
      <c r="P812" s="93" t="s">
        <v>105</v>
      </c>
      <c r="Q812" s="24">
        <f>uurtarief74</f>
        <v>0</v>
      </c>
      <c r="R812" s="95" t="e">
        <f>IF(ISBLANK(N812),0,M812/ROUND(N812,4))</f>
        <v>#DIV/0!</v>
      </c>
      <c r="S812" s="95" t="e">
        <f>IF(ISBLANK(N812),0,R812*ROUND(O812,2))</f>
        <v>#DIV/0!</v>
      </c>
      <c r="T812" s="24" t="e">
        <f>ROUND(Q812,2)*R812</f>
        <v>#DIV/0!</v>
      </c>
      <c r="U812" s="95" t="e">
        <f>R812*dagenperjaar1</f>
        <v>#DIV/0!</v>
      </c>
      <c r="V812" s="25" t="e">
        <f>U812*ROUND(Q812,2)</f>
        <v>#DIV/0!</v>
      </c>
    </row>
    <row r="813" spans="1:22" x14ac:dyDescent="0.2">
      <c r="A813" s="92" t="s">
        <v>856</v>
      </c>
      <c r="B813" s="93" t="s">
        <v>47</v>
      </c>
      <c r="C813" s="93" t="s">
        <v>394</v>
      </c>
      <c r="D813" s="93" t="s">
        <v>422</v>
      </c>
      <c r="E813" s="94" t="s">
        <v>407</v>
      </c>
      <c r="F813" s="93" t="s">
        <v>859</v>
      </c>
      <c r="G813" s="93" t="s">
        <v>266</v>
      </c>
      <c r="H813" s="93" t="s">
        <v>13</v>
      </c>
      <c r="I813" s="93" t="s">
        <v>255</v>
      </c>
      <c r="J813" s="93" t="s">
        <v>47</v>
      </c>
      <c r="K813" s="93"/>
      <c r="L813" s="95">
        <v>6.48</v>
      </c>
      <c r="M813" s="95">
        <f>L813*VLOOKUP(H813,dagsoorttabel1,2,FALSE)</f>
        <v>5.0823529411764712</v>
      </c>
      <c r="N813" s="96">
        <f>prodnorm40</f>
        <v>0</v>
      </c>
      <c r="O813" s="37">
        <f>dagwerk40</f>
        <v>0</v>
      </c>
      <c r="P813" s="93" t="s">
        <v>105</v>
      </c>
      <c r="Q813" s="24">
        <f>uurtarief40</f>
        <v>0</v>
      </c>
      <c r="R813" s="95" t="e">
        <f>IF(ISBLANK(N813),0,M813/ROUND(N813,4))</f>
        <v>#DIV/0!</v>
      </c>
      <c r="S813" s="95" t="e">
        <f>IF(ISBLANK(N813),0,R813*ROUND(O813,2))</f>
        <v>#DIV/0!</v>
      </c>
      <c r="T813" s="24" t="e">
        <f>ROUND(Q813,2)*R813</f>
        <v>#DIV/0!</v>
      </c>
      <c r="U813" s="95" t="e">
        <f>R813*dagenperjaar1</f>
        <v>#DIV/0!</v>
      </c>
      <c r="V813" s="25" t="e">
        <f>U813*ROUND(Q813,2)</f>
        <v>#DIV/0!</v>
      </c>
    </row>
    <row r="814" spans="1:22" x14ac:dyDescent="0.2">
      <c r="A814" s="92" t="s">
        <v>856</v>
      </c>
      <c r="B814" s="93" t="s">
        <v>47</v>
      </c>
      <c r="C814" s="93" t="s">
        <v>394</v>
      </c>
      <c r="D814" s="93" t="s">
        <v>424</v>
      </c>
      <c r="E814" s="94" t="s">
        <v>863</v>
      </c>
      <c r="F814" s="93" t="s">
        <v>859</v>
      </c>
      <c r="G814" s="93" t="s">
        <v>284</v>
      </c>
      <c r="H814" s="93" t="s">
        <v>13</v>
      </c>
      <c r="I814" s="93" t="s">
        <v>255</v>
      </c>
      <c r="J814" s="93" t="s">
        <v>47</v>
      </c>
      <c r="K814" s="93"/>
      <c r="L814" s="95">
        <v>19.5</v>
      </c>
      <c r="M814" s="95">
        <f>L814*VLOOKUP(H814,dagsoorttabel1,2,FALSE)</f>
        <v>15.294117647058822</v>
      </c>
      <c r="N814" s="96">
        <f>prodnorm58</f>
        <v>0</v>
      </c>
      <c r="O814" s="37">
        <f>dagwerk58</f>
        <v>0</v>
      </c>
      <c r="P814" s="93" t="s">
        <v>105</v>
      </c>
      <c r="Q814" s="24">
        <f>uurtarief58</f>
        <v>0</v>
      </c>
      <c r="R814" s="95" t="e">
        <f>IF(ISBLANK(N814),0,M814/ROUND(N814,4))</f>
        <v>#DIV/0!</v>
      </c>
      <c r="S814" s="95" t="e">
        <f>IF(ISBLANK(N814),0,R814*ROUND(O814,2))</f>
        <v>#DIV/0!</v>
      </c>
      <c r="T814" s="24" t="e">
        <f>ROUND(Q814,2)*R814</f>
        <v>#DIV/0!</v>
      </c>
      <c r="U814" s="95" t="e">
        <f>R814*dagenperjaar1</f>
        <v>#DIV/0!</v>
      </c>
      <c r="V814" s="25" t="e">
        <f>U814*ROUND(Q814,2)</f>
        <v>#DIV/0!</v>
      </c>
    </row>
    <row r="815" spans="1:22" x14ac:dyDescent="0.2">
      <c r="A815" s="92" t="s">
        <v>856</v>
      </c>
      <c r="B815" s="93" t="s">
        <v>47</v>
      </c>
      <c r="C815" s="93" t="s">
        <v>394</v>
      </c>
      <c r="D815" s="93" t="s">
        <v>446</v>
      </c>
      <c r="E815" s="94" t="s">
        <v>864</v>
      </c>
      <c r="F815" s="93" t="s">
        <v>859</v>
      </c>
      <c r="G815" s="93" t="s">
        <v>304</v>
      </c>
      <c r="H815" s="93" t="s">
        <v>13</v>
      </c>
      <c r="I815" s="93" t="s">
        <v>255</v>
      </c>
      <c r="J815" s="93" t="s">
        <v>47</v>
      </c>
      <c r="K815" s="93"/>
      <c r="L815" s="95">
        <v>1.1000000000000001</v>
      </c>
      <c r="M815" s="95">
        <f>L815*VLOOKUP(H815,dagsoorttabel1,2,FALSE)</f>
        <v>0.86274509803921573</v>
      </c>
      <c r="N815" s="96">
        <f>prodnorm74</f>
        <v>0</v>
      </c>
      <c r="O815" s="37">
        <f>dagwerk74</f>
        <v>0</v>
      </c>
      <c r="P815" s="93" t="s">
        <v>105</v>
      </c>
      <c r="Q815" s="24">
        <f>uurtarief74</f>
        <v>0</v>
      </c>
      <c r="R815" s="95" t="e">
        <f>IF(ISBLANK(N815),0,M815/ROUND(N815,4))</f>
        <v>#DIV/0!</v>
      </c>
      <c r="S815" s="95" t="e">
        <f>IF(ISBLANK(N815),0,R815*ROUND(O815,2))</f>
        <v>#DIV/0!</v>
      </c>
      <c r="T815" s="24" t="e">
        <f>ROUND(Q815,2)*R815</f>
        <v>#DIV/0!</v>
      </c>
      <c r="U815" s="95" t="e">
        <f>R815*dagenperjaar1</f>
        <v>#DIV/0!</v>
      </c>
      <c r="V815" s="25" t="e">
        <f>U815*ROUND(Q815,2)</f>
        <v>#DIV/0!</v>
      </c>
    </row>
    <row r="816" spans="1:22" x14ac:dyDescent="0.2">
      <c r="A816" s="92" t="s">
        <v>856</v>
      </c>
      <c r="B816" s="93" t="s">
        <v>47</v>
      </c>
      <c r="C816" s="93" t="s">
        <v>394</v>
      </c>
      <c r="D816" s="93" t="s">
        <v>425</v>
      </c>
      <c r="E816" s="94" t="s">
        <v>407</v>
      </c>
      <c r="F816" s="93" t="s">
        <v>859</v>
      </c>
      <c r="G816" s="93" t="s">
        <v>266</v>
      </c>
      <c r="H816" s="93" t="s">
        <v>13</v>
      </c>
      <c r="I816" s="93" t="s">
        <v>255</v>
      </c>
      <c r="J816" s="93" t="s">
        <v>47</v>
      </c>
      <c r="K816" s="93"/>
      <c r="L816" s="95">
        <v>6.48</v>
      </c>
      <c r="M816" s="95">
        <f>L816*VLOOKUP(H816,dagsoorttabel1,2,FALSE)</f>
        <v>5.0823529411764712</v>
      </c>
      <c r="N816" s="96">
        <f>prodnorm40</f>
        <v>0</v>
      </c>
      <c r="O816" s="37">
        <f>dagwerk40</f>
        <v>0</v>
      </c>
      <c r="P816" s="93" t="s">
        <v>105</v>
      </c>
      <c r="Q816" s="24">
        <f>uurtarief40</f>
        <v>0</v>
      </c>
      <c r="R816" s="95" t="e">
        <f>IF(ISBLANK(N816),0,M816/ROUND(N816,4))</f>
        <v>#DIV/0!</v>
      </c>
      <c r="S816" s="95" t="e">
        <f>IF(ISBLANK(N816),0,R816*ROUND(O816,2))</f>
        <v>#DIV/0!</v>
      </c>
      <c r="T816" s="24" t="e">
        <f>ROUND(Q816,2)*R816</f>
        <v>#DIV/0!</v>
      </c>
      <c r="U816" s="95" t="e">
        <f>R816*dagenperjaar1</f>
        <v>#DIV/0!</v>
      </c>
      <c r="V816" s="25" t="e">
        <f>U816*ROUND(Q816,2)</f>
        <v>#DIV/0!</v>
      </c>
    </row>
    <row r="817" spans="1:22" x14ac:dyDescent="0.2">
      <c r="A817" s="92" t="s">
        <v>856</v>
      </c>
      <c r="B817" s="93" t="s">
        <v>47</v>
      </c>
      <c r="C817" s="93" t="s">
        <v>394</v>
      </c>
      <c r="D817" s="93" t="s">
        <v>426</v>
      </c>
      <c r="E817" s="94" t="s">
        <v>865</v>
      </c>
      <c r="F817" s="93" t="s">
        <v>859</v>
      </c>
      <c r="G817" s="93" t="s">
        <v>284</v>
      </c>
      <c r="H817" s="93" t="s">
        <v>13</v>
      </c>
      <c r="I817" s="93" t="s">
        <v>255</v>
      </c>
      <c r="J817" s="93" t="s">
        <v>47</v>
      </c>
      <c r="K817" s="93"/>
      <c r="L817" s="95">
        <v>22.75</v>
      </c>
      <c r="M817" s="95">
        <f>L817*VLOOKUP(H817,dagsoorttabel1,2,FALSE)</f>
        <v>17.843137254901961</v>
      </c>
      <c r="N817" s="96">
        <f>prodnorm58</f>
        <v>0</v>
      </c>
      <c r="O817" s="37">
        <f>dagwerk58</f>
        <v>0</v>
      </c>
      <c r="P817" s="93" t="s">
        <v>105</v>
      </c>
      <c r="Q817" s="24">
        <f>uurtarief58</f>
        <v>0</v>
      </c>
      <c r="R817" s="95" t="e">
        <f>IF(ISBLANK(N817),0,M817/ROUND(N817,4))</f>
        <v>#DIV/0!</v>
      </c>
      <c r="S817" s="95" t="e">
        <f>IF(ISBLANK(N817),0,R817*ROUND(O817,2))</f>
        <v>#DIV/0!</v>
      </c>
      <c r="T817" s="24" t="e">
        <f>ROUND(Q817,2)*R817</f>
        <v>#DIV/0!</v>
      </c>
      <c r="U817" s="95" t="e">
        <f>R817*dagenperjaar1</f>
        <v>#DIV/0!</v>
      </c>
      <c r="V817" s="25" t="e">
        <f>U817*ROUND(Q817,2)</f>
        <v>#DIV/0!</v>
      </c>
    </row>
    <row r="818" spans="1:22" x14ac:dyDescent="0.2">
      <c r="A818" s="92" t="s">
        <v>856</v>
      </c>
      <c r="B818" s="93" t="s">
        <v>47</v>
      </c>
      <c r="C818" s="93" t="s">
        <v>394</v>
      </c>
      <c r="D818" s="93" t="s">
        <v>429</v>
      </c>
      <c r="E818" s="94" t="s">
        <v>407</v>
      </c>
      <c r="F818" s="93" t="s">
        <v>859</v>
      </c>
      <c r="G818" s="93" t="s">
        <v>266</v>
      </c>
      <c r="H818" s="93" t="s">
        <v>13</v>
      </c>
      <c r="I818" s="93" t="s">
        <v>255</v>
      </c>
      <c r="J818" s="93" t="s">
        <v>47</v>
      </c>
      <c r="K818" s="93"/>
      <c r="L818" s="95">
        <v>6</v>
      </c>
      <c r="M818" s="95">
        <f>L818*VLOOKUP(H818,dagsoorttabel1,2,FALSE)</f>
        <v>4.7058823529411766</v>
      </c>
      <c r="N818" s="96">
        <f>prodnorm40</f>
        <v>0</v>
      </c>
      <c r="O818" s="37">
        <f>dagwerk40</f>
        <v>0</v>
      </c>
      <c r="P818" s="93" t="s">
        <v>105</v>
      </c>
      <c r="Q818" s="24">
        <f>uurtarief40</f>
        <v>0</v>
      </c>
      <c r="R818" s="95" t="e">
        <f>IF(ISBLANK(N818),0,M818/ROUND(N818,4))</f>
        <v>#DIV/0!</v>
      </c>
      <c r="S818" s="95" t="e">
        <f>IF(ISBLANK(N818),0,R818*ROUND(O818,2))</f>
        <v>#DIV/0!</v>
      </c>
      <c r="T818" s="24" t="e">
        <f>ROUND(Q818,2)*R818</f>
        <v>#DIV/0!</v>
      </c>
      <c r="U818" s="95" t="e">
        <f>R818*dagenperjaar1</f>
        <v>#DIV/0!</v>
      </c>
      <c r="V818" s="25" t="e">
        <f>U818*ROUND(Q818,2)</f>
        <v>#DIV/0!</v>
      </c>
    </row>
    <row r="819" spans="1:22" x14ac:dyDescent="0.2">
      <c r="A819" s="92" t="s">
        <v>856</v>
      </c>
      <c r="B819" s="93" t="s">
        <v>47</v>
      </c>
      <c r="C819" s="93" t="s">
        <v>394</v>
      </c>
      <c r="D819" s="93" t="s">
        <v>432</v>
      </c>
      <c r="E819" s="94" t="s">
        <v>423</v>
      </c>
      <c r="F819" s="93" t="s">
        <v>859</v>
      </c>
      <c r="G819" s="93" t="s">
        <v>304</v>
      </c>
      <c r="H819" s="93" t="s">
        <v>13</v>
      </c>
      <c r="I819" s="93" t="s">
        <v>255</v>
      </c>
      <c r="J819" s="93" t="s">
        <v>47</v>
      </c>
      <c r="K819" s="93"/>
      <c r="L819" s="95">
        <v>1.1000000000000001</v>
      </c>
      <c r="M819" s="95">
        <f>L819*VLOOKUP(H819,dagsoorttabel1,2,FALSE)</f>
        <v>0.86274509803921573</v>
      </c>
      <c r="N819" s="96">
        <f>prodnorm74</f>
        <v>0</v>
      </c>
      <c r="O819" s="37">
        <f>dagwerk74</f>
        <v>0</v>
      </c>
      <c r="P819" s="93" t="s">
        <v>105</v>
      </c>
      <c r="Q819" s="24">
        <f>uurtarief74</f>
        <v>0</v>
      </c>
      <c r="R819" s="95" t="e">
        <f>IF(ISBLANK(N819),0,M819/ROUND(N819,4))</f>
        <v>#DIV/0!</v>
      </c>
      <c r="S819" s="95" t="e">
        <f>IF(ISBLANK(N819),0,R819*ROUND(O819,2))</f>
        <v>#DIV/0!</v>
      </c>
      <c r="T819" s="24" t="e">
        <f>ROUND(Q819,2)*R819</f>
        <v>#DIV/0!</v>
      </c>
      <c r="U819" s="95" t="e">
        <f>R819*dagenperjaar1</f>
        <v>#DIV/0!</v>
      </c>
      <c r="V819" s="25" t="e">
        <f>U819*ROUND(Q819,2)</f>
        <v>#DIV/0!</v>
      </c>
    </row>
    <row r="820" spans="1:22" x14ac:dyDescent="0.2">
      <c r="A820" s="97" t="s">
        <v>856</v>
      </c>
      <c r="B820" s="98" t="s">
        <v>47</v>
      </c>
      <c r="C820" s="98" t="s">
        <v>394</v>
      </c>
      <c r="D820" s="98" t="s">
        <v>434</v>
      </c>
      <c r="E820" s="99" t="s">
        <v>407</v>
      </c>
      <c r="F820" s="98" t="s">
        <v>859</v>
      </c>
      <c r="G820" s="98" t="s">
        <v>266</v>
      </c>
      <c r="H820" s="98" t="s">
        <v>13</v>
      </c>
      <c r="I820" s="98" t="s">
        <v>255</v>
      </c>
      <c r="J820" s="98" t="s">
        <v>47</v>
      </c>
      <c r="K820" s="98"/>
      <c r="L820" s="100">
        <v>1.1000000000000001</v>
      </c>
      <c r="M820" s="100">
        <f>L820*VLOOKUP(H820,dagsoorttabel1,2,FALSE)</f>
        <v>0.86274509803921573</v>
      </c>
      <c r="N820" s="101">
        <f>prodnorm40</f>
        <v>0</v>
      </c>
      <c r="O820" s="102">
        <f>dagwerk40</f>
        <v>0</v>
      </c>
      <c r="P820" s="98" t="s">
        <v>105</v>
      </c>
      <c r="Q820" s="34">
        <f>uurtarief40</f>
        <v>0</v>
      </c>
      <c r="R820" s="100" t="e">
        <f>IF(ISBLANK(N820),0,M820/ROUND(N820,4))</f>
        <v>#DIV/0!</v>
      </c>
      <c r="S820" s="100" t="e">
        <f>IF(ISBLANK(N820),0,R820*ROUND(O820,2))</f>
        <v>#DIV/0!</v>
      </c>
      <c r="T820" s="34" t="e">
        <f>ROUND(Q820,2)*R820</f>
        <v>#DIV/0!</v>
      </c>
      <c r="U820" s="100" t="e">
        <f>R820*dagenperjaar1</f>
        <v>#DIV/0!</v>
      </c>
      <c r="V820" s="35" t="e">
        <f>U820*ROUND(Q820,2)</f>
        <v>#DIV/0!</v>
      </c>
    </row>
    <row r="821" spans="1:22" x14ac:dyDescent="0.2">
      <c r="A821" s="103" t="s">
        <v>436</v>
      </c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5" t="e">
        <f>IF(_xlfn.SINGLE(object22_urenjaar1)&gt;0,_xlfn.SINGLE(object22_prijsjaar1)/_xlfn.SINGLE(object22_urenjaar1),0)</f>
        <v>#DIV/0!</v>
      </c>
      <c r="R821" s="74" t="e">
        <f>SUM(R807:R820)</f>
        <v>#DIV/0!</v>
      </c>
      <c r="S821" s="74" t="e">
        <f>SUM(S807:S820)</f>
        <v>#DIV/0!</v>
      </c>
      <c r="T821" s="75" t="e">
        <f>SUM(T807:T820)</f>
        <v>#DIV/0!</v>
      </c>
      <c r="U821" s="74" t="e">
        <f>SUM(U807:U820)</f>
        <v>#DIV/0!</v>
      </c>
      <c r="V821" s="76" t="e">
        <f>SUM(V807:V820)</f>
        <v>#DIV/0!</v>
      </c>
    </row>
    <row r="822" spans="1:22" x14ac:dyDescent="0.2">
      <c r="A822" s="83" t="s">
        <v>866</v>
      </c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71"/>
    </row>
    <row r="823" spans="1:22" x14ac:dyDescent="0.2">
      <c r="A823" s="84" t="s">
        <v>867</v>
      </c>
      <c r="B823" s="85" t="s">
        <v>47</v>
      </c>
      <c r="C823" s="85" t="s">
        <v>394</v>
      </c>
      <c r="D823" s="85" t="s">
        <v>47</v>
      </c>
      <c r="E823" s="86" t="s">
        <v>525</v>
      </c>
      <c r="F823" s="85" t="s">
        <v>868</v>
      </c>
      <c r="G823" s="85" t="s">
        <v>270</v>
      </c>
      <c r="H823" s="85" t="s">
        <v>13</v>
      </c>
      <c r="I823" s="85" t="s">
        <v>255</v>
      </c>
      <c r="J823" s="85" t="s">
        <v>47</v>
      </c>
      <c r="K823" s="85"/>
      <c r="L823" s="87">
        <v>7.4300000000000006</v>
      </c>
      <c r="M823" s="87">
        <f>L823*VLOOKUP(H823,dagsoorttabel1,2,FALSE)</f>
        <v>5.8274509803921575</v>
      </c>
      <c r="N823" s="88">
        <f>prodnorm43</f>
        <v>0</v>
      </c>
      <c r="O823" s="89">
        <f>dagwerk43</f>
        <v>0</v>
      </c>
      <c r="P823" s="85" t="s">
        <v>105</v>
      </c>
      <c r="Q823" s="90">
        <f>uurtarief43</f>
        <v>0</v>
      </c>
      <c r="R823" s="87" t="e">
        <f>IF(ISBLANK(N823),0,M823/ROUND(N823,4))</f>
        <v>#DIV/0!</v>
      </c>
      <c r="S823" s="87" t="e">
        <f>IF(ISBLANK(N823),0,R823*ROUND(O823,2))</f>
        <v>#DIV/0!</v>
      </c>
      <c r="T823" s="90" t="e">
        <f>ROUND(Q823,2)*R823</f>
        <v>#DIV/0!</v>
      </c>
      <c r="U823" s="87" t="e">
        <f>R823*dagenperjaar1</f>
        <v>#DIV/0!</v>
      </c>
      <c r="V823" s="91" t="e">
        <f>U823*ROUND(Q823,2)</f>
        <v>#DIV/0!</v>
      </c>
    </row>
    <row r="824" spans="1:22" x14ac:dyDescent="0.2">
      <c r="A824" s="92" t="s">
        <v>867</v>
      </c>
      <c r="B824" s="93" t="s">
        <v>47</v>
      </c>
      <c r="C824" s="93" t="s">
        <v>394</v>
      </c>
      <c r="D824" s="93" t="s">
        <v>47</v>
      </c>
      <c r="E824" s="94" t="s">
        <v>525</v>
      </c>
      <c r="F824" s="93" t="s">
        <v>868</v>
      </c>
      <c r="G824" s="93" t="s">
        <v>272</v>
      </c>
      <c r="H824" s="93" t="s">
        <v>13</v>
      </c>
      <c r="I824" s="93" t="s">
        <v>255</v>
      </c>
      <c r="J824" s="93" t="s">
        <v>47</v>
      </c>
      <c r="K824" s="93"/>
      <c r="L824" s="95">
        <v>7.4300000000000006</v>
      </c>
      <c r="M824" s="95">
        <f>L824*VLOOKUP(H824,dagsoorttabel1,2,FALSE)</f>
        <v>5.8274509803921575</v>
      </c>
      <c r="N824" s="96">
        <f>prodnorm45</f>
        <v>0</v>
      </c>
      <c r="O824" s="37">
        <f>dagwerk45</f>
        <v>0</v>
      </c>
      <c r="P824" s="93" t="s">
        <v>105</v>
      </c>
      <c r="Q824" s="24">
        <f>uurtarief45</f>
        <v>0</v>
      </c>
      <c r="R824" s="95" t="e">
        <f>IF(ISBLANK(N824),0,M824/ROUND(N824,4))</f>
        <v>#DIV/0!</v>
      </c>
      <c r="S824" s="95" t="e">
        <f>IF(ISBLANK(N824),0,R824*ROUND(O824,2))</f>
        <v>#DIV/0!</v>
      </c>
      <c r="T824" s="24" t="e">
        <f>ROUND(Q824,2)*R824</f>
        <v>#DIV/0!</v>
      </c>
      <c r="U824" s="95" t="e">
        <f>R824*dagenperjaar1</f>
        <v>#DIV/0!</v>
      </c>
      <c r="V824" s="25" t="e">
        <f>U824*ROUND(Q824,2)</f>
        <v>#DIV/0!</v>
      </c>
    </row>
    <row r="825" spans="1:22" x14ac:dyDescent="0.2">
      <c r="A825" s="92" t="s">
        <v>867</v>
      </c>
      <c r="B825" s="93" t="s">
        <v>47</v>
      </c>
      <c r="C825" s="93" t="s">
        <v>394</v>
      </c>
      <c r="D825" s="93" t="s">
        <v>47</v>
      </c>
      <c r="E825" s="94" t="s">
        <v>465</v>
      </c>
      <c r="F825" s="93" t="s">
        <v>442</v>
      </c>
      <c r="G825" s="93" t="s">
        <v>314</v>
      </c>
      <c r="H825" s="93" t="s">
        <v>13</v>
      </c>
      <c r="I825" s="93" t="s">
        <v>255</v>
      </c>
      <c r="J825" s="93" t="s">
        <v>47</v>
      </c>
      <c r="K825" s="93"/>
      <c r="L825" s="95">
        <v>74.179999999999993</v>
      </c>
      <c r="M825" s="95">
        <f>L825*VLOOKUP(H825,dagsoorttabel1,2,FALSE)</f>
        <v>58.180392156862737</v>
      </c>
      <c r="N825" s="96">
        <f>prodnorm88</f>
        <v>0</v>
      </c>
      <c r="O825" s="37">
        <f>dagwerk88</f>
        <v>0</v>
      </c>
      <c r="P825" s="93" t="s">
        <v>105</v>
      </c>
      <c r="Q825" s="24">
        <f>uurtarief88</f>
        <v>0</v>
      </c>
      <c r="R825" s="95" t="e">
        <f>IF(ISBLANK(N825),0,M825/ROUND(N825,4))</f>
        <v>#DIV/0!</v>
      </c>
      <c r="S825" s="95" t="e">
        <f>IF(ISBLANK(N825),0,R825*ROUND(O825,2))</f>
        <v>#DIV/0!</v>
      </c>
      <c r="T825" s="24" t="e">
        <f>ROUND(Q825,2)*R825</f>
        <v>#DIV/0!</v>
      </c>
      <c r="U825" s="95" t="e">
        <f>R825*dagenperjaar1</f>
        <v>#DIV/0!</v>
      </c>
      <c r="V825" s="25" t="e">
        <f>U825*ROUND(Q825,2)</f>
        <v>#DIV/0!</v>
      </c>
    </row>
    <row r="826" spans="1:22" x14ac:dyDescent="0.2">
      <c r="A826" s="92" t="s">
        <v>867</v>
      </c>
      <c r="B826" s="93" t="s">
        <v>47</v>
      </c>
      <c r="C826" s="93" t="s">
        <v>394</v>
      </c>
      <c r="D826" s="93" t="s">
        <v>47</v>
      </c>
      <c r="E826" s="94" t="s">
        <v>465</v>
      </c>
      <c r="F826" s="93" t="s">
        <v>442</v>
      </c>
      <c r="G826" s="93" t="s">
        <v>316</v>
      </c>
      <c r="H826" s="93" t="s">
        <v>13</v>
      </c>
      <c r="I826" s="93" t="s">
        <v>255</v>
      </c>
      <c r="J826" s="93" t="s">
        <v>47</v>
      </c>
      <c r="K826" s="93"/>
      <c r="L826" s="95">
        <v>74.179999999999993</v>
      </c>
      <c r="M826" s="95">
        <f>L826*VLOOKUP(H826,dagsoorttabel1,2,FALSE)</f>
        <v>58.180392156862737</v>
      </c>
      <c r="N826" s="96">
        <f>prodnorm93</f>
        <v>0</v>
      </c>
      <c r="O826" s="37">
        <f>dagwerk93</f>
        <v>0</v>
      </c>
      <c r="P826" s="93" t="s">
        <v>105</v>
      </c>
      <c r="Q826" s="24">
        <f>uurtarief93</f>
        <v>0</v>
      </c>
      <c r="R826" s="95" t="e">
        <f>IF(ISBLANK(N826),0,M826/ROUND(N826,4))</f>
        <v>#DIV/0!</v>
      </c>
      <c r="S826" s="95" t="e">
        <f>IF(ISBLANK(N826),0,R826*ROUND(O826,2))</f>
        <v>#DIV/0!</v>
      </c>
      <c r="T826" s="24" t="e">
        <f>ROUND(Q826,2)*R826</f>
        <v>#DIV/0!</v>
      </c>
      <c r="U826" s="95" t="e">
        <f>R826*dagenperjaar1</f>
        <v>#DIV/0!</v>
      </c>
      <c r="V826" s="25" t="e">
        <f>U826*ROUND(Q826,2)</f>
        <v>#DIV/0!</v>
      </c>
    </row>
    <row r="827" spans="1:22" x14ac:dyDescent="0.2">
      <c r="A827" s="92" t="s">
        <v>867</v>
      </c>
      <c r="B827" s="93" t="s">
        <v>47</v>
      </c>
      <c r="C827" s="93" t="s">
        <v>394</v>
      </c>
      <c r="D827" s="93" t="s">
        <v>47</v>
      </c>
      <c r="E827" s="94" t="s">
        <v>842</v>
      </c>
      <c r="F827" s="93" t="s">
        <v>442</v>
      </c>
      <c r="G827" s="93" t="s">
        <v>304</v>
      </c>
      <c r="H827" s="93" t="s">
        <v>13</v>
      </c>
      <c r="I827" s="93" t="s">
        <v>255</v>
      </c>
      <c r="J827" s="93" t="s">
        <v>47</v>
      </c>
      <c r="K827" s="93"/>
      <c r="L827" s="95">
        <v>3.66</v>
      </c>
      <c r="M827" s="95">
        <f>L827*VLOOKUP(H827,dagsoorttabel1,2,FALSE)</f>
        <v>2.8705882352941177</v>
      </c>
      <c r="N827" s="96">
        <f>prodnorm74</f>
        <v>0</v>
      </c>
      <c r="O827" s="37">
        <f>dagwerk74</f>
        <v>0</v>
      </c>
      <c r="P827" s="93" t="s">
        <v>105</v>
      </c>
      <c r="Q827" s="24">
        <f>uurtarief74</f>
        <v>0</v>
      </c>
      <c r="R827" s="95" t="e">
        <f>IF(ISBLANK(N827),0,M827/ROUND(N827,4))</f>
        <v>#DIV/0!</v>
      </c>
      <c r="S827" s="95" t="e">
        <f>IF(ISBLANK(N827),0,R827*ROUND(O827,2))</f>
        <v>#DIV/0!</v>
      </c>
      <c r="T827" s="24" t="e">
        <f>ROUND(Q827,2)*R827</f>
        <v>#DIV/0!</v>
      </c>
      <c r="U827" s="95" t="e">
        <f>R827*dagenperjaar1</f>
        <v>#DIV/0!</v>
      </c>
      <c r="V827" s="25" t="e">
        <f>U827*ROUND(Q827,2)</f>
        <v>#DIV/0!</v>
      </c>
    </row>
    <row r="828" spans="1:22" x14ac:dyDescent="0.2">
      <c r="A828" s="92" t="s">
        <v>867</v>
      </c>
      <c r="B828" s="93" t="s">
        <v>47</v>
      </c>
      <c r="C828" s="93" t="s">
        <v>394</v>
      </c>
      <c r="D828" s="93" t="s">
        <v>47</v>
      </c>
      <c r="E828" s="94" t="s">
        <v>842</v>
      </c>
      <c r="F828" s="93" t="s">
        <v>442</v>
      </c>
      <c r="G828" s="93" t="s">
        <v>306</v>
      </c>
      <c r="H828" s="93" t="s">
        <v>13</v>
      </c>
      <c r="I828" s="93" t="s">
        <v>255</v>
      </c>
      <c r="J828" s="93" t="s">
        <v>47</v>
      </c>
      <c r="K828" s="93"/>
      <c r="L828" s="95">
        <v>3.66</v>
      </c>
      <c r="M828" s="95">
        <f>L828*VLOOKUP(H828,dagsoorttabel1,2,FALSE)</f>
        <v>2.8705882352941177</v>
      </c>
      <c r="N828" s="96">
        <f>prodnorm78</f>
        <v>0</v>
      </c>
      <c r="O828" s="37">
        <f>dagwerk78</f>
        <v>0</v>
      </c>
      <c r="P828" s="93" t="s">
        <v>105</v>
      </c>
      <c r="Q828" s="24">
        <f>uurtarief78</f>
        <v>0</v>
      </c>
      <c r="R828" s="95" t="e">
        <f>IF(ISBLANK(N828),0,M828/ROUND(N828,4))</f>
        <v>#DIV/0!</v>
      </c>
      <c r="S828" s="95" t="e">
        <f>IF(ISBLANK(N828),0,R828*ROUND(O828,2))</f>
        <v>#DIV/0!</v>
      </c>
      <c r="T828" s="24" t="e">
        <f>ROUND(Q828,2)*R828</f>
        <v>#DIV/0!</v>
      </c>
      <c r="U828" s="95" t="e">
        <f>R828*dagenperjaar1</f>
        <v>#DIV/0!</v>
      </c>
      <c r="V828" s="25" t="e">
        <f>U828*ROUND(Q828,2)</f>
        <v>#DIV/0!</v>
      </c>
    </row>
    <row r="829" spans="1:22" x14ac:dyDescent="0.2">
      <c r="A829" s="92" t="s">
        <v>867</v>
      </c>
      <c r="B829" s="93" t="s">
        <v>47</v>
      </c>
      <c r="C829" s="93" t="s">
        <v>394</v>
      </c>
      <c r="D829" s="93" t="s">
        <v>47</v>
      </c>
      <c r="E829" s="94" t="s">
        <v>410</v>
      </c>
      <c r="F829" s="93" t="s">
        <v>442</v>
      </c>
      <c r="G829" s="93" t="s">
        <v>304</v>
      </c>
      <c r="H829" s="93" t="s">
        <v>13</v>
      </c>
      <c r="I829" s="93" t="s">
        <v>255</v>
      </c>
      <c r="J829" s="93" t="s">
        <v>47</v>
      </c>
      <c r="K829" s="93"/>
      <c r="L829" s="95">
        <v>9.9500000000000011</v>
      </c>
      <c r="M829" s="95">
        <f>L829*VLOOKUP(H829,dagsoorttabel1,2,FALSE)</f>
        <v>7.8039215686274517</v>
      </c>
      <c r="N829" s="96">
        <f>prodnorm74</f>
        <v>0</v>
      </c>
      <c r="O829" s="37">
        <f>dagwerk74</f>
        <v>0</v>
      </c>
      <c r="P829" s="93" t="s">
        <v>105</v>
      </c>
      <c r="Q829" s="24">
        <f>uurtarief74</f>
        <v>0</v>
      </c>
      <c r="R829" s="95" t="e">
        <f>IF(ISBLANK(N829),0,M829/ROUND(N829,4))</f>
        <v>#DIV/0!</v>
      </c>
      <c r="S829" s="95" t="e">
        <f>IF(ISBLANK(N829),0,R829*ROUND(O829,2))</f>
        <v>#DIV/0!</v>
      </c>
      <c r="T829" s="24" t="e">
        <f>ROUND(Q829,2)*R829</f>
        <v>#DIV/0!</v>
      </c>
      <c r="U829" s="95" t="e">
        <f>R829*dagenperjaar1</f>
        <v>#DIV/0!</v>
      </c>
      <c r="V829" s="25" t="e">
        <f>U829*ROUND(Q829,2)</f>
        <v>#DIV/0!</v>
      </c>
    </row>
    <row r="830" spans="1:22" x14ac:dyDescent="0.2">
      <c r="A830" s="92" t="s">
        <v>867</v>
      </c>
      <c r="B830" s="93" t="s">
        <v>47</v>
      </c>
      <c r="C830" s="93" t="s">
        <v>394</v>
      </c>
      <c r="D830" s="93" t="s">
        <v>47</v>
      </c>
      <c r="E830" s="94" t="s">
        <v>410</v>
      </c>
      <c r="F830" s="93" t="s">
        <v>442</v>
      </c>
      <c r="G830" s="93" t="s">
        <v>306</v>
      </c>
      <c r="H830" s="93" t="s">
        <v>13</v>
      </c>
      <c r="I830" s="93" t="s">
        <v>255</v>
      </c>
      <c r="J830" s="93" t="s">
        <v>47</v>
      </c>
      <c r="K830" s="93"/>
      <c r="L830" s="95">
        <v>9.9500000000000011</v>
      </c>
      <c r="M830" s="95">
        <f>L830*VLOOKUP(H830,dagsoorttabel1,2,FALSE)</f>
        <v>7.8039215686274517</v>
      </c>
      <c r="N830" s="96">
        <f>prodnorm78</f>
        <v>0</v>
      </c>
      <c r="O830" s="37">
        <f>dagwerk78</f>
        <v>0</v>
      </c>
      <c r="P830" s="93" t="s">
        <v>105</v>
      </c>
      <c r="Q830" s="24">
        <f>uurtarief78</f>
        <v>0</v>
      </c>
      <c r="R830" s="95" t="e">
        <f>IF(ISBLANK(N830),0,M830/ROUND(N830,4))</f>
        <v>#DIV/0!</v>
      </c>
      <c r="S830" s="95" t="e">
        <f>IF(ISBLANK(N830),0,R830*ROUND(O830,2))</f>
        <v>#DIV/0!</v>
      </c>
      <c r="T830" s="24" t="e">
        <f>ROUND(Q830,2)*R830</f>
        <v>#DIV/0!</v>
      </c>
      <c r="U830" s="95" t="e">
        <f>R830*dagenperjaar1</f>
        <v>#DIV/0!</v>
      </c>
      <c r="V830" s="25" t="e">
        <f>U830*ROUND(Q830,2)</f>
        <v>#DIV/0!</v>
      </c>
    </row>
    <row r="831" spans="1:22" x14ac:dyDescent="0.2">
      <c r="A831" s="92" t="s">
        <v>867</v>
      </c>
      <c r="B831" s="93" t="s">
        <v>47</v>
      </c>
      <c r="C831" s="93" t="s">
        <v>394</v>
      </c>
      <c r="D831" s="93" t="s">
        <v>47</v>
      </c>
      <c r="E831" s="94" t="s">
        <v>414</v>
      </c>
      <c r="F831" s="93" t="s">
        <v>442</v>
      </c>
      <c r="G831" s="93" t="s">
        <v>304</v>
      </c>
      <c r="H831" s="93" t="s">
        <v>13</v>
      </c>
      <c r="I831" s="93" t="s">
        <v>255</v>
      </c>
      <c r="J831" s="93" t="s">
        <v>47</v>
      </c>
      <c r="K831" s="93"/>
      <c r="L831" s="95">
        <v>14.52</v>
      </c>
      <c r="M831" s="95">
        <f>L831*VLOOKUP(H831,dagsoorttabel1,2,FALSE)</f>
        <v>11.388235294117646</v>
      </c>
      <c r="N831" s="96">
        <f>prodnorm74</f>
        <v>0</v>
      </c>
      <c r="O831" s="37">
        <f>dagwerk74</f>
        <v>0</v>
      </c>
      <c r="P831" s="93" t="s">
        <v>105</v>
      </c>
      <c r="Q831" s="24">
        <f>uurtarief74</f>
        <v>0</v>
      </c>
      <c r="R831" s="95" t="e">
        <f>IF(ISBLANK(N831),0,M831/ROUND(N831,4))</f>
        <v>#DIV/0!</v>
      </c>
      <c r="S831" s="95" t="e">
        <f>IF(ISBLANK(N831),0,R831*ROUND(O831,2))</f>
        <v>#DIV/0!</v>
      </c>
      <c r="T831" s="24" t="e">
        <f>ROUND(Q831,2)*R831</f>
        <v>#DIV/0!</v>
      </c>
      <c r="U831" s="95" t="e">
        <f>R831*dagenperjaar1</f>
        <v>#DIV/0!</v>
      </c>
      <c r="V831" s="25" t="e">
        <f>U831*ROUND(Q831,2)</f>
        <v>#DIV/0!</v>
      </c>
    </row>
    <row r="832" spans="1:22" x14ac:dyDescent="0.2">
      <c r="A832" s="92" t="s">
        <v>867</v>
      </c>
      <c r="B832" s="93" t="s">
        <v>47</v>
      </c>
      <c r="C832" s="93" t="s">
        <v>394</v>
      </c>
      <c r="D832" s="93" t="s">
        <v>47</v>
      </c>
      <c r="E832" s="94" t="s">
        <v>414</v>
      </c>
      <c r="F832" s="93" t="s">
        <v>442</v>
      </c>
      <c r="G832" s="93" t="s">
        <v>306</v>
      </c>
      <c r="H832" s="93" t="s">
        <v>13</v>
      </c>
      <c r="I832" s="93" t="s">
        <v>255</v>
      </c>
      <c r="J832" s="93" t="s">
        <v>47</v>
      </c>
      <c r="K832" s="93"/>
      <c r="L832" s="95">
        <v>14.52</v>
      </c>
      <c r="M832" s="95">
        <f>L832*VLOOKUP(H832,dagsoorttabel1,2,FALSE)</f>
        <v>11.388235294117646</v>
      </c>
      <c r="N832" s="96">
        <f>prodnorm78</f>
        <v>0</v>
      </c>
      <c r="O832" s="37">
        <f>dagwerk78</f>
        <v>0</v>
      </c>
      <c r="P832" s="93" t="s">
        <v>105</v>
      </c>
      <c r="Q832" s="24">
        <f>uurtarief78</f>
        <v>0</v>
      </c>
      <c r="R832" s="95" t="e">
        <f>IF(ISBLANK(N832),0,M832/ROUND(N832,4))</f>
        <v>#DIV/0!</v>
      </c>
      <c r="S832" s="95" t="e">
        <f>IF(ISBLANK(N832),0,R832*ROUND(O832,2))</f>
        <v>#DIV/0!</v>
      </c>
      <c r="T832" s="24" t="e">
        <f>ROUND(Q832,2)*R832</f>
        <v>#DIV/0!</v>
      </c>
      <c r="U832" s="95" t="e">
        <f>R832*dagenperjaar1</f>
        <v>#DIV/0!</v>
      </c>
      <c r="V832" s="25" t="e">
        <f>U832*ROUND(Q832,2)</f>
        <v>#DIV/0!</v>
      </c>
    </row>
    <row r="833" spans="1:22" x14ac:dyDescent="0.2">
      <c r="A833" s="92" t="s">
        <v>867</v>
      </c>
      <c r="B833" s="93" t="s">
        <v>47</v>
      </c>
      <c r="C833" s="93" t="s">
        <v>394</v>
      </c>
      <c r="D833" s="93" t="s">
        <v>47</v>
      </c>
      <c r="E833" s="94" t="s">
        <v>412</v>
      </c>
      <c r="F833" s="93" t="s">
        <v>442</v>
      </c>
      <c r="G833" s="93" t="s">
        <v>284</v>
      </c>
      <c r="H833" s="93" t="s">
        <v>13</v>
      </c>
      <c r="I833" s="93" t="s">
        <v>255</v>
      </c>
      <c r="J833" s="93" t="s">
        <v>47</v>
      </c>
      <c r="K833" s="93"/>
      <c r="L833" s="95">
        <v>24.06</v>
      </c>
      <c r="M833" s="95">
        <f>L833*VLOOKUP(H833,dagsoorttabel1,2,FALSE)</f>
        <v>18.870588235294118</v>
      </c>
      <c r="N833" s="96">
        <f>prodnorm58</f>
        <v>0</v>
      </c>
      <c r="O833" s="37">
        <f>dagwerk58</f>
        <v>0</v>
      </c>
      <c r="P833" s="93" t="s">
        <v>105</v>
      </c>
      <c r="Q833" s="24">
        <f>uurtarief58</f>
        <v>0</v>
      </c>
      <c r="R833" s="95" t="e">
        <f>IF(ISBLANK(N833),0,M833/ROUND(N833,4))</f>
        <v>#DIV/0!</v>
      </c>
      <c r="S833" s="95" t="e">
        <f>IF(ISBLANK(N833),0,R833*ROUND(O833,2))</f>
        <v>#DIV/0!</v>
      </c>
      <c r="T833" s="24" t="e">
        <f>ROUND(Q833,2)*R833</f>
        <v>#DIV/0!</v>
      </c>
      <c r="U833" s="95" t="e">
        <f>R833*dagenperjaar1</f>
        <v>#DIV/0!</v>
      </c>
      <c r="V833" s="25" t="e">
        <f>U833*ROUND(Q833,2)</f>
        <v>#DIV/0!</v>
      </c>
    </row>
    <row r="834" spans="1:22" x14ac:dyDescent="0.2">
      <c r="A834" s="92" t="s">
        <v>867</v>
      </c>
      <c r="B834" s="93" t="s">
        <v>47</v>
      </c>
      <c r="C834" s="93" t="s">
        <v>394</v>
      </c>
      <c r="D834" s="93" t="s">
        <v>47</v>
      </c>
      <c r="E834" s="94" t="s">
        <v>412</v>
      </c>
      <c r="F834" s="93" t="s">
        <v>442</v>
      </c>
      <c r="G834" s="93" t="s">
        <v>286</v>
      </c>
      <c r="H834" s="93" t="s">
        <v>13</v>
      </c>
      <c r="I834" s="93" t="s">
        <v>255</v>
      </c>
      <c r="J834" s="93" t="s">
        <v>47</v>
      </c>
      <c r="K834" s="93"/>
      <c r="L834" s="95">
        <v>24.06</v>
      </c>
      <c r="M834" s="95">
        <f>L834*VLOOKUP(H834,dagsoorttabel1,2,FALSE)</f>
        <v>18.870588235294118</v>
      </c>
      <c r="N834" s="96">
        <f>prodnorm61</f>
        <v>0</v>
      </c>
      <c r="O834" s="37">
        <f>dagwerk61</f>
        <v>0</v>
      </c>
      <c r="P834" s="93" t="s">
        <v>105</v>
      </c>
      <c r="Q834" s="24">
        <f>uurtarief61</f>
        <v>0</v>
      </c>
      <c r="R834" s="95" t="e">
        <f>IF(ISBLANK(N834),0,M834/ROUND(N834,4))</f>
        <v>#DIV/0!</v>
      </c>
      <c r="S834" s="95" t="e">
        <f>IF(ISBLANK(N834),0,R834*ROUND(O834,2))</f>
        <v>#DIV/0!</v>
      </c>
      <c r="T834" s="24" t="e">
        <f>ROUND(Q834,2)*R834</f>
        <v>#DIV/0!</v>
      </c>
      <c r="U834" s="95" t="e">
        <f>R834*dagenperjaar1</f>
        <v>#DIV/0!</v>
      </c>
      <c r="V834" s="25" t="e">
        <f>U834*ROUND(Q834,2)</f>
        <v>#DIV/0!</v>
      </c>
    </row>
    <row r="835" spans="1:22" x14ac:dyDescent="0.2">
      <c r="A835" s="92" t="s">
        <v>867</v>
      </c>
      <c r="B835" s="93" t="s">
        <v>47</v>
      </c>
      <c r="C835" s="93" t="s">
        <v>394</v>
      </c>
      <c r="D835" s="93" t="s">
        <v>47</v>
      </c>
      <c r="E835" s="94" t="s">
        <v>869</v>
      </c>
      <c r="F835" s="93" t="s">
        <v>442</v>
      </c>
      <c r="G835" s="93" t="s">
        <v>266</v>
      </c>
      <c r="H835" s="93" t="s">
        <v>13</v>
      </c>
      <c r="I835" s="93" t="s">
        <v>255</v>
      </c>
      <c r="J835" s="93" t="s">
        <v>47</v>
      </c>
      <c r="K835" s="93"/>
      <c r="L835" s="95">
        <v>9.7899999999999991</v>
      </c>
      <c r="M835" s="95">
        <f>L835*VLOOKUP(H835,dagsoorttabel1,2,FALSE)</f>
        <v>7.678431372549019</v>
      </c>
      <c r="N835" s="96">
        <f>prodnorm40</f>
        <v>0</v>
      </c>
      <c r="O835" s="37">
        <f>dagwerk40</f>
        <v>0</v>
      </c>
      <c r="P835" s="93" t="s">
        <v>105</v>
      </c>
      <c r="Q835" s="24">
        <f>uurtarief40</f>
        <v>0</v>
      </c>
      <c r="R835" s="95" t="e">
        <f>IF(ISBLANK(N835),0,M835/ROUND(N835,4))</f>
        <v>#DIV/0!</v>
      </c>
      <c r="S835" s="95" t="e">
        <f>IF(ISBLANK(N835),0,R835*ROUND(O835,2))</f>
        <v>#DIV/0!</v>
      </c>
      <c r="T835" s="24" t="e">
        <f>ROUND(Q835,2)*R835</f>
        <v>#DIV/0!</v>
      </c>
      <c r="U835" s="95" t="e">
        <f>R835*dagenperjaar1</f>
        <v>#DIV/0!</v>
      </c>
      <c r="V835" s="25" t="e">
        <f>U835*ROUND(Q835,2)</f>
        <v>#DIV/0!</v>
      </c>
    </row>
    <row r="836" spans="1:22" x14ac:dyDescent="0.2">
      <c r="A836" s="92" t="s">
        <v>867</v>
      </c>
      <c r="B836" s="93" t="s">
        <v>47</v>
      </c>
      <c r="C836" s="93" t="s">
        <v>394</v>
      </c>
      <c r="D836" s="93" t="s">
        <v>47</v>
      </c>
      <c r="E836" s="94" t="s">
        <v>869</v>
      </c>
      <c r="F836" s="93" t="s">
        <v>442</v>
      </c>
      <c r="G836" s="93" t="s">
        <v>268</v>
      </c>
      <c r="H836" s="93" t="s">
        <v>13</v>
      </c>
      <c r="I836" s="93" t="s">
        <v>255</v>
      </c>
      <c r="J836" s="93" t="s">
        <v>47</v>
      </c>
      <c r="K836" s="93"/>
      <c r="L836" s="95">
        <v>9.7899999999999991</v>
      </c>
      <c r="M836" s="95">
        <f>L836*VLOOKUP(H836,dagsoorttabel1,2,FALSE)</f>
        <v>7.678431372549019</v>
      </c>
      <c r="N836" s="96">
        <f>prodnorm42</f>
        <v>0</v>
      </c>
      <c r="O836" s="37">
        <f>dagwerk42</f>
        <v>0</v>
      </c>
      <c r="P836" s="93" t="s">
        <v>105</v>
      </c>
      <c r="Q836" s="24">
        <f>uurtarief42</f>
        <v>0</v>
      </c>
      <c r="R836" s="95" t="e">
        <f>IF(ISBLANK(N836),0,M836/ROUND(N836,4))</f>
        <v>#DIV/0!</v>
      </c>
      <c r="S836" s="95" t="e">
        <f>IF(ISBLANK(N836),0,R836*ROUND(O836,2))</f>
        <v>#DIV/0!</v>
      </c>
      <c r="T836" s="24" t="e">
        <f>ROUND(Q836,2)*R836</f>
        <v>#DIV/0!</v>
      </c>
      <c r="U836" s="95" t="e">
        <f>R836*dagenperjaar1</f>
        <v>#DIV/0!</v>
      </c>
      <c r="V836" s="25" t="e">
        <f>U836*ROUND(Q836,2)</f>
        <v>#DIV/0!</v>
      </c>
    </row>
    <row r="837" spans="1:22" x14ac:dyDescent="0.2">
      <c r="A837" s="92" t="s">
        <v>867</v>
      </c>
      <c r="B837" s="93" t="s">
        <v>47</v>
      </c>
      <c r="C837" s="93" t="s">
        <v>394</v>
      </c>
      <c r="D837" s="93" t="s">
        <v>47</v>
      </c>
      <c r="E837" s="94" t="s">
        <v>870</v>
      </c>
      <c r="F837" s="93" t="s">
        <v>442</v>
      </c>
      <c r="G837" s="93" t="s">
        <v>304</v>
      </c>
      <c r="H837" s="93" t="s">
        <v>13</v>
      </c>
      <c r="I837" s="93" t="s">
        <v>255</v>
      </c>
      <c r="J837" s="93" t="s">
        <v>47</v>
      </c>
      <c r="K837" s="93"/>
      <c r="L837" s="95">
        <v>1.23</v>
      </c>
      <c r="M837" s="95">
        <f>L837*VLOOKUP(H837,dagsoorttabel1,2,FALSE)</f>
        <v>0.96470588235294119</v>
      </c>
      <c r="N837" s="96">
        <f>prodnorm74</f>
        <v>0</v>
      </c>
      <c r="O837" s="37">
        <f>dagwerk74</f>
        <v>0</v>
      </c>
      <c r="P837" s="93" t="s">
        <v>105</v>
      </c>
      <c r="Q837" s="24">
        <f>uurtarief74</f>
        <v>0</v>
      </c>
      <c r="R837" s="95" t="e">
        <f>IF(ISBLANK(N837),0,M837/ROUND(N837,4))</f>
        <v>#DIV/0!</v>
      </c>
      <c r="S837" s="95" t="e">
        <f>IF(ISBLANK(N837),0,R837*ROUND(O837,2))</f>
        <v>#DIV/0!</v>
      </c>
      <c r="T837" s="24" t="e">
        <f>ROUND(Q837,2)*R837</f>
        <v>#DIV/0!</v>
      </c>
      <c r="U837" s="95" t="e">
        <f>R837*dagenperjaar1</f>
        <v>#DIV/0!</v>
      </c>
      <c r="V837" s="25" t="e">
        <f>U837*ROUND(Q837,2)</f>
        <v>#DIV/0!</v>
      </c>
    </row>
    <row r="838" spans="1:22" x14ac:dyDescent="0.2">
      <c r="A838" s="92" t="s">
        <v>867</v>
      </c>
      <c r="B838" s="93" t="s">
        <v>47</v>
      </c>
      <c r="C838" s="93" t="s">
        <v>394</v>
      </c>
      <c r="D838" s="93" t="s">
        <v>47</v>
      </c>
      <c r="E838" s="94" t="s">
        <v>870</v>
      </c>
      <c r="F838" s="93" t="s">
        <v>442</v>
      </c>
      <c r="G838" s="93" t="s">
        <v>306</v>
      </c>
      <c r="H838" s="93" t="s">
        <v>13</v>
      </c>
      <c r="I838" s="93" t="s">
        <v>255</v>
      </c>
      <c r="J838" s="93" t="s">
        <v>47</v>
      </c>
      <c r="K838" s="93"/>
      <c r="L838" s="95">
        <v>1.23</v>
      </c>
      <c r="M838" s="95">
        <f>L838*VLOOKUP(H838,dagsoorttabel1,2,FALSE)</f>
        <v>0.96470588235294119</v>
      </c>
      <c r="N838" s="96">
        <f>prodnorm78</f>
        <v>0</v>
      </c>
      <c r="O838" s="37">
        <f>dagwerk78</f>
        <v>0</v>
      </c>
      <c r="P838" s="93" t="s">
        <v>105</v>
      </c>
      <c r="Q838" s="24">
        <f>uurtarief78</f>
        <v>0</v>
      </c>
      <c r="R838" s="95" t="e">
        <f>IF(ISBLANK(N838),0,M838/ROUND(N838,4))</f>
        <v>#DIV/0!</v>
      </c>
      <c r="S838" s="95" t="e">
        <f>IF(ISBLANK(N838),0,R838*ROUND(O838,2))</f>
        <v>#DIV/0!</v>
      </c>
      <c r="T838" s="24" t="e">
        <f>ROUND(Q838,2)*R838</f>
        <v>#DIV/0!</v>
      </c>
      <c r="U838" s="95" t="e">
        <f>R838*dagenperjaar1</f>
        <v>#DIV/0!</v>
      </c>
      <c r="V838" s="25" t="e">
        <f>U838*ROUND(Q838,2)</f>
        <v>#DIV/0!</v>
      </c>
    </row>
    <row r="839" spans="1:22" x14ac:dyDescent="0.2">
      <c r="A839" s="92" t="s">
        <v>867</v>
      </c>
      <c r="B839" s="93" t="s">
        <v>47</v>
      </c>
      <c r="C839" s="93" t="s">
        <v>394</v>
      </c>
      <c r="D839" s="93" t="s">
        <v>47</v>
      </c>
      <c r="E839" s="94" t="s">
        <v>430</v>
      </c>
      <c r="F839" s="93" t="s">
        <v>431</v>
      </c>
      <c r="G839" s="93" t="s">
        <v>280</v>
      </c>
      <c r="H839" s="93" t="s">
        <v>13</v>
      </c>
      <c r="I839" s="93" t="s">
        <v>255</v>
      </c>
      <c r="J839" s="93" t="s">
        <v>47</v>
      </c>
      <c r="K839" s="93"/>
      <c r="L839" s="95">
        <v>1338</v>
      </c>
      <c r="M839" s="95">
        <f>L839*VLOOKUP(H839,dagsoorttabel1,2,FALSE)</f>
        <v>1049.4117647058824</v>
      </c>
      <c r="N839" s="96">
        <f>prodnorm52</f>
        <v>0</v>
      </c>
      <c r="O839" s="37">
        <f>dagwerk52</f>
        <v>0</v>
      </c>
      <c r="P839" s="93" t="s">
        <v>105</v>
      </c>
      <c r="Q839" s="24">
        <f>uurtarief52</f>
        <v>0</v>
      </c>
      <c r="R839" s="95" t="e">
        <f>IF(ISBLANK(N839),0,M839/ROUND(N839,4))</f>
        <v>#DIV/0!</v>
      </c>
      <c r="S839" s="95" t="e">
        <f>IF(ISBLANK(N839),0,R839*ROUND(O839,2))</f>
        <v>#DIV/0!</v>
      </c>
      <c r="T839" s="24" t="e">
        <f>ROUND(Q839,2)*R839</f>
        <v>#DIV/0!</v>
      </c>
      <c r="U839" s="95" t="e">
        <f>R839*dagenperjaar1</f>
        <v>#DIV/0!</v>
      </c>
      <c r="V839" s="25" t="e">
        <f>U839*ROUND(Q839,2)</f>
        <v>#DIV/0!</v>
      </c>
    </row>
    <row r="840" spans="1:22" x14ac:dyDescent="0.2">
      <c r="A840" s="92" t="s">
        <v>867</v>
      </c>
      <c r="B840" s="93" t="s">
        <v>47</v>
      </c>
      <c r="C840" s="93" t="s">
        <v>394</v>
      </c>
      <c r="D840" s="93" t="s">
        <v>47</v>
      </c>
      <c r="E840" s="94" t="s">
        <v>430</v>
      </c>
      <c r="F840" s="93" t="s">
        <v>431</v>
      </c>
      <c r="G840" s="93" t="s">
        <v>282</v>
      </c>
      <c r="H840" s="93" t="s">
        <v>13</v>
      </c>
      <c r="I840" s="93" t="s">
        <v>255</v>
      </c>
      <c r="J840" s="93" t="s">
        <v>47</v>
      </c>
      <c r="K840" s="93"/>
      <c r="L840" s="95">
        <v>1338</v>
      </c>
      <c r="M840" s="95">
        <f>L840*VLOOKUP(H840,dagsoorttabel1,2,FALSE)</f>
        <v>1049.4117647058824</v>
      </c>
      <c r="N840" s="96">
        <f>prodnorm55</f>
        <v>0</v>
      </c>
      <c r="O840" s="37">
        <f>dagwerk55</f>
        <v>0</v>
      </c>
      <c r="P840" s="93" t="s">
        <v>105</v>
      </c>
      <c r="Q840" s="24">
        <f>uurtarief55</f>
        <v>0</v>
      </c>
      <c r="R840" s="95" t="e">
        <f>IF(ISBLANK(N840),0,M840/ROUND(N840,4))</f>
        <v>#DIV/0!</v>
      </c>
      <c r="S840" s="95" t="e">
        <f>IF(ISBLANK(N840),0,R840*ROUND(O840,2))</f>
        <v>#DIV/0!</v>
      </c>
      <c r="T840" s="24" t="e">
        <f>ROUND(Q840,2)*R840</f>
        <v>#DIV/0!</v>
      </c>
      <c r="U840" s="95" t="e">
        <f>R840*dagenperjaar1</f>
        <v>#DIV/0!</v>
      </c>
      <c r="V840" s="25" t="e">
        <f>U840*ROUND(Q840,2)</f>
        <v>#DIV/0!</v>
      </c>
    </row>
    <row r="841" spans="1:22" x14ac:dyDescent="0.2">
      <c r="A841" s="92" t="s">
        <v>867</v>
      </c>
      <c r="B841" s="93" t="s">
        <v>47</v>
      </c>
      <c r="C841" s="93" t="s">
        <v>394</v>
      </c>
      <c r="D841" s="93" t="s">
        <v>47</v>
      </c>
      <c r="E841" s="94" t="s">
        <v>430</v>
      </c>
      <c r="F841" s="93" t="s">
        <v>431</v>
      </c>
      <c r="G841" s="93" t="s">
        <v>350</v>
      </c>
      <c r="H841" s="93" t="s">
        <v>26</v>
      </c>
      <c r="I841" s="93" t="s">
        <v>352</v>
      </c>
      <c r="J841" s="93" t="s">
        <v>47</v>
      </c>
      <c r="K841" s="93"/>
      <c r="L841" s="95">
        <v>1338</v>
      </c>
      <c r="M841" s="95">
        <f>L841*VLOOKUP(H841,dagsoorttabel1,2,FALSE)</f>
        <v>41.976470588235294</v>
      </c>
      <c r="N841" s="96">
        <f>prodnorm117</f>
        <v>0</v>
      </c>
      <c r="O841" s="37">
        <f>dagwerk117</f>
        <v>0</v>
      </c>
      <c r="P841" s="93" t="s">
        <v>105</v>
      </c>
      <c r="Q841" s="24">
        <f>uurtarief117</f>
        <v>0</v>
      </c>
      <c r="R841" s="95" t="e">
        <f>IF(ISBLANK(N841),0,M841/ROUND(N841,4))</f>
        <v>#DIV/0!</v>
      </c>
      <c r="S841" s="95" t="e">
        <f>IF(ISBLANK(N841),0,R841*ROUND(O841,2))</f>
        <v>#DIV/0!</v>
      </c>
      <c r="T841" s="24" t="e">
        <f>ROUND(Q841,2)*R841</f>
        <v>#DIV/0!</v>
      </c>
      <c r="U841" s="95" t="e">
        <f>R841*dagenperjaar1</f>
        <v>#DIV/0!</v>
      </c>
      <c r="V841" s="25" t="e">
        <f>U841*ROUND(Q841,2)</f>
        <v>#DIV/0!</v>
      </c>
    </row>
    <row r="842" spans="1:22" x14ac:dyDescent="0.2">
      <c r="A842" s="92" t="s">
        <v>867</v>
      </c>
      <c r="B842" s="93" t="s">
        <v>47</v>
      </c>
      <c r="C842" s="93" t="s">
        <v>394</v>
      </c>
      <c r="D842" s="93" t="s">
        <v>47</v>
      </c>
      <c r="E842" s="94" t="s">
        <v>871</v>
      </c>
      <c r="F842" s="93" t="s">
        <v>808</v>
      </c>
      <c r="G842" s="93" t="s">
        <v>284</v>
      </c>
      <c r="H842" s="93" t="s">
        <v>13</v>
      </c>
      <c r="I842" s="93" t="s">
        <v>255</v>
      </c>
      <c r="J842" s="93" t="s">
        <v>47</v>
      </c>
      <c r="K842" s="93"/>
      <c r="L842" s="95">
        <v>10.6</v>
      </c>
      <c r="M842" s="95">
        <f>L842*VLOOKUP(H842,dagsoorttabel1,2,FALSE)</f>
        <v>8.3137254901960773</v>
      </c>
      <c r="N842" s="96">
        <f>prodnorm58</f>
        <v>0</v>
      </c>
      <c r="O842" s="37">
        <f>dagwerk58</f>
        <v>0</v>
      </c>
      <c r="P842" s="93" t="s">
        <v>105</v>
      </c>
      <c r="Q842" s="24">
        <f>uurtarief58</f>
        <v>0</v>
      </c>
      <c r="R842" s="95" t="e">
        <f>IF(ISBLANK(N842),0,M842/ROUND(N842,4))</f>
        <v>#DIV/0!</v>
      </c>
      <c r="S842" s="95" t="e">
        <f>IF(ISBLANK(N842),0,R842*ROUND(O842,2))</f>
        <v>#DIV/0!</v>
      </c>
      <c r="T842" s="24" t="e">
        <f>ROUND(Q842,2)*R842</f>
        <v>#DIV/0!</v>
      </c>
      <c r="U842" s="95" t="e">
        <f>R842*dagenperjaar1</f>
        <v>#DIV/0!</v>
      </c>
      <c r="V842" s="25" t="e">
        <f>U842*ROUND(Q842,2)</f>
        <v>#DIV/0!</v>
      </c>
    </row>
    <row r="843" spans="1:22" x14ac:dyDescent="0.2">
      <c r="A843" s="92" t="s">
        <v>867</v>
      </c>
      <c r="B843" s="93" t="s">
        <v>47</v>
      </c>
      <c r="C843" s="93" t="s">
        <v>394</v>
      </c>
      <c r="D843" s="93" t="s">
        <v>47</v>
      </c>
      <c r="E843" s="94" t="s">
        <v>871</v>
      </c>
      <c r="F843" s="93" t="s">
        <v>808</v>
      </c>
      <c r="G843" s="93" t="s">
        <v>286</v>
      </c>
      <c r="H843" s="93" t="s">
        <v>13</v>
      </c>
      <c r="I843" s="93" t="s">
        <v>255</v>
      </c>
      <c r="J843" s="93" t="s">
        <v>47</v>
      </c>
      <c r="K843" s="93"/>
      <c r="L843" s="95">
        <v>10.6</v>
      </c>
      <c r="M843" s="95">
        <f>L843*VLOOKUP(H843,dagsoorttabel1,2,FALSE)</f>
        <v>8.3137254901960773</v>
      </c>
      <c r="N843" s="96">
        <f>prodnorm61</f>
        <v>0</v>
      </c>
      <c r="O843" s="37">
        <f>dagwerk61</f>
        <v>0</v>
      </c>
      <c r="P843" s="93" t="s">
        <v>105</v>
      </c>
      <c r="Q843" s="24">
        <f>uurtarief61</f>
        <v>0</v>
      </c>
      <c r="R843" s="95" t="e">
        <f>IF(ISBLANK(N843),0,M843/ROUND(N843,4))</f>
        <v>#DIV/0!</v>
      </c>
      <c r="S843" s="95" t="e">
        <f>IF(ISBLANK(N843),0,R843*ROUND(O843,2))</f>
        <v>#DIV/0!</v>
      </c>
      <c r="T843" s="24" t="e">
        <f>ROUND(Q843,2)*R843</f>
        <v>#DIV/0!</v>
      </c>
      <c r="U843" s="95" t="e">
        <f>R843*dagenperjaar1</f>
        <v>#DIV/0!</v>
      </c>
      <c r="V843" s="25" t="e">
        <f>U843*ROUND(Q843,2)</f>
        <v>#DIV/0!</v>
      </c>
    </row>
    <row r="844" spans="1:22" x14ac:dyDescent="0.2">
      <c r="A844" s="92" t="s">
        <v>867</v>
      </c>
      <c r="B844" s="93" t="s">
        <v>47</v>
      </c>
      <c r="C844" s="93" t="s">
        <v>394</v>
      </c>
      <c r="D844" s="93" t="s">
        <v>47</v>
      </c>
      <c r="E844" s="94" t="s">
        <v>872</v>
      </c>
      <c r="F844" s="93" t="s">
        <v>442</v>
      </c>
      <c r="G844" s="93" t="s">
        <v>284</v>
      </c>
      <c r="H844" s="93" t="s">
        <v>13</v>
      </c>
      <c r="I844" s="93" t="s">
        <v>255</v>
      </c>
      <c r="J844" s="93" t="s">
        <v>47</v>
      </c>
      <c r="K844" s="93"/>
      <c r="L844" s="95">
        <v>23.89</v>
      </c>
      <c r="M844" s="95">
        <f>L844*VLOOKUP(H844,dagsoorttabel1,2,FALSE)</f>
        <v>18.737254901960785</v>
      </c>
      <c r="N844" s="96">
        <f>prodnorm58</f>
        <v>0</v>
      </c>
      <c r="O844" s="37">
        <f>dagwerk58</f>
        <v>0</v>
      </c>
      <c r="P844" s="93" t="s">
        <v>105</v>
      </c>
      <c r="Q844" s="24">
        <f>uurtarief58</f>
        <v>0</v>
      </c>
      <c r="R844" s="95" t="e">
        <f>IF(ISBLANK(N844),0,M844/ROUND(N844,4))</f>
        <v>#DIV/0!</v>
      </c>
      <c r="S844" s="95" t="e">
        <f>IF(ISBLANK(N844),0,R844*ROUND(O844,2))</f>
        <v>#DIV/0!</v>
      </c>
      <c r="T844" s="24" t="e">
        <f>ROUND(Q844,2)*R844</f>
        <v>#DIV/0!</v>
      </c>
      <c r="U844" s="95" t="e">
        <f>R844*dagenperjaar1</f>
        <v>#DIV/0!</v>
      </c>
      <c r="V844" s="25" t="e">
        <f>U844*ROUND(Q844,2)</f>
        <v>#DIV/0!</v>
      </c>
    </row>
    <row r="845" spans="1:22" x14ac:dyDescent="0.2">
      <c r="A845" s="92" t="s">
        <v>867</v>
      </c>
      <c r="B845" s="93" t="s">
        <v>47</v>
      </c>
      <c r="C845" s="93" t="s">
        <v>394</v>
      </c>
      <c r="D845" s="93" t="s">
        <v>47</v>
      </c>
      <c r="E845" s="94" t="s">
        <v>872</v>
      </c>
      <c r="F845" s="93" t="s">
        <v>442</v>
      </c>
      <c r="G845" s="93" t="s">
        <v>286</v>
      </c>
      <c r="H845" s="93" t="s">
        <v>13</v>
      </c>
      <c r="I845" s="93" t="s">
        <v>255</v>
      </c>
      <c r="J845" s="93" t="s">
        <v>47</v>
      </c>
      <c r="K845" s="93"/>
      <c r="L845" s="95">
        <v>23.89</v>
      </c>
      <c r="M845" s="95">
        <f>L845*VLOOKUP(H845,dagsoorttabel1,2,FALSE)</f>
        <v>18.737254901960785</v>
      </c>
      <c r="N845" s="96">
        <f>prodnorm61</f>
        <v>0</v>
      </c>
      <c r="O845" s="37">
        <f>dagwerk61</f>
        <v>0</v>
      </c>
      <c r="P845" s="93" t="s">
        <v>105</v>
      </c>
      <c r="Q845" s="24">
        <f>uurtarief61</f>
        <v>0</v>
      </c>
      <c r="R845" s="95" t="e">
        <f>IF(ISBLANK(N845),0,M845/ROUND(N845,4))</f>
        <v>#DIV/0!</v>
      </c>
      <c r="S845" s="95" t="e">
        <f>IF(ISBLANK(N845),0,R845*ROUND(O845,2))</f>
        <v>#DIV/0!</v>
      </c>
      <c r="T845" s="24" t="e">
        <f>ROUND(Q845,2)*R845</f>
        <v>#DIV/0!</v>
      </c>
      <c r="U845" s="95" t="e">
        <f>R845*dagenperjaar1</f>
        <v>#DIV/0!</v>
      </c>
      <c r="V845" s="25" t="e">
        <f>U845*ROUND(Q845,2)</f>
        <v>#DIV/0!</v>
      </c>
    </row>
    <row r="846" spans="1:22" ht="25.2" x14ac:dyDescent="0.2">
      <c r="A846" s="92" t="s">
        <v>867</v>
      </c>
      <c r="B846" s="93" t="s">
        <v>47</v>
      </c>
      <c r="C846" s="93" t="s">
        <v>394</v>
      </c>
      <c r="D846" s="93" t="s">
        <v>47</v>
      </c>
      <c r="E846" s="94" t="s">
        <v>873</v>
      </c>
      <c r="F846" s="93" t="s">
        <v>442</v>
      </c>
      <c r="G846" s="93" t="s">
        <v>266</v>
      </c>
      <c r="H846" s="93" t="s">
        <v>13</v>
      </c>
      <c r="I846" s="93" t="s">
        <v>255</v>
      </c>
      <c r="J846" s="93" t="s">
        <v>47</v>
      </c>
      <c r="K846" s="93"/>
      <c r="L846" s="95">
        <v>10.78</v>
      </c>
      <c r="M846" s="95">
        <f>L846*VLOOKUP(H846,dagsoorttabel1,2,FALSE)</f>
        <v>8.4549019607843139</v>
      </c>
      <c r="N846" s="96">
        <f>prodnorm40</f>
        <v>0</v>
      </c>
      <c r="O846" s="37">
        <f>dagwerk40</f>
        <v>0</v>
      </c>
      <c r="P846" s="93" t="s">
        <v>105</v>
      </c>
      <c r="Q846" s="24">
        <f>uurtarief40</f>
        <v>0</v>
      </c>
      <c r="R846" s="95" t="e">
        <f>IF(ISBLANK(N846),0,M846/ROUND(N846,4))</f>
        <v>#DIV/0!</v>
      </c>
      <c r="S846" s="95" t="e">
        <f>IF(ISBLANK(N846),0,R846*ROUND(O846,2))</f>
        <v>#DIV/0!</v>
      </c>
      <c r="T846" s="24" t="e">
        <f>ROUND(Q846,2)*R846</f>
        <v>#DIV/0!</v>
      </c>
      <c r="U846" s="95" t="e">
        <f>R846*dagenperjaar1</f>
        <v>#DIV/0!</v>
      </c>
      <c r="V846" s="25" t="e">
        <f>U846*ROUND(Q846,2)</f>
        <v>#DIV/0!</v>
      </c>
    </row>
    <row r="847" spans="1:22" ht="25.2" x14ac:dyDescent="0.2">
      <c r="A847" s="92" t="s">
        <v>867</v>
      </c>
      <c r="B847" s="93" t="s">
        <v>47</v>
      </c>
      <c r="C847" s="93" t="s">
        <v>394</v>
      </c>
      <c r="D847" s="93" t="s">
        <v>47</v>
      </c>
      <c r="E847" s="94" t="s">
        <v>873</v>
      </c>
      <c r="F847" s="93" t="s">
        <v>442</v>
      </c>
      <c r="G847" s="93" t="s">
        <v>268</v>
      </c>
      <c r="H847" s="93" t="s">
        <v>13</v>
      </c>
      <c r="I847" s="93" t="s">
        <v>255</v>
      </c>
      <c r="J847" s="93" t="s">
        <v>47</v>
      </c>
      <c r="K847" s="93"/>
      <c r="L847" s="95">
        <v>10.78</v>
      </c>
      <c r="M847" s="95">
        <f>L847*VLOOKUP(H847,dagsoorttabel1,2,FALSE)</f>
        <v>8.4549019607843139</v>
      </c>
      <c r="N847" s="96">
        <f>prodnorm42</f>
        <v>0</v>
      </c>
      <c r="O847" s="37">
        <f>dagwerk42</f>
        <v>0</v>
      </c>
      <c r="P847" s="93" t="s">
        <v>105</v>
      </c>
      <c r="Q847" s="24">
        <f>uurtarief42</f>
        <v>0</v>
      </c>
      <c r="R847" s="95" t="e">
        <f>IF(ISBLANK(N847),0,M847/ROUND(N847,4))</f>
        <v>#DIV/0!</v>
      </c>
      <c r="S847" s="95" t="e">
        <f>IF(ISBLANK(N847),0,R847*ROUND(O847,2))</f>
        <v>#DIV/0!</v>
      </c>
      <c r="T847" s="24" t="e">
        <f>ROUND(Q847,2)*R847</f>
        <v>#DIV/0!</v>
      </c>
      <c r="U847" s="95" t="e">
        <f>R847*dagenperjaar1</f>
        <v>#DIV/0!</v>
      </c>
      <c r="V847" s="25" t="e">
        <f>U847*ROUND(Q847,2)</f>
        <v>#DIV/0!</v>
      </c>
    </row>
    <row r="848" spans="1:22" ht="25.2" x14ac:dyDescent="0.2">
      <c r="A848" s="92" t="s">
        <v>867</v>
      </c>
      <c r="B848" s="93" t="s">
        <v>47</v>
      </c>
      <c r="C848" s="93" t="s">
        <v>394</v>
      </c>
      <c r="D848" s="93" t="s">
        <v>47</v>
      </c>
      <c r="E848" s="94" t="s">
        <v>874</v>
      </c>
      <c r="F848" s="93" t="s">
        <v>442</v>
      </c>
      <c r="G848" s="93" t="s">
        <v>304</v>
      </c>
      <c r="H848" s="93" t="s">
        <v>13</v>
      </c>
      <c r="I848" s="93" t="s">
        <v>255</v>
      </c>
      <c r="J848" s="93" t="s">
        <v>47</v>
      </c>
      <c r="K848" s="93"/>
      <c r="L848" s="95">
        <v>3.9099999999999997</v>
      </c>
      <c r="M848" s="95">
        <f>L848*VLOOKUP(H848,dagsoorttabel1,2,FALSE)</f>
        <v>3.0666666666666664</v>
      </c>
      <c r="N848" s="96">
        <f>prodnorm74</f>
        <v>0</v>
      </c>
      <c r="O848" s="37">
        <f>dagwerk74</f>
        <v>0</v>
      </c>
      <c r="P848" s="93" t="s">
        <v>105</v>
      </c>
      <c r="Q848" s="24">
        <f>uurtarief74</f>
        <v>0</v>
      </c>
      <c r="R848" s="95" t="e">
        <f>IF(ISBLANK(N848),0,M848/ROUND(N848,4))</f>
        <v>#DIV/0!</v>
      </c>
      <c r="S848" s="95" t="e">
        <f>IF(ISBLANK(N848),0,R848*ROUND(O848,2))</f>
        <v>#DIV/0!</v>
      </c>
      <c r="T848" s="24" t="e">
        <f>ROUND(Q848,2)*R848</f>
        <v>#DIV/0!</v>
      </c>
      <c r="U848" s="95" t="e">
        <f>R848*dagenperjaar1</f>
        <v>#DIV/0!</v>
      </c>
      <c r="V848" s="25" t="e">
        <f>U848*ROUND(Q848,2)</f>
        <v>#DIV/0!</v>
      </c>
    </row>
    <row r="849" spans="1:22" ht="25.2" x14ac:dyDescent="0.2">
      <c r="A849" s="92" t="s">
        <v>867</v>
      </c>
      <c r="B849" s="93" t="s">
        <v>47</v>
      </c>
      <c r="C849" s="93" t="s">
        <v>394</v>
      </c>
      <c r="D849" s="93" t="s">
        <v>47</v>
      </c>
      <c r="E849" s="94" t="s">
        <v>874</v>
      </c>
      <c r="F849" s="93" t="s">
        <v>442</v>
      </c>
      <c r="G849" s="93" t="s">
        <v>306</v>
      </c>
      <c r="H849" s="93" t="s">
        <v>13</v>
      </c>
      <c r="I849" s="93" t="s">
        <v>255</v>
      </c>
      <c r="J849" s="93" t="s">
        <v>47</v>
      </c>
      <c r="K849" s="93"/>
      <c r="L849" s="95">
        <v>3.9099999999999997</v>
      </c>
      <c r="M849" s="95">
        <f>L849*VLOOKUP(H849,dagsoorttabel1,2,FALSE)</f>
        <v>3.0666666666666664</v>
      </c>
      <c r="N849" s="96">
        <f>prodnorm78</f>
        <v>0</v>
      </c>
      <c r="O849" s="37">
        <f>dagwerk78</f>
        <v>0</v>
      </c>
      <c r="P849" s="93" t="s">
        <v>105</v>
      </c>
      <c r="Q849" s="24">
        <f>uurtarief78</f>
        <v>0</v>
      </c>
      <c r="R849" s="95" t="e">
        <f>IF(ISBLANK(N849),0,M849/ROUND(N849,4))</f>
        <v>#DIV/0!</v>
      </c>
      <c r="S849" s="95" t="e">
        <f>IF(ISBLANK(N849),0,R849*ROUND(O849,2))</f>
        <v>#DIV/0!</v>
      </c>
      <c r="T849" s="24" t="e">
        <f>ROUND(Q849,2)*R849</f>
        <v>#DIV/0!</v>
      </c>
      <c r="U849" s="95" t="e">
        <f>R849*dagenperjaar1</f>
        <v>#DIV/0!</v>
      </c>
      <c r="V849" s="25" t="e">
        <f>U849*ROUND(Q849,2)</f>
        <v>#DIV/0!</v>
      </c>
    </row>
    <row r="850" spans="1:22" x14ac:dyDescent="0.2">
      <c r="A850" s="92" t="s">
        <v>867</v>
      </c>
      <c r="B850" s="93" t="s">
        <v>47</v>
      </c>
      <c r="C850" s="93" t="s">
        <v>394</v>
      </c>
      <c r="D850" s="93" t="s">
        <v>47</v>
      </c>
      <c r="E850" s="94" t="s">
        <v>875</v>
      </c>
      <c r="F850" s="93" t="s">
        <v>442</v>
      </c>
      <c r="G850" s="93" t="s">
        <v>284</v>
      </c>
      <c r="H850" s="93" t="s">
        <v>13</v>
      </c>
      <c r="I850" s="93" t="s">
        <v>255</v>
      </c>
      <c r="J850" s="93" t="s">
        <v>47</v>
      </c>
      <c r="K850" s="93"/>
      <c r="L850" s="95">
        <v>23.93</v>
      </c>
      <c r="M850" s="95">
        <f>L850*VLOOKUP(H850,dagsoorttabel1,2,FALSE)</f>
        <v>18.768627450980393</v>
      </c>
      <c r="N850" s="96">
        <f>prodnorm58</f>
        <v>0</v>
      </c>
      <c r="O850" s="37">
        <f>dagwerk58</f>
        <v>0</v>
      </c>
      <c r="P850" s="93" t="s">
        <v>105</v>
      </c>
      <c r="Q850" s="24">
        <f>uurtarief58</f>
        <v>0</v>
      </c>
      <c r="R850" s="95" t="e">
        <f>IF(ISBLANK(N850),0,M850/ROUND(N850,4))</f>
        <v>#DIV/0!</v>
      </c>
      <c r="S850" s="95" t="e">
        <f>IF(ISBLANK(N850),0,R850*ROUND(O850,2))</f>
        <v>#DIV/0!</v>
      </c>
      <c r="T850" s="24" t="e">
        <f>ROUND(Q850,2)*R850</f>
        <v>#DIV/0!</v>
      </c>
      <c r="U850" s="95" t="e">
        <f>R850*dagenperjaar1</f>
        <v>#DIV/0!</v>
      </c>
      <c r="V850" s="25" t="e">
        <f>U850*ROUND(Q850,2)</f>
        <v>#DIV/0!</v>
      </c>
    </row>
    <row r="851" spans="1:22" x14ac:dyDescent="0.2">
      <c r="A851" s="92" t="s">
        <v>867</v>
      </c>
      <c r="B851" s="93" t="s">
        <v>47</v>
      </c>
      <c r="C851" s="93" t="s">
        <v>394</v>
      </c>
      <c r="D851" s="93" t="s">
        <v>47</v>
      </c>
      <c r="E851" s="94" t="s">
        <v>875</v>
      </c>
      <c r="F851" s="93" t="s">
        <v>442</v>
      </c>
      <c r="G851" s="93" t="s">
        <v>286</v>
      </c>
      <c r="H851" s="93" t="s">
        <v>13</v>
      </c>
      <c r="I851" s="93" t="s">
        <v>255</v>
      </c>
      <c r="J851" s="93" t="s">
        <v>47</v>
      </c>
      <c r="K851" s="93"/>
      <c r="L851" s="95">
        <v>23.93</v>
      </c>
      <c r="M851" s="95">
        <f>L851*VLOOKUP(H851,dagsoorttabel1,2,FALSE)</f>
        <v>18.768627450980393</v>
      </c>
      <c r="N851" s="96">
        <f>prodnorm61</f>
        <v>0</v>
      </c>
      <c r="O851" s="37">
        <f>dagwerk61</f>
        <v>0</v>
      </c>
      <c r="P851" s="93" t="s">
        <v>105</v>
      </c>
      <c r="Q851" s="24">
        <f>uurtarief61</f>
        <v>0</v>
      </c>
      <c r="R851" s="95" t="e">
        <f>IF(ISBLANK(N851),0,M851/ROUND(N851,4))</f>
        <v>#DIV/0!</v>
      </c>
      <c r="S851" s="95" t="e">
        <f>IF(ISBLANK(N851),0,R851*ROUND(O851,2))</f>
        <v>#DIV/0!</v>
      </c>
      <c r="T851" s="24" t="e">
        <f>ROUND(Q851,2)*R851</f>
        <v>#DIV/0!</v>
      </c>
      <c r="U851" s="95" t="e">
        <f>R851*dagenperjaar1</f>
        <v>#DIV/0!</v>
      </c>
      <c r="V851" s="25" t="e">
        <f>U851*ROUND(Q851,2)</f>
        <v>#DIV/0!</v>
      </c>
    </row>
    <row r="852" spans="1:22" ht="25.2" x14ac:dyDescent="0.2">
      <c r="A852" s="92" t="s">
        <v>867</v>
      </c>
      <c r="B852" s="93" t="s">
        <v>47</v>
      </c>
      <c r="C852" s="93" t="s">
        <v>394</v>
      </c>
      <c r="D852" s="93" t="s">
        <v>47</v>
      </c>
      <c r="E852" s="94" t="s">
        <v>876</v>
      </c>
      <c r="F852" s="93" t="s">
        <v>442</v>
      </c>
      <c r="G852" s="93" t="s">
        <v>304</v>
      </c>
      <c r="H852" s="93" t="s">
        <v>13</v>
      </c>
      <c r="I852" s="93" t="s">
        <v>255</v>
      </c>
      <c r="J852" s="93" t="s">
        <v>47</v>
      </c>
      <c r="K852" s="93"/>
      <c r="L852" s="95">
        <v>1.23</v>
      </c>
      <c r="M852" s="95">
        <f>L852*VLOOKUP(H852,dagsoorttabel1,2,FALSE)</f>
        <v>0.96470588235294119</v>
      </c>
      <c r="N852" s="96">
        <f>prodnorm74</f>
        <v>0</v>
      </c>
      <c r="O852" s="37">
        <f>dagwerk74</f>
        <v>0</v>
      </c>
      <c r="P852" s="93" t="s">
        <v>105</v>
      </c>
      <c r="Q852" s="24">
        <f>uurtarief74</f>
        <v>0</v>
      </c>
      <c r="R852" s="95" t="e">
        <f>IF(ISBLANK(N852),0,M852/ROUND(N852,4))</f>
        <v>#DIV/0!</v>
      </c>
      <c r="S852" s="95" t="e">
        <f>IF(ISBLANK(N852),0,R852*ROUND(O852,2))</f>
        <v>#DIV/0!</v>
      </c>
      <c r="T852" s="24" t="e">
        <f>ROUND(Q852,2)*R852</f>
        <v>#DIV/0!</v>
      </c>
      <c r="U852" s="95" t="e">
        <f>R852*dagenperjaar1</f>
        <v>#DIV/0!</v>
      </c>
      <c r="V852" s="25" t="e">
        <f>U852*ROUND(Q852,2)</f>
        <v>#DIV/0!</v>
      </c>
    </row>
    <row r="853" spans="1:22" ht="25.2" x14ac:dyDescent="0.2">
      <c r="A853" s="92" t="s">
        <v>867</v>
      </c>
      <c r="B853" s="93" t="s">
        <v>47</v>
      </c>
      <c r="C853" s="93" t="s">
        <v>394</v>
      </c>
      <c r="D853" s="93" t="s">
        <v>47</v>
      </c>
      <c r="E853" s="94" t="s">
        <v>876</v>
      </c>
      <c r="F853" s="93" t="s">
        <v>442</v>
      </c>
      <c r="G853" s="93" t="s">
        <v>306</v>
      </c>
      <c r="H853" s="93" t="s">
        <v>13</v>
      </c>
      <c r="I853" s="93" t="s">
        <v>255</v>
      </c>
      <c r="J853" s="93" t="s">
        <v>47</v>
      </c>
      <c r="K853" s="93"/>
      <c r="L853" s="95">
        <v>1.23</v>
      </c>
      <c r="M853" s="95">
        <f>L853*VLOOKUP(H853,dagsoorttabel1,2,FALSE)</f>
        <v>0.96470588235294119</v>
      </c>
      <c r="N853" s="96">
        <f>prodnorm78</f>
        <v>0</v>
      </c>
      <c r="O853" s="37">
        <f>dagwerk78</f>
        <v>0</v>
      </c>
      <c r="P853" s="93" t="s">
        <v>105</v>
      </c>
      <c r="Q853" s="24">
        <f>uurtarief78</f>
        <v>0</v>
      </c>
      <c r="R853" s="95" t="e">
        <f>IF(ISBLANK(N853),0,M853/ROUND(N853,4))</f>
        <v>#DIV/0!</v>
      </c>
      <c r="S853" s="95" t="e">
        <f>IF(ISBLANK(N853),0,R853*ROUND(O853,2))</f>
        <v>#DIV/0!</v>
      </c>
      <c r="T853" s="24" t="e">
        <f>ROUND(Q853,2)*R853</f>
        <v>#DIV/0!</v>
      </c>
      <c r="U853" s="95" t="e">
        <f>R853*dagenperjaar1</f>
        <v>#DIV/0!</v>
      </c>
      <c r="V853" s="25" t="e">
        <f>U853*ROUND(Q853,2)</f>
        <v>#DIV/0!</v>
      </c>
    </row>
    <row r="854" spans="1:22" ht="25.2" x14ac:dyDescent="0.2">
      <c r="A854" s="92" t="s">
        <v>867</v>
      </c>
      <c r="B854" s="93" t="s">
        <v>47</v>
      </c>
      <c r="C854" s="93" t="s">
        <v>394</v>
      </c>
      <c r="D854" s="93" t="s">
        <v>47</v>
      </c>
      <c r="E854" s="94" t="s">
        <v>877</v>
      </c>
      <c r="F854" s="93" t="s">
        <v>442</v>
      </c>
      <c r="G854" s="93" t="s">
        <v>266</v>
      </c>
      <c r="H854" s="93" t="s">
        <v>13</v>
      </c>
      <c r="I854" s="93" t="s">
        <v>255</v>
      </c>
      <c r="J854" s="93" t="s">
        <v>47</v>
      </c>
      <c r="K854" s="93"/>
      <c r="L854" s="95">
        <v>9.67</v>
      </c>
      <c r="M854" s="95">
        <f>L854*VLOOKUP(H854,dagsoorttabel1,2,FALSE)</f>
        <v>7.5843137254901958</v>
      </c>
      <c r="N854" s="96">
        <f>prodnorm40</f>
        <v>0</v>
      </c>
      <c r="O854" s="37">
        <f>dagwerk40</f>
        <v>0</v>
      </c>
      <c r="P854" s="93" t="s">
        <v>105</v>
      </c>
      <c r="Q854" s="24">
        <f>uurtarief40</f>
        <v>0</v>
      </c>
      <c r="R854" s="95" t="e">
        <f>IF(ISBLANK(N854),0,M854/ROUND(N854,4))</f>
        <v>#DIV/0!</v>
      </c>
      <c r="S854" s="95" t="e">
        <f>IF(ISBLANK(N854),0,R854*ROUND(O854,2))</f>
        <v>#DIV/0!</v>
      </c>
      <c r="T854" s="24" t="e">
        <f>ROUND(Q854,2)*R854</f>
        <v>#DIV/0!</v>
      </c>
      <c r="U854" s="95" t="e">
        <f>R854*dagenperjaar1</f>
        <v>#DIV/0!</v>
      </c>
      <c r="V854" s="25" t="e">
        <f>U854*ROUND(Q854,2)</f>
        <v>#DIV/0!</v>
      </c>
    </row>
    <row r="855" spans="1:22" ht="25.2" x14ac:dyDescent="0.2">
      <c r="A855" s="92" t="s">
        <v>867</v>
      </c>
      <c r="B855" s="93" t="s">
        <v>47</v>
      </c>
      <c r="C855" s="93" t="s">
        <v>394</v>
      </c>
      <c r="D855" s="93" t="s">
        <v>47</v>
      </c>
      <c r="E855" s="94" t="s">
        <v>877</v>
      </c>
      <c r="F855" s="93" t="s">
        <v>442</v>
      </c>
      <c r="G855" s="93" t="s">
        <v>268</v>
      </c>
      <c r="H855" s="93" t="s">
        <v>13</v>
      </c>
      <c r="I855" s="93" t="s">
        <v>255</v>
      </c>
      <c r="J855" s="93" t="s">
        <v>47</v>
      </c>
      <c r="K855" s="93"/>
      <c r="L855" s="95">
        <v>9.67</v>
      </c>
      <c r="M855" s="95">
        <f>L855*VLOOKUP(H855,dagsoorttabel1,2,FALSE)</f>
        <v>7.5843137254901958</v>
      </c>
      <c r="N855" s="96">
        <f>prodnorm42</f>
        <v>0</v>
      </c>
      <c r="O855" s="37">
        <f>dagwerk42</f>
        <v>0</v>
      </c>
      <c r="P855" s="93" t="s">
        <v>105</v>
      </c>
      <c r="Q855" s="24">
        <f>uurtarief42</f>
        <v>0</v>
      </c>
      <c r="R855" s="95" t="e">
        <f>IF(ISBLANK(N855),0,M855/ROUND(N855,4))</f>
        <v>#DIV/0!</v>
      </c>
      <c r="S855" s="95" t="e">
        <f>IF(ISBLANK(N855),0,R855*ROUND(O855,2))</f>
        <v>#DIV/0!</v>
      </c>
      <c r="T855" s="24" t="e">
        <f>ROUND(Q855,2)*R855</f>
        <v>#DIV/0!</v>
      </c>
      <c r="U855" s="95" t="e">
        <f>R855*dagenperjaar1</f>
        <v>#DIV/0!</v>
      </c>
      <c r="V855" s="25" t="e">
        <f>U855*ROUND(Q855,2)</f>
        <v>#DIV/0!</v>
      </c>
    </row>
    <row r="856" spans="1:22" x14ac:dyDescent="0.2">
      <c r="A856" s="92" t="s">
        <v>867</v>
      </c>
      <c r="B856" s="93" t="s">
        <v>47</v>
      </c>
      <c r="C856" s="93" t="s">
        <v>394</v>
      </c>
      <c r="D856" s="93" t="s">
        <v>47</v>
      </c>
      <c r="E856" s="94" t="s">
        <v>878</v>
      </c>
      <c r="F856" s="93" t="s">
        <v>442</v>
      </c>
      <c r="G856" s="93" t="s">
        <v>314</v>
      </c>
      <c r="H856" s="93" t="s">
        <v>13</v>
      </c>
      <c r="I856" s="93" t="s">
        <v>255</v>
      </c>
      <c r="J856" s="93" t="s">
        <v>47</v>
      </c>
      <c r="K856" s="93"/>
      <c r="L856" s="95">
        <v>8.43</v>
      </c>
      <c r="M856" s="95">
        <f>L856*VLOOKUP(H856,dagsoorttabel1,2,FALSE)</f>
        <v>6.6117647058823525</v>
      </c>
      <c r="N856" s="96">
        <f>prodnorm88</f>
        <v>0</v>
      </c>
      <c r="O856" s="37">
        <f>dagwerk88</f>
        <v>0</v>
      </c>
      <c r="P856" s="93" t="s">
        <v>105</v>
      </c>
      <c r="Q856" s="24">
        <f>uurtarief88</f>
        <v>0</v>
      </c>
      <c r="R856" s="95" t="e">
        <f>IF(ISBLANK(N856),0,M856/ROUND(N856,4))</f>
        <v>#DIV/0!</v>
      </c>
      <c r="S856" s="95" t="e">
        <f>IF(ISBLANK(N856),0,R856*ROUND(O856,2))</f>
        <v>#DIV/0!</v>
      </c>
      <c r="T856" s="24" t="e">
        <f>ROUND(Q856,2)*R856</f>
        <v>#DIV/0!</v>
      </c>
      <c r="U856" s="95" t="e">
        <f>R856*dagenperjaar1</f>
        <v>#DIV/0!</v>
      </c>
      <c r="V856" s="25" t="e">
        <f>U856*ROUND(Q856,2)</f>
        <v>#DIV/0!</v>
      </c>
    </row>
    <row r="857" spans="1:22" x14ac:dyDescent="0.2">
      <c r="A857" s="92" t="s">
        <v>867</v>
      </c>
      <c r="B857" s="93" t="s">
        <v>47</v>
      </c>
      <c r="C857" s="93" t="s">
        <v>394</v>
      </c>
      <c r="D857" s="93" t="s">
        <v>47</v>
      </c>
      <c r="E857" s="94" t="s">
        <v>878</v>
      </c>
      <c r="F857" s="93" t="s">
        <v>442</v>
      </c>
      <c r="G857" s="93" t="s">
        <v>316</v>
      </c>
      <c r="H857" s="93" t="s">
        <v>13</v>
      </c>
      <c r="I857" s="93" t="s">
        <v>255</v>
      </c>
      <c r="J857" s="93" t="s">
        <v>47</v>
      </c>
      <c r="K857" s="93"/>
      <c r="L857" s="95">
        <v>8.43</v>
      </c>
      <c r="M857" s="95">
        <f>L857*VLOOKUP(H857,dagsoorttabel1,2,FALSE)</f>
        <v>6.6117647058823525</v>
      </c>
      <c r="N857" s="96">
        <f>prodnorm93</f>
        <v>0</v>
      </c>
      <c r="O857" s="37">
        <f>dagwerk93</f>
        <v>0</v>
      </c>
      <c r="P857" s="93" t="s">
        <v>105</v>
      </c>
      <c r="Q857" s="24">
        <f>uurtarief93</f>
        <v>0</v>
      </c>
      <c r="R857" s="95" t="e">
        <f>IF(ISBLANK(N857),0,M857/ROUND(N857,4))</f>
        <v>#DIV/0!</v>
      </c>
      <c r="S857" s="95" t="e">
        <f>IF(ISBLANK(N857),0,R857*ROUND(O857,2))</f>
        <v>#DIV/0!</v>
      </c>
      <c r="T857" s="24" t="e">
        <f>ROUND(Q857,2)*R857</f>
        <v>#DIV/0!</v>
      </c>
      <c r="U857" s="95" t="e">
        <f>R857*dagenperjaar1</f>
        <v>#DIV/0!</v>
      </c>
      <c r="V857" s="25" t="e">
        <f>U857*ROUND(Q857,2)</f>
        <v>#DIV/0!</v>
      </c>
    </row>
    <row r="858" spans="1:22" x14ac:dyDescent="0.2">
      <c r="A858" s="92" t="s">
        <v>867</v>
      </c>
      <c r="B858" s="93" t="s">
        <v>47</v>
      </c>
      <c r="C858" s="93" t="s">
        <v>394</v>
      </c>
      <c r="D858" s="93" t="s">
        <v>47</v>
      </c>
      <c r="E858" s="94" t="s">
        <v>879</v>
      </c>
      <c r="F858" s="93" t="s">
        <v>442</v>
      </c>
      <c r="G858" s="93" t="s">
        <v>284</v>
      </c>
      <c r="H858" s="93" t="s">
        <v>13</v>
      </c>
      <c r="I858" s="93" t="s">
        <v>255</v>
      </c>
      <c r="J858" s="93" t="s">
        <v>47</v>
      </c>
      <c r="K858" s="93"/>
      <c r="L858" s="95">
        <v>3.68</v>
      </c>
      <c r="M858" s="95">
        <f>L858*VLOOKUP(H858,dagsoorttabel1,2,FALSE)</f>
        <v>2.8862745098039215</v>
      </c>
      <c r="N858" s="96">
        <f>prodnorm58</f>
        <v>0</v>
      </c>
      <c r="O858" s="37">
        <f>dagwerk58</f>
        <v>0</v>
      </c>
      <c r="P858" s="93" t="s">
        <v>105</v>
      </c>
      <c r="Q858" s="24">
        <f>uurtarief58</f>
        <v>0</v>
      </c>
      <c r="R858" s="95" t="e">
        <f>IF(ISBLANK(N858),0,M858/ROUND(N858,4))</f>
        <v>#DIV/0!</v>
      </c>
      <c r="S858" s="95" t="e">
        <f>IF(ISBLANK(N858),0,R858*ROUND(O858,2))</f>
        <v>#DIV/0!</v>
      </c>
      <c r="T858" s="24" t="e">
        <f>ROUND(Q858,2)*R858</f>
        <v>#DIV/0!</v>
      </c>
      <c r="U858" s="95" t="e">
        <f>R858*dagenperjaar1</f>
        <v>#DIV/0!</v>
      </c>
      <c r="V858" s="25" t="e">
        <f>U858*ROUND(Q858,2)</f>
        <v>#DIV/0!</v>
      </c>
    </row>
    <row r="859" spans="1:22" x14ac:dyDescent="0.2">
      <c r="A859" s="92" t="s">
        <v>867</v>
      </c>
      <c r="B859" s="93" t="s">
        <v>47</v>
      </c>
      <c r="C859" s="93" t="s">
        <v>394</v>
      </c>
      <c r="D859" s="93" t="s">
        <v>47</v>
      </c>
      <c r="E859" s="94" t="s">
        <v>879</v>
      </c>
      <c r="F859" s="93" t="s">
        <v>442</v>
      </c>
      <c r="G859" s="93" t="s">
        <v>286</v>
      </c>
      <c r="H859" s="93" t="s">
        <v>13</v>
      </c>
      <c r="I859" s="93" t="s">
        <v>255</v>
      </c>
      <c r="J859" s="93" t="s">
        <v>47</v>
      </c>
      <c r="K859" s="93"/>
      <c r="L859" s="95">
        <v>3.68</v>
      </c>
      <c r="M859" s="95">
        <f>L859*VLOOKUP(H859,dagsoorttabel1,2,FALSE)</f>
        <v>2.8862745098039215</v>
      </c>
      <c r="N859" s="96">
        <f>prodnorm61</f>
        <v>0</v>
      </c>
      <c r="O859" s="37">
        <f>dagwerk61</f>
        <v>0</v>
      </c>
      <c r="P859" s="93" t="s">
        <v>105</v>
      </c>
      <c r="Q859" s="24">
        <f>uurtarief61</f>
        <v>0</v>
      </c>
      <c r="R859" s="95" t="e">
        <f>IF(ISBLANK(N859),0,M859/ROUND(N859,4))</f>
        <v>#DIV/0!</v>
      </c>
      <c r="S859" s="95" t="e">
        <f>IF(ISBLANK(N859),0,R859*ROUND(O859,2))</f>
        <v>#DIV/0!</v>
      </c>
      <c r="T859" s="24" t="e">
        <f>ROUND(Q859,2)*R859</f>
        <v>#DIV/0!</v>
      </c>
      <c r="U859" s="95" t="e">
        <f>R859*dagenperjaar1</f>
        <v>#DIV/0!</v>
      </c>
      <c r="V859" s="25" t="e">
        <f>U859*ROUND(Q859,2)</f>
        <v>#DIV/0!</v>
      </c>
    </row>
    <row r="860" spans="1:22" x14ac:dyDescent="0.2">
      <c r="A860" s="92" t="s">
        <v>867</v>
      </c>
      <c r="B860" s="93" t="s">
        <v>47</v>
      </c>
      <c r="C860" s="93" t="s">
        <v>394</v>
      </c>
      <c r="D860" s="93" t="s">
        <v>47</v>
      </c>
      <c r="E860" s="94" t="s">
        <v>880</v>
      </c>
      <c r="F860" s="93" t="s">
        <v>442</v>
      </c>
      <c r="G860" s="93" t="s">
        <v>284</v>
      </c>
      <c r="H860" s="93" t="s">
        <v>13</v>
      </c>
      <c r="I860" s="93" t="s">
        <v>255</v>
      </c>
      <c r="J860" s="93" t="s">
        <v>47</v>
      </c>
      <c r="K860" s="93"/>
      <c r="L860" s="95">
        <v>3.69</v>
      </c>
      <c r="M860" s="95">
        <f>L860*VLOOKUP(H860,dagsoorttabel1,2,FALSE)</f>
        <v>2.8941176470588235</v>
      </c>
      <c r="N860" s="96">
        <f>prodnorm58</f>
        <v>0</v>
      </c>
      <c r="O860" s="37">
        <f>dagwerk58</f>
        <v>0</v>
      </c>
      <c r="P860" s="93" t="s">
        <v>105</v>
      </c>
      <c r="Q860" s="24">
        <f>uurtarief58</f>
        <v>0</v>
      </c>
      <c r="R860" s="95" t="e">
        <f>IF(ISBLANK(N860),0,M860/ROUND(N860,4))</f>
        <v>#DIV/0!</v>
      </c>
      <c r="S860" s="95" t="e">
        <f>IF(ISBLANK(N860),0,R860*ROUND(O860,2))</f>
        <v>#DIV/0!</v>
      </c>
      <c r="T860" s="24" t="e">
        <f>ROUND(Q860,2)*R860</f>
        <v>#DIV/0!</v>
      </c>
      <c r="U860" s="95" t="e">
        <f>R860*dagenperjaar1</f>
        <v>#DIV/0!</v>
      </c>
      <c r="V860" s="25" t="e">
        <f>U860*ROUND(Q860,2)</f>
        <v>#DIV/0!</v>
      </c>
    </row>
    <row r="861" spans="1:22" x14ac:dyDescent="0.2">
      <c r="A861" s="92" t="s">
        <v>867</v>
      </c>
      <c r="B861" s="93" t="s">
        <v>47</v>
      </c>
      <c r="C861" s="93" t="s">
        <v>394</v>
      </c>
      <c r="D861" s="93" t="s">
        <v>47</v>
      </c>
      <c r="E861" s="94" t="s">
        <v>880</v>
      </c>
      <c r="F861" s="93" t="s">
        <v>442</v>
      </c>
      <c r="G861" s="93" t="s">
        <v>286</v>
      </c>
      <c r="H861" s="93" t="s">
        <v>13</v>
      </c>
      <c r="I861" s="93" t="s">
        <v>255</v>
      </c>
      <c r="J861" s="93" t="s">
        <v>47</v>
      </c>
      <c r="K861" s="93"/>
      <c r="L861" s="95">
        <v>3.69</v>
      </c>
      <c r="M861" s="95">
        <f>L861*VLOOKUP(H861,dagsoorttabel1,2,FALSE)</f>
        <v>2.8941176470588235</v>
      </c>
      <c r="N861" s="96">
        <f>prodnorm61</f>
        <v>0</v>
      </c>
      <c r="O861" s="37">
        <f>dagwerk61</f>
        <v>0</v>
      </c>
      <c r="P861" s="93" t="s">
        <v>105</v>
      </c>
      <c r="Q861" s="24">
        <f>uurtarief61</f>
        <v>0</v>
      </c>
      <c r="R861" s="95" t="e">
        <f>IF(ISBLANK(N861),0,M861/ROUND(N861,4))</f>
        <v>#DIV/0!</v>
      </c>
      <c r="S861" s="95" t="e">
        <f>IF(ISBLANK(N861),0,R861*ROUND(O861,2))</f>
        <v>#DIV/0!</v>
      </c>
      <c r="T861" s="24" t="e">
        <f>ROUND(Q861,2)*R861</f>
        <v>#DIV/0!</v>
      </c>
      <c r="U861" s="95" t="e">
        <f>R861*dagenperjaar1</f>
        <v>#DIV/0!</v>
      </c>
      <c r="V861" s="25" t="e">
        <f>U861*ROUND(Q861,2)</f>
        <v>#DIV/0!</v>
      </c>
    </row>
    <row r="862" spans="1:22" x14ac:dyDescent="0.2">
      <c r="A862" s="92" t="s">
        <v>867</v>
      </c>
      <c r="B862" s="93" t="s">
        <v>47</v>
      </c>
      <c r="C862" s="93" t="s">
        <v>394</v>
      </c>
      <c r="D862" s="93" t="s">
        <v>47</v>
      </c>
      <c r="E862" s="94" t="s">
        <v>881</v>
      </c>
      <c r="F862" s="93" t="s">
        <v>442</v>
      </c>
      <c r="G862" s="93" t="s">
        <v>304</v>
      </c>
      <c r="H862" s="93" t="s">
        <v>13</v>
      </c>
      <c r="I862" s="93" t="s">
        <v>255</v>
      </c>
      <c r="J862" s="93" t="s">
        <v>47</v>
      </c>
      <c r="K862" s="93"/>
      <c r="L862" s="95">
        <v>1.51</v>
      </c>
      <c r="M862" s="95">
        <f>L862*VLOOKUP(H862,dagsoorttabel1,2,FALSE)</f>
        <v>1.1843137254901961</v>
      </c>
      <c r="N862" s="96">
        <f>prodnorm74</f>
        <v>0</v>
      </c>
      <c r="O862" s="37">
        <f>dagwerk74</f>
        <v>0</v>
      </c>
      <c r="P862" s="93" t="s">
        <v>105</v>
      </c>
      <c r="Q862" s="24">
        <f>uurtarief74</f>
        <v>0</v>
      </c>
      <c r="R862" s="95" t="e">
        <f>IF(ISBLANK(N862),0,M862/ROUND(N862,4))</f>
        <v>#DIV/0!</v>
      </c>
      <c r="S862" s="95" t="e">
        <f>IF(ISBLANK(N862),0,R862*ROUND(O862,2))</f>
        <v>#DIV/0!</v>
      </c>
      <c r="T862" s="24" t="e">
        <f>ROUND(Q862,2)*R862</f>
        <v>#DIV/0!</v>
      </c>
      <c r="U862" s="95" t="e">
        <f>R862*dagenperjaar1</f>
        <v>#DIV/0!</v>
      </c>
      <c r="V862" s="25" t="e">
        <f>U862*ROUND(Q862,2)</f>
        <v>#DIV/0!</v>
      </c>
    </row>
    <row r="863" spans="1:22" x14ac:dyDescent="0.2">
      <c r="A863" s="92" t="s">
        <v>867</v>
      </c>
      <c r="B863" s="93" t="s">
        <v>47</v>
      </c>
      <c r="C863" s="93" t="s">
        <v>394</v>
      </c>
      <c r="D863" s="93" t="s">
        <v>47</v>
      </c>
      <c r="E863" s="94" t="s">
        <v>881</v>
      </c>
      <c r="F863" s="93" t="s">
        <v>442</v>
      </c>
      <c r="G863" s="93" t="s">
        <v>306</v>
      </c>
      <c r="H863" s="93" t="s">
        <v>13</v>
      </c>
      <c r="I863" s="93" t="s">
        <v>255</v>
      </c>
      <c r="J863" s="93" t="s">
        <v>47</v>
      </c>
      <c r="K863" s="93"/>
      <c r="L863" s="95">
        <v>1.51</v>
      </c>
      <c r="M863" s="95">
        <f>L863*VLOOKUP(H863,dagsoorttabel1,2,FALSE)</f>
        <v>1.1843137254901961</v>
      </c>
      <c r="N863" s="96">
        <f>prodnorm78</f>
        <v>0</v>
      </c>
      <c r="O863" s="37">
        <f>dagwerk78</f>
        <v>0</v>
      </c>
      <c r="P863" s="93" t="s">
        <v>105</v>
      </c>
      <c r="Q863" s="24">
        <f>uurtarief78</f>
        <v>0</v>
      </c>
      <c r="R863" s="95" t="e">
        <f>IF(ISBLANK(N863),0,M863/ROUND(N863,4))</f>
        <v>#DIV/0!</v>
      </c>
      <c r="S863" s="95" t="e">
        <f>IF(ISBLANK(N863),0,R863*ROUND(O863,2))</f>
        <v>#DIV/0!</v>
      </c>
      <c r="T863" s="24" t="e">
        <f>ROUND(Q863,2)*R863</f>
        <v>#DIV/0!</v>
      </c>
      <c r="U863" s="95" t="e">
        <f>R863*dagenperjaar1</f>
        <v>#DIV/0!</v>
      </c>
      <c r="V863" s="25" t="e">
        <f>U863*ROUND(Q863,2)</f>
        <v>#DIV/0!</v>
      </c>
    </row>
    <row r="864" spans="1:22" x14ac:dyDescent="0.2">
      <c r="A864" s="92" t="s">
        <v>867</v>
      </c>
      <c r="B864" s="93" t="s">
        <v>47</v>
      </c>
      <c r="C864" s="93" t="s">
        <v>394</v>
      </c>
      <c r="D864" s="93" t="s">
        <v>47</v>
      </c>
      <c r="E864" s="94" t="s">
        <v>882</v>
      </c>
      <c r="F864" s="93" t="s">
        <v>442</v>
      </c>
      <c r="G864" s="93" t="s">
        <v>304</v>
      </c>
      <c r="H864" s="93" t="s">
        <v>13</v>
      </c>
      <c r="I864" s="93" t="s">
        <v>255</v>
      </c>
      <c r="J864" s="93" t="s">
        <v>47</v>
      </c>
      <c r="K864" s="93"/>
      <c r="L864" s="95">
        <v>1.52</v>
      </c>
      <c r="M864" s="95">
        <f>L864*VLOOKUP(H864,dagsoorttabel1,2,FALSE)</f>
        <v>1.192156862745098</v>
      </c>
      <c r="N864" s="96">
        <f>prodnorm74</f>
        <v>0</v>
      </c>
      <c r="O864" s="37">
        <f>dagwerk74</f>
        <v>0</v>
      </c>
      <c r="P864" s="93" t="s">
        <v>105</v>
      </c>
      <c r="Q864" s="24">
        <f>uurtarief74</f>
        <v>0</v>
      </c>
      <c r="R864" s="95" t="e">
        <f>IF(ISBLANK(N864),0,M864/ROUND(N864,4))</f>
        <v>#DIV/0!</v>
      </c>
      <c r="S864" s="95" t="e">
        <f>IF(ISBLANK(N864),0,R864*ROUND(O864,2))</f>
        <v>#DIV/0!</v>
      </c>
      <c r="T864" s="24" t="e">
        <f>ROUND(Q864,2)*R864</f>
        <v>#DIV/0!</v>
      </c>
      <c r="U864" s="95" t="e">
        <f>R864*dagenperjaar1</f>
        <v>#DIV/0!</v>
      </c>
      <c r="V864" s="25" t="e">
        <f>U864*ROUND(Q864,2)</f>
        <v>#DIV/0!</v>
      </c>
    </row>
    <row r="865" spans="1:22" x14ac:dyDescent="0.2">
      <c r="A865" s="92" t="s">
        <v>867</v>
      </c>
      <c r="B865" s="93" t="s">
        <v>47</v>
      </c>
      <c r="C865" s="93" t="s">
        <v>394</v>
      </c>
      <c r="D865" s="93" t="s">
        <v>47</v>
      </c>
      <c r="E865" s="94" t="s">
        <v>882</v>
      </c>
      <c r="F865" s="93" t="s">
        <v>442</v>
      </c>
      <c r="G865" s="93" t="s">
        <v>306</v>
      </c>
      <c r="H865" s="93" t="s">
        <v>13</v>
      </c>
      <c r="I865" s="93" t="s">
        <v>255</v>
      </c>
      <c r="J865" s="93" t="s">
        <v>47</v>
      </c>
      <c r="K865" s="93"/>
      <c r="L865" s="95">
        <v>1.52</v>
      </c>
      <c r="M865" s="95">
        <f>L865*VLOOKUP(H865,dagsoorttabel1,2,FALSE)</f>
        <v>1.192156862745098</v>
      </c>
      <c r="N865" s="96">
        <f>prodnorm78</f>
        <v>0</v>
      </c>
      <c r="O865" s="37">
        <f>dagwerk78</f>
        <v>0</v>
      </c>
      <c r="P865" s="93" t="s">
        <v>105</v>
      </c>
      <c r="Q865" s="24">
        <f>uurtarief78</f>
        <v>0</v>
      </c>
      <c r="R865" s="95" t="e">
        <f>IF(ISBLANK(N865),0,M865/ROUND(N865,4))</f>
        <v>#DIV/0!</v>
      </c>
      <c r="S865" s="95" t="e">
        <f>IF(ISBLANK(N865),0,R865*ROUND(O865,2))</f>
        <v>#DIV/0!</v>
      </c>
      <c r="T865" s="24" t="e">
        <f>ROUND(Q865,2)*R865</f>
        <v>#DIV/0!</v>
      </c>
      <c r="U865" s="95" t="e">
        <f>R865*dagenperjaar1</f>
        <v>#DIV/0!</v>
      </c>
      <c r="V865" s="25" t="e">
        <f>U865*ROUND(Q865,2)</f>
        <v>#DIV/0!</v>
      </c>
    </row>
    <row r="866" spans="1:22" x14ac:dyDescent="0.2">
      <c r="A866" s="92" t="s">
        <v>867</v>
      </c>
      <c r="B866" s="93" t="s">
        <v>47</v>
      </c>
      <c r="C866" s="93" t="s">
        <v>394</v>
      </c>
      <c r="D866" s="93" t="s">
        <v>47</v>
      </c>
      <c r="E866" s="94" t="s">
        <v>883</v>
      </c>
      <c r="F866" s="93" t="s">
        <v>442</v>
      </c>
      <c r="G866" s="93" t="s">
        <v>266</v>
      </c>
      <c r="H866" s="93" t="s">
        <v>13</v>
      </c>
      <c r="I866" s="93" t="s">
        <v>255</v>
      </c>
      <c r="J866" s="93" t="s">
        <v>47</v>
      </c>
      <c r="K866" s="93"/>
      <c r="L866" s="95">
        <v>1.44</v>
      </c>
      <c r="M866" s="95">
        <f>L866*VLOOKUP(H866,dagsoorttabel1,2,FALSE)</f>
        <v>1.1294117647058823</v>
      </c>
      <c r="N866" s="96">
        <f>prodnorm40</f>
        <v>0</v>
      </c>
      <c r="O866" s="37">
        <f>dagwerk40</f>
        <v>0</v>
      </c>
      <c r="P866" s="93" t="s">
        <v>105</v>
      </c>
      <c r="Q866" s="24">
        <f>uurtarief40</f>
        <v>0</v>
      </c>
      <c r="R866" s="95" t="e">
        <f>IF(ISBLANK(N866),0,M866/ROUND(N866,4))</f>
        <v>#DIV/0!</v>
      </c>
      <c r="S866" s="95" t="e">
        <f>IF(ISBLANK(N866),0,R866*ROUND(O866,2))</f>
        <v>#DIV/0!</v>
      </c>
      <c r="T866" s="24" t="e">
        <f>ROUND(Q866,2)*R866</f>
        <v>#DIV/0!</v>
      </c>
      <c r="U866" s="95" t="e">
        <f>R866*dagenperjaar1</f>
        <v>#DIV/0!</v>
      </c>
      <c r="V866" s="25" t="e">
        <f>U866*ROUND(Q866,2)</f>
        <v>#DIV/0!</v>
      </c>
    </row>
    <row r="867" spans="1:22" x14ac:dyDescent="0.2">
      <c r="A867" s="92" t="s">
        <v>867</v>
      </c>
      <c r="B867" s="93" t="s">
        <v>47</v>
      </c>
      <c r="C867" s="93" t="s">
        <v>394</v>
      </c>
      <c r="D867" s="93" t="s">
        <v>47</v>
      </c>
      <c r="E867" s="94" t="s">
        <v>883</v>
      </c>
      <c r="F867" s="93" t="s">
        <v>442</v>
      </c>
      <c r="G867" s="93" t="s">
        <v>268</v>
      </c>
      <c r="H867" s="93" t="s">
        <v>13</v>
      </c>
      <c r="I867" s="93" t="s">
        <v>255</v>
      </c>
      <c r="J867" s="93" t="s">
        <v>47</v>
      </c>
      <c r="K867" s="93"/>
      <c r="L867" s="95">
        <v>1.44</v>
      </c>
      <c r="M867" s="95">
        <f>L867*VLOOKUP(H867,dagsoorttabel1,2,FALSE)</f>
        <v>1.1294117647058823</v>
      </c>
      <c r="N867" s="96">
        <f>prodnorm42</f>
        <v>0</v>
      </c>
      <c r="O867" s="37">
        <f>dagwerk42</f>
        <v>0</v>
      </c>
      <c r="P867" s="93" t="s">
        <v>105</v>
      </c>
      <c r="Q867" s="24">
        <f>uurtarief42</f>
        <v>0</v>
      </c>
      <c r="R867" s="95" t="e">
        <f>IF(ISBLANK(N867),0,M867/ROUND(N867,4))</f>
        <v>#DIV/0!</v>
      </c>
      <c r="S867" s="95" t="e">
        <f>IF(ISBLANK(N867),0,R867*ROUND(O867,2))</f>
        <v>#DIV/0!</v>
      </c>
      <c r="T867" s="24" t="e">
        <f>ROUND(Q867,2)*R867</f>
        <v>#DIV/0!</v>
      </c>
      <c r="U867" s="95" t="e">
        <f>R867*dagenperjaar1</f>
        <v>#DIV/0!</v>
      </c>
      <c r="V867" s="25" t="e">
        <f>U867*ROUND(Q867,2)</f>
        <v>#DIV/0!</v>
      </c>
    </row>
    <row r="868" spans="1:22" x14ac:dyDescent="0.2">
      <c r="A868" s="92" t="s">
        <v>867</v>
      </c>
      <c r="B868" s="93" t="s">
        <v>47</v>
      </c>
      <c r="C868" s="93" t="s">
        <v>394</v>
      </c>
      <c r="D868" s="93" t="s">
        <v>47</v>
      </c>
      <c r="E868" s="94" t="s">
        <v>417</v>
      </c>
      <c r="F868" s="93" t="s">
        <v>442</v>
      </c>
      <c r="G868" s="93" t="s">
        <v>284</v>
      </c>
      <c r="H868" s="93" t="s">
        <v>13</v>
      </c>
      <c r="I868" s="93" t="s">
        <v>255</v>
      </c>
      <c r="J868" s="93" t="s">
        <v>47</v>
      </c>
      <c r="K868" s="93"/>
      <c r="L868" s="95">
        <v>23.85</v>
      </c>
      <c r="M868" s="95">
        <f>L868*VLOOKUP(H868,dagsoorttabel1,2,FALSE)</f>
        <v>18.705882352941178</v>
      </c>
      <c r="N868" s="96">
        <f>prodnorm58</f>
        <v>0</v>
      </c>
      <c r="O868" s="37">
        <f>dagwerk58</f>
        <v>0</v>
      </c>
      <c r="P868" s="93" t="s">
        <v>105</v>
      </c>
      <c r="Q868" s="24">
        <f>uurtarief58</f>
        <v>0</v>
      </c>
      <c r="R868" s="95" t="e">
        <f>IF(ISBLANK(N868),0,M868/ROUND(N868,4))</f>
        <v>#DIV/0!</v>
      </c>
      <c r="S868" s="95" t="e">
        <f>IF(ISBLANK(N868),0,R868*ROUND(O868,2))</f>
        <v>#DIV/0!</v>
      </c>
      <c r="T868" s="24" t="e">
        <f>ROUND(Q868,2)*R868</f>
        <v>#DIV/0!</v>
      </c>
      <c r="U868" s="95" t="e">
        <f>R868*dagenperjaar1</f>
        <v>#DIV/0!</v>
      </c>
      <c r="V868" s="25" t="e">
        <f>U868*ROUND(Q868,2)</f>
        <v>#DIV/0!</v>
      </c>
    </row>
    <row r="869" spans="1:22" x14ac:dyDescent="0.2">
      <c r="A869" s="92" t="s">
        <v>867</v>
      </c>
      <c r="B869" s="93" t="s">
        <v>47</v>
      </c>
      <c r="C869" s="93" t="s">
        <v>394</v>
      </c>
      <c r="D869" s="93" t="s">
        <v>47</v>
      </c>
      <c r="E869" s="94" t="s">
        <v>417</v>
      </c>
      <c r="F869" s="93" t="s">
        <v>442</v>
      </c>
      <c r="G869" s="93" t="s">
        <v>286</v>
      </c>
      <c r="H869" s="93" t="s">
        <v>13</v>
      </c>
      <c r="I869" s="93" t="s">
        <v>255</v>
      </c>
      <c r="J869" s="93" t="s">
        <v>47</v>
      </c>
      <c r="K869" s="93"/>
      <c r="L869" s="95">
        <v>23.85</v>
      </c>
      <c r="M869" s="95">
        <f>L869*VLOOKUP(H869,dagsoorttabel1,2,FALSE)</f>
        <v>18.705882352941178</v>
      </c>
      <c r="N869" s="96">
        <f>prodnorm61</f>
        <v>0</v>
      </c>
      <c r="O869" s="37">
        <f>dagwerk61</f>
        <v>0</v>
      </c>
      <c r="P869" s="93" t="s">
        <v>105</v>
      </c>
      <c r="Q869" s="24">
        <f>uurtarief61</f>
        <v>0</v>
      </c>
      <c r="R869" s="95" t="e">
        <f>IF(ISBLANK(N869),0,M869/ROUND(N869,4))</f>
        <v>#DIV/0!</v>
      </c>
      <c r="S869" s="95" t="e">
        <f>IF(ISBLANK(N869),0,R869*ROUND(O869,2))</f>
        <v>#DIV/0!</v>
      </c>
      <c r="T869" s="24" t="e">
        <f>ROUND(Q869,2)*R869</f>
        <v>#DIV/0!</v>
      </c>
      <c r="U869" s="95" t="e">
        <f>R869*dagenperjaar1</f>
        <v>#DIV/0!</v>
      </c>
      <c r="V869" s="25" t="e">
        <f>U869*ROUND(Q869,2)</f>
        <v>#DIV/0!</v>
      </c>
    </row>
    <row r="870" spans="1:22" x14ac:dyDescent="0.2">
      <c r="A870" s="92" t="s">
        <v>867</v>
      </c>
      <c r="B870" s="93" t="s">
        <v>47</v>
      </c>
      <c r="C870" s="93" t="s">
        <v>394</v>
      </c>
      <c r="D870" s="93" t="s">
        <v>47</v>
      </c>
      <c r="E870" s="94" t="s">
        <v>884</v>
      </c>
      <c r="F870" s="93" t="s">
        <v>442</v>
      </c>
      <c r="G870" s="93" t="s">
        <v>304</v>
      </c>
      <c r="H870" s="93" t="s">
        <v>13</v>
      </c>
      <c r="I870" s="93" t="s">
        <v>255</v>
      </c>
      <c r="J870" s="93" t="s">
        <v>47</v>
      </c>
      <c r="K870" s="93"/>
      <c r="L870" s="95">
        <v>1.23</v>
      </c>
      <c r="M870" s="95">
        <f>L870*VLOOKUP(H870,dagsoorttabel1,2,FALSE)</f>
        <v>0.96470588235294119</v>
      </c>
      <c r="N870" s="96">
        <f>prodnorm74</f>
        <v>0</v>
      </c>
      <c r="O870" s="37">
        <f>dagwerk74</f>
        <v>0</v>
      </c>
      <c r="P870" s="93" t="s">
        <v>105</v>
      </c>
      <c r="Q870" s="24">
        <f>uurtarief74</f>
        <v>0</v>
      </c>
      <c r="R870" s="95" t="e">
        <f>IF(ISBLANK(N870),0,M870/ROUND(N870,4))</f>
        <v>#DIV/0!</v>
      </c>
      <c r="S870" s="95" t="e">
        <f>IF(ISBLANK(N870),0,R870*ROUND(O870,2))</f>
        <v>#DIV/0!</v>
      </c>
      <c r="T870" s="24" t="e">
        <f>ROUND(Q870,2)*R870</f>
        <v>#DIV/0!</v>
      </c>
      <c r="U870" s="95" t="e">
        <f>R870*dagenperjaar1</f>
        <v>#DIV/0!</v>
      </c>
      <c r="V870" s="25" t="e">
        <f>U870*ROUND(Q870,2)</f>
        <v>#DIV/0!</v>
      </c>
    </row>
    <row r="871" spans="1:22" x14ac:dyDescent="0.2">
      <c r="A871" s="92" t="s">
        <v>867</v>
      </c>
      <c r="B871" s="93" t="s">
        <v>47</v>
      </c>
      <c r="C871" s="93" t="s">
        <v>394</v>
      </c>
      <c r="D871" s="93" t="s">
        <v>47</v>
      </c>
      <c r="E871" s="94" t="s">
        <v>884</v>
      </c>
      <c r="F871" s="93" t="s">
        <v>442</v>
      </c>
      <c r="G871" s="93" t="s">
        <v>306</v>
      </c>
      <c r="H871" s="93" t="s">
        <v>13</v>
      </c>
      <c r="I871" s="93" t="s">
        <v>255</v>
      </c>
      <c r="J871" s="93" t="s">
        <v>47</v>
      </c>
      <c r="K871" s="93"/>
      <c r="L871" s="95">
        <v>1.23</v>
      </c>
      <c r="M871" s="95">
        <f>L871*VLOOKUP(H871,dagsoorttabel1,2,FALSE)</f>
        <v>0.96470588235294119</v>
      </c>
      <c r="N871" s="96">
        <f>prodnorm78</f>
        <v>0</v>
      </c>
      <c r="O871" s="37">
        <f>dagwerk78</f>
        <v>0</v>
      </c>
      <c r="P871" s="93" t="s">
        <v>105</v>
      </c>
      <c r="Q871" s="24">
        <f>uurtarief78</f>
        <v>0</v>
      </c>
      <c r="R871" s="95" t="e">
        <f>IF(ISBLANK(N871),0,M871/ROUND(N871,4))</f>
        <v>#DIV/0!</v>
      </c>
      <c r="S871" s="95" t="e">
        <f>IF(ISBLANK(N871),0,R871*ROUND(O871,2))</f>
        <v>#DIV/0!</v>
      </c>
      <c r="T871" s="24" t="e">
        <f>ROUND(Q871,2)*R871</f>
        <v>#DIV/0!</v>
      </c>
      <c r="U871" s="95" t="e">
        <f>R871*dagenperjaar1</f>
        <v>#DIV/0!</v>
      </c>
      <c r="V871" s="25" t="e">
        <f>U871*ROUND(Q871,2)</f>
        <v>#DIV/0!</v>
      </c>
    </row>
    <row r="872" spans="1:22" x14ac:dyDescent="0.2">
      <c r="A872" s="92" t="s">
        <v>867</v>
      </c>
      <c r="B872" s="93" t="s">
        <v>47</v>
      </c>
      <c r="C872" s="93" t="s">
        <v>394</v>
      </c>
      <c r="D872" s="93" t="s">
        <v>47</v>
      </c>
      <c r="E872" s="94" t="s">
        <v>885</v>
      </c>
      <c r="F872" s="93" t="s">
        <v>442</v>
      </c>
      <c r="G872" s="93" t="s">
        <v>266</v>
      </c>
      <c r="H872" s="93" t="s">
        <v>13</v>
      </c>
      <c r="I872" s="93" t="s">
        <v>255</v>
      </c>
      <c r="J872" s="93" t="s">
        <v>47</v>
      </c>
      <c r="K872" s="93"/>
      <c r="L872" s="95">
        <v>9.7799999999999994</v>
      </c>
      <c r="M872" s="95">
        <f>L872*VLOOKUP(H872,dagsoorttabel1,2,FALSE)</f>
        <v>7.670588235294117</v>
      </c>
      <c r="N872" s="96">
        <f>prodnorm40</f>
        <v>0</v>
      </c>
      <c r="O872" s="37">
        <f>dagwerk40</f>
        <v>0</v>
      </c>
      <c r="P872" s="93" t="s">
        <v>105</v>
      </c>
      <c r="Q872" s="24">
        <f>uurtarief40</f>
        <v>0</v>
      </c>
      <c r="R872" s="95" t="e">
        <f>IF(ISBLANK(N872),0,M872/ROUND(N872,4))</f>
        <v>#DIV/0!</v>
      </c>
      <c r="S872" s="95" t="e">
        <f>IF(ISBLANK(N872),0,R872*ROUND(O872,2))</f>
        <v>#DIV/0!</v>
      </c>
      <c r="T872" s="24" t="e">
        <f>ROUND(Q872,2)*R872</f>
        <v>#DIV/0!</v>
      </c>
      <c r="U872" s="95" t="e">
        <f>R872*dagenperjaar1</f>
        <v>#DIV/0!</v>
      </c>
      <c r="V872" s="25" t="e">
        <f>U872*ROUND(Q872,2)</f>
        <v>#DIV/0!</v>
      </c>
    </row>
    <row r="873" spans="1:22" x14ac:dyDescent="0.2">
      <c r="A873" s="92" t="s">
        <v>867</v>
      </c>
      <c r="B873" s="93" t="s">
        <v>47</v>
      </c>
      <c r="C873" s="93" t="s">
        <v>394</v>
      </c>
      <c r="D873" s="93" t="s">
        <v>47</v>
      </c>
      <c r="E873" s="94" t="s">
        <v>885</v>
      </c>
      <c r="F873" s="93" t="s">
        <v>442</v>
      </c>
      <c r="G873" s="93" t="s">
        <v>268</v>
      </c>
      <c r="H873" s="93" t="s">
        <v>13</v>
      </c>
      <c r="I873" s="93" t="s">
        <v>255</v>
      </c>
      <c r="J873" s="93" t="s">
        <v>47</v>
      </c>
      <c r="K873" s="93"/>
      <c r="L873" s="95">
        <v>9.7799999999999994</v>
      </c>
      <c r="M873" s="95">
        <f>L873*VLOOKUP(H873,dagsoorttabel1,2,FALSE)</f>
        <v>7.670588235294117</v>
      </c>
      <c r="N873" s="96">
        <f>prodnorm42</f>
        <v>0</v>
      </c>
      <c r="O873" s="37">
        <f>dagwerk42</f>
        <v>0</v>
      </c>
      <c r="P873" s="93" t="s">
        <v>105</v>
      </c>
      <c r="Q873" s="24">
        <f>uurtarief42</f>
        <v>0</v>
      </c>
      <c r="R873" s="95" t="e">
        <f>IF(ISBLANK(N873),0,M873/ROUND(N873,4))</f>
        <v>#DIV/0!</v>
      </c>
      <c r="S873" s="95" t="e">
        <f>IF(ISBLANK(N873),0,R873*ROUND(O873,2))</f>
        <v>#DIV/0!</v>
      </c>
      <c r="T873" s="24" t="e">
        <f>ROUND(Q873,2)*R873</f>
        <v>#DIV/0!</v>
      </c>
      <c r="U873" s="95" t="e">
        <f>R873*dagenperjaar1</f>
        <v>#DIV/0!</v>
      </c>
      <c r="V873" s="25" t="e">
        <f>U873*ROUND(Q873,2)</f>
        <v>#DIV/0!</v>
      </c>
    </row>
    <row r="874" spans="1:22" x14ac:dyDescent="0.2">
      <c r="A874" s="92" t="s">
        <v>867</v>
      </c>
      <c r="B874" s="93" t="s">
        <v>47</v>
      </c>
      <c r="C874" s="93" t="s">
        <v>394</v>
      </c>
      <c r="D874" s="93" t="s">
        <v>47</v>
      </c>
      <c r="E874" s="94" t="s">
        <v>421</v>
      </c>
      <c r="F874" s="93" t="s">
        <v>442</v>
      </c>
      <c r="G874" s="93" t="s">
        <v>284</v>
      </c>
      <c r="H874" s="93" t="s">
        <v>13</v>
      </c>
      <c r="I874" s="93" t="s">
        <v>255</v>
      </c>
      <c r="J874" s="93" t="s">
        <v>47</v>
      </c>
      <c r="K874" s="93"/>
      <c r="L874" s="95">
        <v>25.53</v>
      </c>
      <c r="M874" s="95">
        <f>L874*VLOOKUP(H874,dagsoorttabel1,2,FALSE)</f>
        <v>20.023529411764706</v>
      </c>
      <c r="N874" s="96">
        <f>prodnorm58</f>
        <v>0</v>
      </c>
      <c r="O874" s="37">
        <f>dagwerk58</f>
        <v>0</v>
      </c>
      <c r="P874" s="93" t="s">
        <v>105</v>
      </c>
      <c r="Q874" s="24">
        <f>uurtarief58</f>
        <v>0</v>
      </c>
      <c r="R874" s="95" t="e">
        <f>IF(ISBLANK(N874),0,M874/ROUND(N874,4))</f>
        <v>#DIV/0!</v>
      </c>
      <c r="S874" s="95" t="e">
        <f>IF(ISBLANK(N874),0,R874*ROUND(O874,2))</f>
        <v>#DIV/0!</v>
      </c>
      <c r="T874" s="24" t="e">
        <f>ROUND(Q874,2)*R874</f>
        <v>#DIV/0!</v>
      </c>
      <c r="U874" s="95" t="e">
        <f>R874*dagenperjaar1</f>
        <v>#DIV/0!</v>
      </c>
      <c r="V874" s="25" t="e">
        <f>U874*ROUND(Q874,2)</f>
        <v>#DIV/0!</v>
      </c>
    </row>
    <row r="875" spans="1:22" x14ac:dyDescent="0.2">
      <c r="A875" s="92" t="s">
        <v>867</v>
      </c>
      <c r="B875" s="93" t="s">
        <v>47</v>
      </c>
      <c r="C875" s="93" t="s">
        <v>394</v>
      </c>
      <c r="D875" s="93" t="s">
        <v>47</v>
      </c>
      <c r="E875" s="94" t="s">
        <v>421</v>
      </c>
      <c r="F875" s="93" t="s">
        <v>442</v>
      </c>
      <c r="G875" s="93" t="s">
        <v>286</v>
      </c>
      <c r="H875" s="93" t="s">
        <v>13</v>
      </c>
      <c r="I875" s="93" t="s">
        <v>255</v>
      </c>
      <c r="J875" s="93" t="s">
        <v>47</v>
      </c>
      <c r="K875" s="93"/>
      <c r="L875" s="95">
        <v>25.53</v>
      </c>
      <c r="M875" s="95">
        <f>L875*VLOOKUP(H875,dagsoorttabel1,2,FALSE)</f>
        <v>20.023529411764706</v>
      </c>
      <c r="N875" s="96">
        <f>prodnorm61</f>
        <v>0</v>
      </c>
      <c r="O875" s="37">
        <f>dagwerk61</f>
        <v>0</v>
      </c>
      <c r="P875" s="93" t="s">
        <v>105</v>
      </c>
      <c r="Q875" s="24">
        <f>uurtarief61</f>
        <v>0</v>
      </c>
      <c r="R875" s="95" t="e">
        <f>IF(ISBLANK(N875),0,M875/ROUND(N875,4))</f>
        <v>#DIV/0!</v>
      </c>
      <c r="S875" s="95" t="e">
        <f>IF(ISBLANK(N875),0,R875*ROUND(O875,2))</f>
        <v>#DIV/0!</v>
      </c>
      <c r="T875" s="24" t="e">
        <f>ROUND(Q875,2)*R875</f>
        <v>#DIV/0!</v>
      </c>
      <c r="U875" s="95" t="e">
        <f>R875*dagenperjaar1</f>
        <v>#DIV/0!</v>
      </c>
      <c r="V875" s="25" t="e">
        <f>U875*ROUND(Q875,2)</f>
        <v>#DIV/0!</v>
      </c>
    </row>
    <row r="876" spans="1:22" x14ac:dyDescent="0.2">
      <c r="A876" s="92" t="s">
        <v>867</v>
      </c>
      <c r="B876" s="93" t="s">
        <v>47</v>
      </c>
      <c r="C876" s="93" t="s">
        <v>394</v>
      </c>
      <c r="D876" s="93" t="s">
        <v>47</v>
      </c>
      <c r="E876" s="94" t="s">
        <v>886</v>
      </c>
      <c r="F876" s="93" t="s">
        <v>442</v>
      </c>
      <c r="G876" s="93" t="s">
        <v>304</v>
      </c>
      <c r="H876" s="93" t="s">
        <v>13</v>
      </c>
      <c r="I876" s="93" t="s">
        <v>255</v>
      </c>
      <c r="J876" s="93" t="s">
        <v>47</v>
      </c>
      <c r="K876" s="93"/>
      <c r="L876" s="95">
        <v>1.23</v>
      </c>
      <c r="M876" s="95">
        <f>L876*VLOOKUP(H876,dagsoorttabel1,2,FALSE)</f>
        <v>0.96470588235294119</v>
      </c>
      <c r="N876" s="96">
        <f>prodnorm74</f>
        <v>0</v>
      </c>
      <c r="O876" s="37">
        <f>dagwerk74</f>
        <v>0</v>
      </c>
      <c r="P876" s="93" t="s">
        <v>105</v>
      </c>
      <c r="Q876" s="24">
        <f>uurtarief74</f>
        <v>0</v>
      </c>
      <c r="R876" s="95" t="e">
        <f>IF(ISBLANK(N876),0,M876/ROUND(N876,4))</f>
        <v>#DIV/0!</v>
      </c>
      <c r="S876" s="95" t="e">
        <f>IF(ISBLANK(N876),0,R876*ROUND(O876,2))</f>
        <v>#DIV/0!</v>
      </c>
      <c r="T876" s="24" t="e">
        <f>ROUND(Q876,2)*R876</f>
        <v>#DIV/0!</v>
      </c>
      <c r="U876" s="95" t="e">
        <f>R876*dagenperjaar1</f>
        <v>#DIV/0!</v>
      </c>
      <c r="V876" s="25" t="e">
        <f>U876*ROUND(Q876,2)</f>
        <v>#DIV/0!</v>
      </c>
    </row>
    <row r="877" spans="1:22" x14ac:dyDescent="0.2">
      <c r="A877" s="92" t="s">
        <v>867</v>
      </c>
      <c r="B877" s="93" t="s">
        <v>47</v>
      </c>
      <c r="C877" s="93" t="s">
        <v>394</v>
      </c>
      <c r="D877" s="93" t="s">
        <v>47</v>
      </c>
      <c r="E877" s="94" t="s">
        <v>886</v>
      </c>
      <c r="F877" s="93" t="s">
        <v>442</v>
      </c>
      <c r="G877" s="93" t="s">
        <v>306</v>
      </c>
      <c r="H877" s="93" t="s">
        <v>13</v>
      </c>
      <c r="I877" s="93" t="s">
        <v>255</v>
      </c>
      <c r="J877" s="93" t="s">
        <v>47</v>
      </c>
      <c r="K877" s="93"/>
      <c r="L877" s="95">
        <v>1.23</v>
      </c>
      <c r="M877" s="95">
        <f>L877*VLOOKUP(H877,dagsoorttabel1,2,FALSE)</f>
        <v>0.96470588235294119</v>
      </c>
      <c r="N877" s="96">
        <f>prodnorm78</f>
        <v>0</v>
      </c>
      <c r="O877" s="37">
        <f>dagwerk78</f>
        <v>0</v>
      </c>
      <c r="P877" s="93" t="s">
        <v>105</v>
      </c>
      <c r="Q877" s="24">
        <f>uurtarief78</f>
        <v>0</v>
      </c>
      <c r="R877" s="95" t="e">
        <f>IF(ISBLANK(N877),0,M877/ROUND(N877,4))</f>
        <v>#DIV/0!</v>
      </c>
      <c r="S877" s="95" t="e">
        <f>IF(ISBLANK(N877),0,R877*ROUND(O877,2))</f>
        <v>#DIV/0!</v>
      </c>
      <c r="T877" s="24" t="e">
        <f>ROUND(Q877,2)*R877</f>
        <v>#DIV/0!</v>
      </c>
      <c r="U877" s="95" t="e">
        <f>R877*dagenperjaar1</f>
        <v>#DIV/0!</v>
      </c>
      <c r="V877" s="25" t="e">
        <f>U877*ROUND(Q877,2)</f>
        <v>#DIV/0!</v>
      </c>
    </row>
    <row r="878" spans="1:22" x14ac:dyDescent="0.2">
      <c r="A878" s="92" t="s">
        <v>867</v>
      </c>
      <c r="B878" s="93" t="s">
        <v>47</v>
      </c>
      <c r="C878" s="93" t="s">
        <v>394</v>
      </c>
      <c r="D878" s="93" t="s">
        <v>47</v>
      </c>
      <c r="E878" s="94" t="s">
        <v>887</v>
      </c>
      <c r="F878" s="93" t="s">
        <v>442</v>
      </c>
      <c r="G878" s="93" t="s">
        <v>266</v>
      </c>
      <c r="H878" s="93" t="s">
        <v>13</v>
      </c>
      <c r="I878" s="93" t="s">
        <v>255</v>
      </c>
      <c r="J878" s="93" t="s">
        <v>47</v>
      </c>
      <c r="K878" s="93"/>
      <c r="L878" s="95">
        <v>9.68</v>
      </c>
      <c r="M878" s="95">
        <f>L878*VLOOKUP(H878,dagsoorttabel1,2,FALSE)</f>
        <v>7.5921568627450977</v>
      </c>
      <c r="N878" s="96">
        <f>prodnorm40</f>
        <v>0</v>
      </c>
      <c r="O878" s="37">
        <f>dagwerk40</f>
        <v>0</v>
      </c>
      <c r="P878" s="93" t="s">
        <v>105</v>
      </c>
      <c r="Q878" s="24">
        <f>uurtarief40</f>
        <v>0</v>
      </c>
      <c r="R878" s="95" t="e">
        <f>IF(ISBLANK(N878),0,M878/ROUND(N878,4))</f>
        <v>#DIV/0!</v>
      </c>
      <c r="S878" s="95" t="e">
        <f>IF(ISBLANK(N878),0,R878*ROUND(O878,2))</f>
        <v>#DIV/0!</v>
      </c>
      <c r="T878" s="24" t="e">
        <f>ROUND(Q878,2)*R878</f>
        <v>#DIV/0!</v>
      </c>
      <c r="U878" s="95" t="e">
        <f>R878*dagenperjaar1</f>
        <v>#DIV/0!</v>
      </c>
      <c r="V878" s="25" t="e">
        <f>U878*ROUND(Q878,2)</f>
        <v>#DIV/0!</v>
      </c>
    </row>
    <row r="879" spans="1:22" x14ac:dyDescent="0.2">
      <c r="A879" s="92" t="s">
        <v>867</v>
      </c>
      <c r="B879" s="93" t="s">
        <v>47</v>
      </c>
      <c r="C879" s="93" t="s">
        <v>394</v>
      </c>
      <c r="D879" s="93" t="s">
        <v>47</v>
      </c>
      <c r="E879" s="94" t="s">
        <v>887</v>
      </c>
      <c r="F879" s="93" t="s">
        <v>442</v>
      </c>
      <c r="G879" s="93" t="s">
        <v>268</v>
      </c>
      <c r="H879" s="93" t="s">
        <v>13</v>
      </c>
      <c r="I879" s="93" t="s">
        <v>255</v>
      </c>
      <c r="J879" s="93" t="s">
        <v>47</v>
      </c>
      <c r="K879" s="93"/>
      <c r="L879" s="95">
        <v>9.68</v>
      </c>
      <c r="M879" s="95">
        <f>L879*VLOOKUP(H879,dagsoorttabel1,2,FALSE)</f>
        <v>7.5921568627450977</v>
      </c>
      <c r="N879" s="96">
        <f>prodnorm42</f>
        <v>0</v>
      </c>
      <c r="O879" s="37">
        <f>dagwerk42</f>
        <v>0</v>
      </c>
      <c r="P879" s="93" t="s">
        <v>105</v>
      </c>
      <c r="Q879" s="24">
        <f>uurtarief42</f>
        <v>0</v>
      </c>
      <c r="R879" s="95" t="e">
        <f>IF(ISBLANK(N879),0,M879/ROUND(N879,4))</f>
        <v>#DIV/0!</v>
      </c>
      <c r="S879" s="95" t="e">
        <f>IF(ISBLANK(N879),0,R879*ROUND(O879,2))</f>
        <v>#DIV/0!</v>
      </c>
      <c r="T879" s="24" t="e">
        <f>ROUND(Q879,2)*R879</f>
        <v>#DIV/0!</v>
      </c>
      <c r="U879" s="95" t="e">
        <f>R879*dagenperjaar1</f>
        <v>#DIV/0!</v>
      </c>
      <c r="V879" s="25" t="e">
        <f>U879*ROUND(Q879,2)</f>
        <v>#DIV/0!</v>
      </c>
    </row>
    <row r="880" spans="1:22" x14ac:dyDescent="0.2">
      <c r="A880" s="92" t="s">
        <v>867</v>
      </c>
      <c r="B880" s="93" t="s">
        <v>47</v>
      </c>
      <c r="C880" s="93" t="s">
        <v>394</v>
      </c>
      <c r="D880" s="93" t="s">
        <v>47</v>
      </c>
      <c r="E880" s="94" t="s">
        <v>405</v>
      </c>
      <c r="F880" s="93" t="s">
        <v>442</v>
      </c>
      <c r="G880" s="93" t="s">
        <v>284</v>
      </c>
      <c r="H880" s="93" t="s">
        <v>13</v>
      </c>
      <c r="I880" s="93" t="s">
        <v>255</v>
      </c>
      <c r="J880" s="93" t="s">
        <v>47</v>
      </c>
      <c r="K880" s="93"/>
      <c r="L880" s="95">
        <v>25.54</v>
      </c>
      <c r="M880" s="95">
        <f>L880*VLOOKUP(H880,dagsoorttabel1,2,FALSE)</f>
        <v>20.031372549019608</v>
      </c>
      <c r="N880" s="96">
        <f>prodnorm58</f>
        <v>0</v>
      </c>
      <c r="O880" s="37">
        <f>dagwerk58</f>
        <v>0</v>
      </c>
      <c r="P880" s="93" t="s">
        <v>105</v>
      </c>
      <c r="Q880" s="24">
        <f>uurtarief58</f>
        <v>0</v>
      </c>
      <c r="R880" s="95" t="e">
        <f>IF(ISBLANK(N880),0,M880/ROUND(N880,4))</f>
        <v>#DIV/0!</v>
      </c>
      <c r="S880" s="95" t="e">
        <f>IF(ISBLANK(N880),0,R880*ROUND(O880,2))</f>
        <v>#DIV/0!</v>
      </c>
      <c r="T880" s="24" t="e">
        <f>ROUND(Q880,2)*R880</f>
        <v>#DIV/0!</v>
      </c>
      <c r="U880" s="95" t="e">
        <f>R880*dagenperjaar1</f>
        <v>#DIV/0!</v>
      </c>
      <c r="V880" s="25" t="e">
        <f>U880*ROUND(Q880,2)</f>
        <v>#DIV/0!</v>
      </c>
    </row>
    <row r="881" spans="1:22" x14ac:dyDescent="0.2">
      <c r="A881" s="92" t="s">
        <v>867</v>
      </c>
      <c r="B881" s="93" t="s">
        <v>47</v>
      </c>
      <c r="C881" s="93" t="s">
        <v>394</v>
      </c>
      <c r="D881" s="93" t="s">
        <v>47</v>
      </c>
      <c r="E881" s="94" t="s">
        <v>405</v>
      </c>
      <c r="F881" s="93" t="s">
        <v>442</v>
      </c>
      <c r="G881" s="93" t="s">
        <v>286</v>
      </c>
      <c r="H881" s="93" t="s">
        <v>13</v>
      </c>
      <c r="I881" s="93" t="s">
        <v>255</v>
      </c>
      <c r="J881" s="93" t="s">
        <v>47</v>
      </c>
      <c r="K881" s="93"/>
      <c r="L881" s="95">
        <v>25.54</v>
      </c>
      <c r="M881" s="95">
        <f>L881*VLOOKUP(H881,dagsoorttabel1,2,FALSE)</f>
        <v>20.031372549019608</v>
      </c>
      <c r="N881" s="96">
        <f>prodnorm61</f>
        <v>0</v>
      </c>
      <c r="O881" s="37">
        <f>dagwerk61</f>
        <v>0</v>
      </c>
      <c r="P881" s="93" t="s">
        <v>105</v>
      </c>
      <c r="Q881" s="24">
        <f>uurtarief61</f>
        <v>0</v>
      </c>
      <c r="R881" s="95" t="e">
        <f>IF(ISBLANK(N881),0,M881/ROUND(N881,4))</f>
        <v>#DIV/0!</v>
      </c>
      <c r="S881" s="95" t="e">
        <f>IF(ISBLANK(N881),0,R881*ROUND(O881,2))</f>
        <v>#DIV/0!</v>
      </c>
      <c r="T881" s="24" t="e">
        <f>ROUND(Q881,2)*R881</f>
        <v>#DIV/0!</v>
      </c>
      <c r="U881" s="95" t="e">
        <f>R881*dagenperjaar1</f>
        <v>#DIV/0!</v>
      </c>
      <c r="V881" s="25" t="e">
        <f>U881*ROUND(Q881,2)</f>
        <v>#DIV/0!</v>
      </c>
    </row>
    <row r="882" spans="1:22" x14ac:dyDescent="0.2">
      <c r="A882" s="92" t="s">
        <v>867</v>
      </c>
      <c r="B882" s="93" t="s">
        <v>47</v>
      </c>
      <c r="C882" s="93" t="s">
        <v>394</v>
      </c>
      <c r="D882" s="93" t="s">
        <v>47</v>
      </c>
      <c r="E882" s="94" t="s">
        <v>888</v>
      </c>
      <c r="F882" s="93" t="s">
        <v>442</v>
      </c>
      <c r="G882" s="93" t="s">
        <v>304</v>
      </c>
      <c r="H882" s="93" t="s">
        <v>13</v>
      </c>
      <c r="I882" s="93" t="s">
        <v>255</v>
      </c>
      <c r="J882" s="93" t="s">
        <v>47</v>
      </c>
      <c r="K882" s="93"/>
      <c r="L882" s="95">
        <v>1.23</v>
      </c>
      <c r="M882" s="95">
        <f>L882*VLOOKUP(H882,dagsoorttabel1,2,FALSE)</f>
        <v>0.96470588235294119</v>
      </c>
      <c r="N882" s="96">
        <f>prodnorm74</f>
        <v>0</v>
      </c>
      <c r="O882" s="37">
        <f>dagwerk74</f>
        <v>0</v>
      </c>
      <c r="P882" s="93" t="s">
        <v>105</v>
      </c>
      <c r="Q882" s="24">
        <f>uurtarief74</f>
        <v>0</v>
      </c>
      <c r="R882" s="95" t="e">
        <f>IF(ISBLANK(N882),0,M882/ROUND(N882,4))</f>
        <v>#DIV/0!</v>
      </c>
      <c r="S882" s="95" t="e">
        <f>IF(ISBLANK(N882),0,R882*ROUND(O882,2))</f>
        <v>#DIV/0!</v>
      </c>
      <c r="T882" s="24" t="e">
        <f>ROUND(Q882,2)*R882</f>
        <v>#DIV/0!</v>
      </c>
      <c r="U882" s="95" t="e">
        <f>R882*dagenperjaar1</f>
        <v>#DIV/0!</v>
      </c>
      <c r="V882" s="25" t="e">
        <f>U882*ROUND(Q882,2)</f>
        <v>#DIV/0!</v>
      </c>
    </row>
    <row r="883" spans="1:22" x14ac:dyDescent="0.2">
      <c r="A883" s="92" t="s">
        <v>867</v>
      </c>
      <c r="B883" s="93" t="s">
        <v>47</v>
      </c>
      <c r="C883" s="93" t="s">
        <v>394</v>
      </c>
      <c r="D883" s="93" t="s">
        <v>47</v>
      </c>
      <c r="E883" s="94" t="s">
        <v>888</v>
      </c>
      <c r="F883" s="93" t="s">
        <v>442</v>
      </c>
      <c r="G883" s="93" t="s">
        <v>306</v>
      </c>
      <c r="H883" s="93" t="s">
        <v>13</v>
      </c>
      <c r="I883" s="93" t="s">
        <v>255</v>
      </c>
      <c r="J883" s="93" t="s">
        <v>47</v>
      </c>
      <c r="K883" s="93"/>
      <c r="L883" s="95">
        <v>1.23</v>
      </c>
      <c r="M883" s="95">
        <f>L883*VLOOKUP(H883,dagsoorttabel1,2,FALSE)</f>
        <v>0.96470588235294119</v>
      </c>
      <c r="N883" s="96">
        <f>prodnorm78</f>
        <v>0</v>
      </c>
      <c r="O883" s="37">
        <f>dagwerk78</f>
        <v>0</v>
      </c>
      <c r="P883" s="93" t="s">
        <v>105</v>
      </c>
      <c r="Q883" s="24">
        <f>uurtarief78</f>
        <v>0</v>
      </c>
      <c r="R883" s="95" t="e">
        <f>IF(ISBLANK(N883),0,M883/ROUND(N883,4))</f>
        <v>#DIV/0!</v>
      </c>
      <c r="S883" s="95" t="e">
        <f>IF(ISBLANK(N883),0,R883*ROUND(O883,2))</f>
        <v>#DIV/0!</v>
      </c>
      <c r="T883" s="24" t="e">
        <f>ROUND(Q883,2)*R883</f>
        <v>#DIV/0!</v>
      </c>
      <c r="U883" s="95" t="e">
        <f>R883*dagenperjaar1</f>
        <v>#DIV/0!</v>
      </c>
      <c r="V883" s="25" t="e">
        <f>U883*ROUND(Q883,2)</f>
        <v>#DIV/0!</v>
      </c>
    </row>
    <row r="884" spans="1:22" x14ac:dyDescent="0.2">
      <c r="A884" s="92" t="s">
        <v>867</v>
      </c>
      <c r="B884" s="93" t="s">
        <v>47</v>
      </c>
      <c r="C884" s="93" t="s">
        <v>394</v>
      </c>
      <c r="D884" s="93" t="s">
        <v>47</v>
      </c>
      <c r="E884" s="94" t="s">
        <v>889</v>
      </c>
      <c r="F884" s="93" t="s">
        <v>442</v>
      </c>
      <c r="G884" s="93" t="s">
        <v>266</v>
      </c>
      <c r="H884" s="93" t="s">
        <v>13</v>
      </c>
      <c r="I884" s="93" t="s">
        <v>255</v>
      </c>
      <c r="J884" s="93" t="s">
        <v>47</v>
      </c>
      <c r="K884" s="93"/>
      <c r="L884" s="95">
        <v>9.43</v>
      </c>
      <c r="M884" s="95">
        <f>L884*VLOOKUP(H884,dagsoorttabel1,2,FALSE)</f>
        <v>7.3960784313725485</v>
      </c>
      <c r="N884" s="96">
        <f>prodnorm40</f>
        <v>0</v>
      </c>
      <c r="O884" s="37">
        <f>dagwerk40</f>
        <v>0</v>
      </c>
      <c r="P884" s="93" t="s">
        <v>105</v>
      </c>
      <c r="Q884" s="24">
        <f>uurtarief40</f>
        <v>0</v>
      </c>
      <c r="R884" s="95" t="e">
        <f>IF(ISBLANK(N884),0,M884/ROUND(N884,4))</f>
        <v>#DIV/0!</v>
      </c>
      <c r="S884" s="95" t="e">
        <f>IF(ISBLANK(N884),0,R884*ROUND(O884,2))</f>
        <v>#DIV/0!</v>
      </c>
      <c r="T884" s="24" t="e">
        <f>ROUND(Q884,2)*R884</f>
        <v>#DIV/0!</v>
      </c>
      <c r="U884" s="95" t="e">
        <f>R884*dagenperjaar1</f>
        <v>#DIV/0!</v>
      </c>
      <c r="V884" s="25" t="e">
        <f>U884*ROUND(Q884,2)</f>
        <v>#DIV/0!</v>
      </c>
    </row>
    <row r="885" spans="1:22" x14ac:dyDescent="0.2">
      <c r="A885" s="97" t="s">
        <v>867</v>
      </c>
      <c r="B885" s="98" t="s">
        <v>47</v>
      </c>
      <c r="C885" s="98" t="s">
        <v>394</v>
      </c>
      <c r="D885" s="98" t="s">
        <v>47</v>
      </c>
      <c r="E885" s="99" t="s">
        <v>889</v>
      </c>
      <c r="F885" s="98" t="s">
        <v>442</v>
      </c>
      <c r="G885" s="98" t="s">
        <v>268</v>
      </c>
      <c r="H885" s="98" t="s">
        <v>13</v>
      </c>
      <c r="I885" s="98" t="s">
        <v>255</v>
      </c>
      <c r="J885" s="98" t="s">
        <v>47</v>
      </c>
      <c r="K885" s="98"/>
      <c r="L885" s="100">
        <v>9.43</v>
      </c>
      <c r="M885" s="100">
        <f>L885*VLOOKUP(H885,dagsoorttabel1,2,FALSE)</f>
        <v>7.3960784313725485</v>
      </c>
      <c r="N885" s="101">
        <f>prodnorm42</f>
        <v>0</v>
      </c>
      <c r="O885" s="102">
        <f>dagwerk42</f>
        <v>0</v>
      </c>
      <c r="P885" s="98" t="s">
        <v>105</v>
      </c>
      <c r="Q885" s="34">
        <f>uurtarief42</f>
        <v>0</v>
      </c>
      <c r="R885" s="100" t="e">
        <f>IF(ISBLANK(N885),0,M885/ROUND(N885,4))</f>
        <v>#DIV/0!</v>
      </c>
      <c r="S885" s="100" t="e">
        <f>IF(ISBLANK(N885),0,R885*ROUND(O885,2))</f>
        <v>#DIV/0!</v>
      </c>
      <c r="T885" s="34" t="e">
        <f>ROUND(Q885,2)*R885</f>
        <v>#DIV/0!</v>
      </c>
      <c r="U885" s="100" t="e">
        <f>R885*dagenperjaar1</f>
        <v>#DIV/0!</v>
      </c>
      <c r="V885" s="35" t="e">
        <f>U885*ROUND(Q885,2)</f>
        <v>#DIV/0!</v>
      </c>
    </row>
    <row r="886" spans="1:22" x14ac:dyDescent="0.2">
      <c r="A886" s="103" t="s">
        <v>436</v>
      </c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5" t="e">
        <f>IF(_xlfn.SINGLE(object23_urenjaar1)&gt;0,_xlfn.SINGLE(object23_prijsjaar1)/_xlfn.SINGLE(object23_urenjaar1),0)</f>
        <v>#DIV/0!</v>
      </c>
      <c r="R886" s="74" t="e">
        <f>SUM(R823:R885)</f>
        <v>#DIV/0!</v>
      </c>
      <c r="S886" s="74" t="e">
        <f>SUM(S823:S885)</f>
        <v>#DIV/0!</v>
      </c>
      <c r="T886" s="75" t="e">
        <f>SUM(T823:T885)</f>
        <v>#DIV/0!</v>
      </c>
      <c r="U886" s="74" t="e">
        <f>SUM(U823:U885)</f>
        <v>#DIV/0!</v>
      </c>
      <c r="V886" s="76" t="e">
        <f>SUM(V823:V885)</f>
        <v>#DIV/0!</v>
      </c>
    </row>
    <row r="887" spans="1:22" x14ac:dyDescent="0.2">
      <c r="A887" s="83" t="s">
        <v>890</v>
      </c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71"/>
    </row>
    <row r="888" spans="1:22" x14ac:dyDescent="0.2">
      <c r="A888" s="84" t="s">
        <v>891</v>
      </c>
      <c r="B888" s="85" t="s">
        <v>47</v>
      </c>
      <c r="C888" s="85" t="s">
        <v>394</v>
      </c>
      <c r="D888" s="85" t="s">
        <v>47</v>
      </c>
      <c r="E888" s="86" t="s">
        <v>525</v>
      </c>
      <c r="F888" s="85" t="s">
        <v>868</v>
      </c>
      <c r="G888" s="85" t="s">
        <v>274</v>
      </c>
      <c r="H888" s="85" t="s">
        <v>13</v>
      </c>
      <c r="I888" s="85" t="s">
        <v>255</v>
      </c>
      <c r="J888" s="85" t="s">
        <v>47</v>
      </c>
      <c r="K888" s="85"/>
      <c r="L888" s="87">
        <v>4.51</v>
      </c>
      <c r="M888" s="87">
        <f>L888*VLOOKUP(H888,dagsoorttabel1,2,FALSE)</f>
        <v>3.5372549019607842</v>
      </c>
      <c r="N888" s="88">
        <f>prodnorm47</f>
        <v>0</v>
      </c>
      <c r="O888" s="89">
        <f>dagwerk47</f>
        <v>0</v>
      </c>
      <c r="P888" s="85" t="s">
        <v>105</v>
      </c>
      <c r="Q888" s="90">
        <f>uurtarief47</f>
        <v>0</v>
      </c>
      <c r="R888" s="87" t="e">
        <f>IF(ISBLANK(N888),0,M888/ROUND(N888,4))</f>
        <v>#DIV/0!</v>
      </c>
      <c r="S888" s="87" t="e">
        <f>IF(ISBLANK(N888),0,R888*ROUND(O888,2))</f>
        <v>#DIV/0!</v>
      </c>
      <c r="T888" s="90" t="e">
        <f>ROUND(Q888,2)*R888</f>
        <v>#DIV/0!</v>
      </c>
      <c r="U888" s="87" t="e">
        <f>R888*dagenperjaar1</f>
        <v>#DIV/0!</v>
      </c>
      <c r="V888" s="91" t="e">
        <f>U888*ROUND(Q888,2)</f>
        <v>#DIV/0!</v>
      </c>
    </row>
    <row r="889" spans="1:22" x14ac:dyDescent="0.2">
      <c r="A889" s="92" t="s">
        <v>891</v>
      </c>
      <c r="B889" s="93" t="s">
        <v>47</v>
      </c>
      <c r="C889" s="93" t="s">
        <v>394</v>
      </c>
      <c r="D889" s="93" t="s">
        <v>47</v>
      </c>
      <c r="E889" s="94" t="s">
        <v>525</v>
      </c>
      <c r="F889" s="93" t="s">
        <v>868</v>
      </c>
      <c r="G889" s="93" t="s">
        <v>276</v>
      </c>
      <c r="H889" s="93" t="s">
        <v>13</v>
      </c>
      <c r="I889" s="93" t="s">
        <v>255</v>
      </c>
      <c r="J889" s="93" t="s">
        <v>47</v>
      </c>
      <c r="K889" s="93"/>
      <c r="L889" s="95">
        <v>4.51</v>
      </c>
      <c r="M889" s="95">
        <f>L889*VLOOKUP(H889,dagsoorttabel1,2,FALSE)</f>
        <v>3.5372549019607842</v>
      </c>
      <c r="N889" s="96">
        <f>prodnorm50</f>
        <v>0</v>
      </c>
      <c r="O889" s="37">
        <f>dagwerk50</f>
        <v>0</v>
      </c>
      <c r="P889" s="93" t="s">
        <v>105</v>
      </c>
      <c r="Q889" s="24">
        <f>uurtarief50</f>
        <v>0</v>
      </c>
      <c r="R889" s="95" t="e">
        <f>IF(ISBLANK(N889),0,M889/ROUND(N889,4))</f>
        <v>#DIV/0!</v>
      </c>
      <c r="S889" s="95" t="e">
        <f>IF(ISBLANK(N889),0,R889*ROUND(O889,2))</f>
        <v>#DIV/0!</v>
      </c>
      <c r="T889" s="24" t="e">
        <f>ROUND(Q889,2)*R889</f>
        <v>#DIV/0!</v>
      </c>
      <c r="U889" s="95" t="e">
        <f>R889*dagenperjaar1</f>
        <v>#DIV/0!</v>
      </c>
      <c r="V889" s="25" t="e">
        <f>U889*ROUND(Q889,2)</f>
        <v>#DIV/0!</v>
      </c>
    </row>
    <row r="890" spans="1:22" x14ac:dyDescent="0.2">
      <c r="A890" s="92" t="s">
        <v>891</v>
      </c>
      <c r="B890" s="93" t="s">
        <v>47</v>
      </c>
      <c r="C890" s="93" t="s">
        <v>558</v>
      </c>
      <c r="D890" s="93" t="s">
        <v>47</v>
      </c>
      <c r="E890" s="94" t="s">
        <v>465</v>
      </c>
      <c r="F890" s="93" t="s">
        <v>892</v>
      </c>
      <c r="G890" s="93" t="s">
        <v>314</v>
      </c>
      <c r="H890" s="93" t="s">
        <v>13</v>
      </c>
      <c r="I890" s="93" t="s">
        <v>255</v>
      </c>
      <c r="J890" s="93" t="s">
        <v>47</v>
      </c>
      <c r="K890" s="93"/>
      <c r="L890" s="95">
        <v>34.309999999999995</v>
      </c>
      <c r="M890" s="95">
        <f>L890*VLOOKUP(H890,dagsoorttabel1,2,FALSE)</f>
        <v>26.909803921568624</v>
      </c>
      <c r="N890" s="96">
        <f>prodnorm88</f>
        <v>0</v>
      </c>
      <c r="O890" s="37">
        <f>dagwerk88</f>
        <v>0</v>
      </c>
      <c r="P890" s="93" t="s">
        <v>105</v>
      </c>
      <c r="Q890" s="24">
        <f>uurtarief88</f>
        <v>0</v>
      </c>
      <c r="R890" s="95" t="e">
        <f>IF(ISBLANK(N890),0,M890/ROUND(N890,4))</f>
        <v>#DIV/0!</v>
      </c>
      <c r="S890" s="95" t="e">
        <f>IF(ISBLANK(N890),0,R890*ROUND(O890,2))</f>
        <v>#DIV/0!</v>
      </c>
      <c r="T890" s="24" t="e">
        <f>ROUND(Q890,2)*R890</f>
        <v>#DIV/0!</v>
      </c>
      <c r="U890" s="95" t="e">
        <f>R890*dagenperjaar1</f>
        <v>#DIV/0!</v>
      </c>
      <c r="V890" s="25" t="e">
        <f>U890*ROUND(Q890,2)</f>
        <v>#DIV/0!</v>
      </c>
    </row>
    <row r="891" spans="1:22" x14ac:dyDescent="0.2">
      <c r="A891" s="92" t="s">
        <v>891</v>
      </c>
      <c r="B891" s="93" t="s">
        <v>47</v>
      </c>
      <c r="C891" s="93" t="s">
        <v>558</v>
      </c>
      <c r="D891" s="93" t="s">
        <v>47</v>
      </c>
      <c r="E891" s="94" t="s">
        <v>465</v>
      </c>
      <c r="F891" s="93" t="s">
        <v>892</v>
      </c>
      <c r="G891" s="93" t="s">
        <v>316</v>
      </c>
      <c r="H891" s="93" t="s">
        <v>13</v>
      </c>
      <c r="I891" s="93" t="s">
        <v>255</v>
      </c>
      <c r="J891" s="93" t="s">
        <v>47</v>
      </c>
      <c r="K891" s="93"/>
      <c r="L891" s="95">
        <v>34.309999999999995</v>
      </c>
      <c r="M891" s="95">
        <f>L891*VLOOKUP(H891,dagsoorttabel1,2,FALSE)</f>
        <v>26.909803921568624</v>
      </c>
      <c r="N891" s="96">
        <f>prodnorm93</f>
        <v>0</v>
      </c>
      <c r="O891" s="37">
        <f>dagwerk93</f>
        <v>0</v>
      </c>
      <c r="P891" s="93" t="s">
        <v>105</v>
      </c>
      <c r="Q891" s="24">
        <f>uurtarief93</f>
        <v>0</v>
      </c>
      <c r="R891" s="95" t="e">
        <f>IF(ISBLANK(N891),0,M891/ROUND(N891,4))</f>
        <v>#DIV/0!</v>
      </c>
      <c r="S891" s="95" t="e">
        <f>IF(ISBLANK(N891),0,R891*ROUND(O891,2))</f>
        <v>#DIV/0!</v>
      </c>
      <c r="T891" s="24" t="e">
        <f>ROUND(Q891,2)*R891</f>
        <v>#DIV/0!</v>
      </c>
      <c r="U891" s="95" t="e">
        <f>R891*dagenperjaar1</f>
        <v>#DIV/0!</v>
      </c>
      <c r="V891" s="25" t="e">
        <f>U891*ROUND(Q891,2)</f>
        <v>#DIV/0!</v>
      </c>
    </row>
    <row r="892" spans="1:22" x14ac:dyDescent="0.2">
      <c r="A892" s="92" t="s">
        <v>891</v>
      </c>
      <c r="B892" s="93" t="s">
        <v>47</v>
      </c>
      <c r="C892" s="93" t="s">
        <v>558</v>
      </c>
      <c r="D892" s="93" t="s">
        <v>47</v>
      </c>
      <c r="E892" s="94" t="s">
        <v>399</v>
      </c>
      <c r="F892" s="93" t="s">
        <v>892</v>
      </c>
      <c r="G892" s="93" t="s">
        <v>314</v>
      </c>
      <c r="H892" s="93" t="s">
        <v>13</v>
      </c>
      <c r="I892" s="93" t="s">
        <v>255</v>
      </c>
      <c r="J892" s="93" t="s">
        <v>47</v>
      </c>
      <c r="K892" s="93"/>
      <c r="L892" s="95">
        <v>89.82</v>
      </c>
      <c r="M892" s="95">
        <f>L892*VLOOKUP(H892,dagsoorttabel1,2,FALSE)</f>
        <v>70.447058823529403</v>
      </c>
      <c r="N892" s="96">
        <f>prodnorm88</f>
        <v>0</v>
      </c>
      <c r="O892" s="37">
        <f>dagwerk88</f>
        <v>0</v>
      </c>
      <c r="P892" s="93" t="s">
        <v>105</v>
      </c>
      <c r="Q892" s="24">
        <f>uurtarief88</f>
        <v>0</v>
      </c>
      <c r="R892" s="95" t="e">
        <f>IF(ISBLANK(N892),0,M892/ROUND(N892,4))</f>
        <v>#DIV/0!</v>
      </c>
      <c r="S892" s="95" t="e">
        <f>IF(ISBLANK(N892),0,R892*ROUND(O892,2))</f>
        <v>#DIV/0!</v>
      </c>
      <c r="T892" s="24" t="e">
        <f>ROUND(Q892,2)*R892</f>
        <v>#DIV/0!</v>
      </c>
      <c r="U892" s="95" t="e">
        <f>R892*dagenperjaar1</f>
        <v>#DIV/0!</v>
      </c>
      <c r="V892" s="25" t="e">
        <f>U892*ROUND(Q892,2)</f>
        <v>#DIV/0!</v>
      </c>
    </row>
    <row r="893" spans="1:22" x14ac:dyDescent="0.2">
      <c r="A893" s="92" t="s">
        <v>891</v>
      </c>
      <c r="B893" s="93" t="s">
        <v>47</v>
      </c>
      <c r="C893" s="93" t="s">
        <v>558</v>
      </c>
      <c r="D893" s="93" t="s">
        <v>47</v>
      </c>
      <c r="E893" s="94" t="s">
        <v>399</v>
      </c>
      <c r="F893" s="93" t="s">
        <v>892</v>
      </c>
      <c r="G893" s="93" t="s">
        <v>316</v>
      </c>
      <c r="H893" s="93" t="s">
        <v>13</v>
      </c>
      <c r="I893" s="93" t="s">
        <v>255</v>
      </c>
      <c r="J893" s="93" t="s">
        <v>47</v>
      </c>
      <c r="K893" s="93"/>
      <c r="L893" s="95">
        <v>89.82</v>
      </c>
      <c r="M893" s="95">
        <f>L893*VLOOKUP(H893,dagsoorttabel1,2,FALSE)</f>
        <v>70.447058823529403</v>
      </c>
      <c r="N893" s="96">
        <f>prodnorm93</f>
        <v>0</v>
      </c>
      <c r="O893" s="37">
        <f>dagwerk93</f>
        <v>0</v>
      </c>
      <c r="P893" s="93" t="s">
        <v>105</v>
      </c>
      <c r="Q893" s="24">
        <f>uurtarief93</f>
        <v>0</v>
      </c>
      <c r="R893" s="95" t="e">
        <f>IF(ISBLANK(N893),0,M893/ROUND(N893,4))</f>
        <v>#DIV/0!</v>
      </c>
      <c r="S893" s="95" t="e">
        <f>IF(ISBLANK(N893),0,R893*ROUND(O893,2))</f>
        <v>#DIV/0!</v>
      </c>
      <c r="T893" s="24" t="e">
        <f>ROUND(Q893,2)*R893</f>
        <v>#DIV/0!</v>
      </c>
      <c r="U893" s="95" t="e">
        <f>R893*dagenperjaar1</f>
        <v>#DIV/0!</v>
      </c>
      <c r="V893" s="25" t="e">
        <f>U893*ROUND(Q893,2)</f>
        <v>#DIV/0!</v>
      </c>
    </row>
    <row r="894" spans="1:22" x14ac:dyDescent="0.2">
      <c r="A894" s="92" t="s">
        <v>891</v>
      </c>
      <c r="B894" s="93" t="s">
        <v>47</v>
      </c>
      <c r="C894" s="93" t="s">
        <v>558</v>
      </c>
      <c r="D894" s="93" t="s">
        <v>47</v>
      </c>
      <c r="E894" s="94" t="s">
        <v>412</v>
      </c>
      <c r="F894" s="93" t="s">
        <v>517</v>
      </c>
      <c r="G894" s="93" t="s">
        <v>284</v>
      </c>
      <c r="H894" s="93" t="s">
        <v>13</v>
      </c>
      <c r="I894" s="93" t="s">
        <v>255</v>
      </c>
      <c r="J894" s="93" t="s">
        <v>47</v>
      </c>
      <c r="K894" s="93"/>
      <c r="L894" s="95">
        <v>26.02</v>
      </c>
      <c r="M894" s="95">
        <f>L894*VLOOKUP(H894,dagsoorttabel1,2,FALSE)</f>
        <v>20.407843137254901</v>
      </c>
      <c r="N894" s="96">
        <f>prodnorm58</f>
        <v>0</v>
      </c>
      <c r="O894" s="37">
        <f>dagwerk58</f>
        <v>0</v>
      </c>
      <c r="P894" s="93" t="s">
        <v>105</v>
      </c>
      <c r="Q894" s="24">
        <f>uurtarief58</f>
        <v>0</v>
      </c>
      <c r="R894" s="95" t="e">
        <f>IF(ISBLANK(N894),0,M894/ROUND(N894,4))</f>
        <v>#DIV/0!</v>
      </c>
      <c r="S894" s="95" t="e">
        <f>IF(ISBLANK(N894),0,R894*ROUND(O894,2))</f>
        <v>#DIV/0!</v>
      </c>
      <c r="T894" s="24" t="e">
        <f>ROUND(Q894,2)*R894</f>
        <v>#DIV/0!</v>
      </c>
      <c r="U894" s="95" t="e">
        <f>R894*dagenperjaar1</f>
        <v>#DIV/0!</v>
      </c>
      <c r="V894" s="25" t="e">
        <f>U894*ROUND(Q894,2)</f>
        <v>#DIV/0!</v>
      </c>
    </row>
    <row r="895" spans="1:22" x14ac:dyDescent="0.2">
      <c r="A895" s="92" t="s">
        <v>891</v>
      </c>
      <c r="B895" s="93" t="s">
        <v>47</v>
      </c>
      <c r="C895" s="93" t="s">
        <v>558</v>
      </c>
      <c r="D895" s="93" t="s">
        <v>47</v>
      </c>
      <c r="E895" s="94" t="s">
        <v>412</v>
      </c>
      <c r="F895" s="93" t="s">
        <v>517</v>
      </c>
      <c r="G895" s="93" t="s">
        <v>286</v>
      </c>
      <c r="H895" s="93" t="s">
        <v>13</v>
      </c>
      <c r="I895" s="93" t="s">
        <v>255</v>
      </c>
      <c r="J895" s="93" t="s">
        <v>47</v>
      </c>
      <c r="K895" s="93"/>
      <c r="L895" s="95">
        <v>26.02</v>
      </c>
      <c r="M895" s="95">
        <f>L895*VLOOKUP(H895,dagsoorttabel1,2,FALSE)</f>
        <v>20.407843137254901</v>
      </c>
      <c r="N895" s="96">
        <f>prodnorm61</f>
        <v>0</v>
      </c>
      <c r="O895" s="37">
        <f>dagwerk61</f>
        <v>0</v>
      </c>
      <c r="P895" s="93" t="s">
        <v>105</v>
      </c>
      <c r="Q895" s="24">
        <f>uurtarief61</f>
        <v>0</v>
      </c>
      <c r="R895" s="95" t="e">
        <f>IF(ISBLANK(N895),0,M895/ROUND(N895,4))</f>
        <v>#DIV/0!</v>
      </c>
      <c r="S895" s="95" t="e">
        <f>IF(ISBLANK(N895),0,R895*ROUND(O895,2))</f>
        <v>#DIV/0!</v>
      </c>
      <c r="T895" s="24" t="e">
        <f>ROUND(Q895,2)*R895</f>
        <v>#DIV/0!</v>
      </c>
      <c r="U895" s="95" t="e">
        <f>R895*dagenperjaar1</f>
        <v>#DIV/0!</v>
      </c>
      <c r="V895" s="25" t="e">
        <f>U895*ROUND(Q895,2)</f>
        <v>#DIV/0!</v>
      </c>
    </row>
    <row r="896" spans="1:22" x14ac:dyDescent="0.2">
      <c r="A896" s="92" t="s">
        <v>891</v>
      </c>
      <c r="B896" s="93" t="s">
        <v>47</v>
      </c>
      <c r="C896" s="93" t="s">
        <v>558</v>
      </c>
      <c r="D896" s="93" t="s">
        <v>47</v>
      </c>
      <c r="E896" s="94" t="s">
        <v>870</v>
      </c>
      <c r="F896" s="93" t="s">
        <v>517</v>
      </c>
      <c r="G896" s="93" t="s">
        <v>304</v>
      </c>
      <c r="H896" s="93" t="s">
        <v>13</v>
      </c>
      <c r="I896" s="93" t="s">
        <v>255</v>
      </c>
      <c r="J896" s="93" t="s">
        <v>47</v>
      </c>
      <c r="K896" s="93"/>
      <c r="L896" s="95">
        <v>1</v>
      </c>
      <c r="M896" s="95">
        <f>L896*VLOOKUP(H896,dagsoorttabel1,2,FALSE)</f>
        <v>0.78431372549019607</v>
      </c>
      <c r="N896" s="96">
        <f>prodnorm74</f>
        <v>0</v>
      </c>
      <c r="O896" s="37">
        <f>dagwerk74</f>
        <v>0</v>
      </c>
      <c r="P896" s="93" t="s">
        <v>105</v>
      </c>
      <c r="Q896" s="24">
        <f>uurtarief74</f>
        <v>0</v>
      </c>
      <c r="R896" s="95" t="e">
        <f>IF(ISBLANK(N896),0,M896/ROUND(N896,4))</f>
        <v>#DIV/0!</v>
      </c>
      <c r="S896" s="95" t="e">
        <f>IF(ISBLANK(N896),0,R896*ROUND(O896,2))</f>
        <v>#DIV/0!</v>
      </c>
      <c r="T896" s="24" t="e">
        <f>ROUND(Q896,2)*R896</f>
        <v>#DIV/0!</v>
      </c>
      <c r="U896" s="95" t="e">
        <f>R896*dagenperjaar1</f>
        <v>#DIV/0!</v>
      </c>
      <c r="V896" s="25" t="e">
        <f>U896*ROUND(Q896,2)</f>
        <v>#DIV/0!</v>
      </c>
    </row>
    <row r="897" spans="1:22" x14ac:dyDescent="0.2">
      <c r="A897" s="92" t="s">
        <v>891</v>
      </c>
      <c r="B897" s="93" t="s">
        <v>47</v>
      </c>
      <c r="C897" s="93" t="s">
        <v>558</v>
      </c>
      <c r="D897" s="93" t="s">
        <v>47</v>
      </c>
      <c r="E897" s="94" t="s">
        <v>870</v>
      </c>
      <c r="F897" s="93" t="s">
        <v>517</v>
      </c>
      <c r="G897" s="93" t="s">
        <v>306</v>
      </c>
      <c r="H897" s="93" t="s">
        <v>15</v>
      </c>
      <c r="I897" s="93" t="s">
        <v>255</v>
      </c>
      <c r="J897" s="93" t="s">
        <v>47</v>
      </c>
      <c r="K897" s="93"/>
      <c r="L897" s="95">
        <v>1</v>
      </c>
      <c r="M897" s="95">
        <f>L897*VLOOKUP(H897,dagsoorttabel1,2,FALSE)</f>
        <v>0.50980392156862742</v>
      </c>
      <c r="N897" s="96">
        <f>prodnorm77</f>
        <v>0</v>
      </c>
      <c r="O897" s="37">
        <f>dagwerk77</f>
        <v>0</v>
      </c>
      <c r="P897" s="93" t="s">
        <v>105</v>
      </c>
      <c r="Q897" s="24">
        <f>uurtarief77</f>
        <v>0</v>
      </c>
      <c r="R897" s="95" t="e">
        <f>IF(ISBLANK(N897),0,M897/ROUND(N897,4))</f>
        <v>#DIV/0!</v>
      </c>
      <c r="S897" s="95" t="e">
        <f>IF(ISBLANK(N897),0,R897*ROUND(O897,2))</f>
        <v>#DIV/0!</v>
      </c>
      <c r="T897" s="24" t="e">
        <f>ROUND(Q897,2)*R897</f>
        <v>#DIV/0!</v>
      </c>
      <c r="U897" s="95" t="e">
        <f>R897*dagenperjaar1</f>
        <v>#DIV/0!</v>
      </c>
      <c r="V897" s="25" t="e">
        <f>U897*ROUND(Q897,2)</f>
        <v>#DIV/0!</v>
      </c>
    </row>
    <row r="898" spans="1:22" x14ac:dyDescent="0.2">
      <c r="A898" s="92" t="s">
        <v>891</v>
      </c>
      <c r="B898" s="93" t="s">
        <v>47</v>
      </c>
      <c r="C898" s="93" t="s">
        <v>558</v>
      </c>
      <c r="D898" s="93" t="s">
        <v>47</v>
      </c>
      <c r="E898" s="94" t="s">
        <v>869</v>
      </c>
      <c r="F898" s="93" t="s">
        <v>517</v>
      </c>
      <c r="G898" s="93" t="s">
        <v>266</v>
      </c>
      <c r="H898" s="93" t="s">
        <v>13</v>
      </c>
      <c r="I898" s="93" t="s">
        <v>255</v>
      </c>
      <c r="J898" s="93" t="s">
        <v>47</v>
      </c>
      <c r="K898" s="93"/>
      <c r="L898" s="95">
        <v>8.51</v>
      </c>
      <c r="M898" s="95">
        <f>L898*VLOOKUP(H898,dagsoorttabel1,2,FALSE)</f>
        <v>6.674509803921568</v>
      </c>
      <c r="N898" s="96">
        <f>prodnorm40</f>
        <v>0</v>
      </c>
      <c r="O898" s="37">
        <f>dagwerk40</f>
        <v>0</v>
      </c>
      <c r="P898" s="93" t="s">
        <v>105</v>
      </c>
      <c r="Q898" s="24">
        <f>uurtarief40</f>
        <v>0</v>
      </c>
      <c r="R898" s="95" t="e">
        <f>IF(ISBLANK(N898),0,M898/ROUND(N898,4))</f>
        <v>#DIV/0!</v>
      </c>
      <c r="S898" s="95" t="e">
        <f>IF(ISBLANK(N898),0,R898*ROUND(O898,2))</f>
        <v>#DIV/0!</v>
      </c>
      <c r="T898" s="24" t="e">
        <f>ROUND(Q898,2)*R898</f>
        <v>#DIV/0!</v>
      </c>
      <c r="U898" s="95" t="e">
        <f>R898*dagenperjaar1</f>
        <v>#DIV/0!</v>
      </c>
      <c r="V898" s="25" t="e">
        <f>U898*ROUND(Q898,2)</f>
        <v>#DIV/0!</v>
      </c>
    </row>
    <row r="899" spans="1:22" x14ac:dyDescent="0.2">
      <c r="A899" s="92" t="s">
        <v>891</v>
      </c>
      <c r="B899" s="93" t="s">
        <v>47</v>
      </c>
      <c r="C899" s="93" t="s">
        <v>558</v>
      </c>
      <c r="D899" s="93" t="s">
        <v>47</v>
      </c>
      <c r="E899" s="94" t="s">
        <v>869</v>
      </c>
      <c r="F899" s="93" t="s">
        <v>517</v>
      </c>
      <c r="G899" s="93" t="s">
        <v>268</v>
      </c>
      <c r="H899" s="93" t="s">
        <v>13</v>
      </c>
      <c r="I899" s="93" t="s">
        <v>255</v>
      </c>
      <c r="J899" s="93" t="s">
        <v>47</v>
      </c>
      <c r="K899" s="93"/>
      <c r="L899" s="95">
        <v>8.51</v>
      </c>
      <c r="M899" s="95">
        <f>L899*VLOOKUP(H899,dagsoorttabel1,2,FALSE)</f>
        <v>6.674509803921568</v>
      </c>
      <c r="N899" s="96">
        <f>prodnorm42</f>
        <v>0</v>
      </c>
      <c r="O899" s="37">
        <f>dagwerk42</f>
        <v>0</v>
      </c>
      <c r="P899" s="93" t="s">
        <v>105</v>
      </c>
      <c r="Q899" s="24">
        <f>uurtarief42</f>
        <v>0</v>
      </c>
      <c r="R899" s="95" t="e">
        <f>IF(ISBLANK(N899),0,M899/ROUND(N899,4))</f>
        <v>#DIV/0!</v>
      </c>
      <c r="S899" s="95" t="e">
        <f>IF(ISBLANK(N899),0,R899*ROUND(O899,2))</f>
        <v>#DIV/0!</v>
      </c>
      <c r="T899" s="24" t="e">
        <f>ROUND(Q899,2)*R899</f>
        <v>#DIV/0!</v>
      </c>
      <c r="U899" s="95" t="e">
        <f>R899*dagenperjaar1</f>
        <v>#DIV/0!</v>
      </c>
      <c r="V899" s="25" t="e">
        <f>U899*ROUND(Q899,2)</f>
        <v>#DIV/0!</v>
      </c>
    </row>
    <row r="900" spans="1:22" x14ac:dyDescent="0.2">
      <c r="A900" s="92" t="s">
        <v>891</v>
      </c>
      <c r="B900" s="93" t="s">
        <v>47</v>
      </c>
      <c r="C900" s="93" t="s">
        <v>558</v>
      </c>
      <c r="D900" s="93" t="s">
        <v>47</v>
      </c>
      <c r="E900" s="94" t="s">
        <v>417</v>
      </c>
      <c r="F900" s="93" t="s">
        <v>517</v>
      </c>
      <c r="G900" s="93" t="s">
        <v>284</v>
      </c>
      <c r="H900" s="93" t="s">
        <v>13</v>
      </c>
      <c r="I900" s="93" t="s">
        <v>255</v>
      </c>
      <c r="J900" s="93" t="s">
        <v>47</v>
      </c>
      <c r="K900" s="93"/>
      <c r="L900" s="95">
        <v>27.55</v>
      </c>
      <c r="M900" s="95">
        <f>L900*VLOOKUP(H900,dagsoorttabel1,2,FALSE)</f>
        <v>21.607843137254903</v>
      </c>
      <c r="N900" s="96">
        <f>prodnorm58</f>
        <v>0</v>
      </c>
      <c r="O900" s="37">
        <f>dagwerk58</f>
        <v>0</v>
      </c>
      <c r="P900" s="93" t="s">
        <v>105</v>
      </c>
      <c r="Q900" s="24">
        <f>uurtarief58</f>
        <v>0</v>
      </c>
      <c r="R900" s="95" t="e">
        <f>IF(ISBLANK(N900),0,M900/ROUND(N900,4))</f>
        <v>#DIV/0!</v>
      </c>
      <c r="S900" s="95" t="e">
        <f>IF(ISBLANK(N900),0,R900*ROUND(O900,2))</f>
        <v>#DIV/0!</v>
      </c>
      <c r="T900" s="24" t="e">
        <f>ROUND(Q900,2)*R900</f>
        <v>#DIV/0!</v>
      </c>
      <c r="U900" s="95" t="e">
        <f>R900*dagenperjaar1</f>
        <v>#DIV/0!</v>
      </c>
      <c r="V900" s="25" t="e">
        <f>U900*ROUND(Q900,2)</f>
        <v>#DIV/0!</v>
      </c>
    </row>
    <row r="901" spans="1:22" x14ac:dyDescent="0.2">
      <c r="A901" s="92" t="s">
        <v>891</v>
      </c>
      <c r="B901" s="93" t="s">
        <v>47</v>
      </c>
      <c r="C901" s="93" t="s">
        <v>558</v>
      </c>
      <c r="D901" s="93" t="s">
        <v>47</v>
      </c>
      <c r="E901" s="94" t="s">
        <v>417</v>
      </c>
      <c r="F901" s="93" t="s">
        <v>517</v>
      </c>
      <c r="G901" s="93" t="s">
        <v>286</v>
      </c>
      <c r="H901" s="93" t="s">
        <v>13</v>
      </c>
      <c r="I901" s="93" t="s">
        <v>255</v>
      </c>
      <c r="J901" s="93" t="s">
        <v>47</v>
      </c>
      <c r="K901" s="93"/>
      <c r="L901" s="95">
        <v>27.55</v>
      </c>
      <c r="M901" s="95">
        <f>L901*VLOOKUP(H901,dagsoorttabel1,2,FALSE)</f>
        <v>21.607843137254903</v>
      </c>
      <c r="N901" s="96">
        <f>prodnorm61</f>
        <v>0</v>
      </c>
      <c r="O901" s="37">
        <f>dagwerk61</f>
        <v>0</v>
      </c>
      <c r="P901" s="93" t="s">
        <v>105</v>
      </c>
      <c r="Q901" s="24">
        <f>uurtarief61</f>
        <v>0</v>
      </c>
      <c r="R901" s="95" t="e">
        <f>IF(ISBLANK(N901),0,M901/ROUND(N901,4))</f>
        <v>#DIV/0!</v>
      </c>
      <c r="S901" s="95" t="e">
        <f>IF(ISBLANK(N901),0,R901*ROUND(O901,2))</f>
        <v>#DIV/0!</v>
      </c>
      <c r="T901" s="24" t="e">
        <f>ROUND(Q901,2)*R901</f>
        <v>#DIV/0!</v>
      </c>
      <c r="U901" s="95" t="e">
        <f>R901*dagenperjaar1</f>
        <v>#DIV/0!</v>
      </c>
      <c r="V901" s="25" t="e">
        <f>U901*ROUND(Q901,2)</f>
        <v>#DIV/0!</v>
      </c>
    </row>
    <row r="902" spans="1:22" x14ac:dyDescent="0.2">
      <c r="A902" s="92" t="s">
        <v>891</v>
      </c>
      <c r="B902" s="93" t="s">
        <v>47</v>
      </c>
      <c r="C902" s="93" t="s">
        <v>558</v>
      </c>
      <c r="D902" s="93" t="s">
        <v>47</v>
      </c>
      <c r="E902" s="94" t="s">
        <v>884</v>
      </c>
      <c r="F902" s="93" t="s">
        <v>517</v>
      </c>
      <c r="G902" s="93" t="s">
        <v>304</v>
      </c>
      <c r="H902" s="93" t="s">
        <v>13</v>
      </c>
      <c r="I902" s="93" t="s">
        <v>255</v>
      </c>
      <c r="J902" s="93" t="s">
        <v>47</v>
      </c>
      <c r="K902" s="93"/>
      <c r="L902" s="95">
        <v>1.1500000000000001</v>
      </c>
      <c r="M902" s="95">
        <f>L902*VLOOKUP(H902,dagsoorttabel1,2,FALSE)</f>
        <v>0.90196078431372562</v>
      </c>
      <c r="N902" s="96">
        <f>prodnorm74</f>
        <v>0</v>
      </c>
      <c r="O902" s="37">
        <f>dagwerk74</f>
        <v>0</v>
      </c>
      <c r="P902" s="93" t="s">
        <v>105</v>
      </c>
      <c r="Q902" s="24">
        <f>uurtarief74</f>
        <v>0</v>
      </c>
      <c r="R902" s="95" t="e">
        <f>IF(ISBLANK(N902),0,M902/ROUND(N902,4))</f>
        <v>#DIV/0!</v>
      </c>
      <c r="S902" s="95" t="e">
        <f>IF(ISBLANK(N902),0,R902*ROUND(O902,2))</f>
        <v>#DIV/0!</v>
      </c>
      <c r="T902" s="24" t="e">
        <f>ROUND(Q902,2)*R902</f>
        <v>#DIV/0!</v>
      </c>
      <c r="U902" s="95" t="e">
        <f>R902*dagenperjaar1</f>
        <v>#DIV/0!</v>
      </c>
      <c r="V902" s="25" t="e">
        <f>U902*ROUND(Q902,2)</f>
        <v>#DIV/0!</v>
      </c>
    </row>
    <row r="903" spans="1:22" x14ac:dyDescent="0.2">
      <c r="A903" s="92" t="s">
        <v>891</v>
      </c>
      <c r="B903" s="93" t="s">
        <v>47</v>
      </c>
      <c r="C903" s="93" t="s">
        <v>558</v>
      </c>
      <c r="D903" s="93" t="s">
        <v>47</v>
      </c>
      <c r="E903" s="94" t="s">
        <v>884</v>
      </c>
      <c r="F903" s="93" t="s">
        <v>517</v>
      </c>
      <c r="G903" s="93" t="s">
        <v>306</v>
      </c>
      <c r="H903" s="93" t="s">
        <v>15</v>
      </c>
      <c r="I903" s="93" t="s">
        <v>255</v>
      </c>
      <c r="J903" s="93" t="s">
        <v>47</v>
      </c>
      <c r="K903" s="93"/>
      <c r="L903" s="95">
        <v>1.1500000000000001</v>
      </c>
      <c r="M903" s="95">
        <f>L903*VLOOKUP(H903,dagsoorttabel1,2,FALSE)</f>
        <v>0.5862745098039216</v>
      </c>
      <c r="N903" s="96">
        <f>prodnorm77</f>
        <v>0</v>
      </c>
      <c r="O903" s="37">
        <f>dagwerk77</f>
        <v>0</v>
      </c>
      <c r="P903" s="93" t="s">
        <v>105</v>
      </c>
      <c r="Q903" s="24">
        <f>uurtarief77</f>
        <v>0</v>
      </c>
      <c r="R903" s="95" t="e">
        <f>IF(ISBLANK(N903),0,M903/ROUND(N903,4))</f>
        <v>#DIV/0!</v>
      </c>
      <c r="S903" s="95" t="e">
        <f>IF(ISBLANK(N903),0,R903*ROUND(O903,2))</f>
        <v>#DIV/0!</v>
      </c>
      <c r="T903" s="24" t="e">
        <f>ROUND(Q903,2)*R903</f>
        <v>#DIV/0!</v>
      </c>
      <c r="U903" s="95" t="e">
        <f>R903*dagenperjaar1</f>
        <v>#DIV/0!</v>
      </c>
      <c r="V903" s="25" t="e">
        <f>U903*ROUND(Q903,2)</f>
        <v>#DIV/0!</v>
      </c>
    </row>
    <row r="904" spans="1:22" x14ac:dyDescent="0.2">
      <c r="A904" s="92" t="s">
        <v>891</v>
      </c>
      <c r="B904" s="93" t="s">
        <v>47</v>
      </c>
      <c r="C904" s="93" t="s">
        <v>558</v>
      </c>
      <c r="D904" s="93" t="s">
        <v>47</v>
      </c>
      <c r="E904" s="94" t="s">
        <v>885</v>
      </c>
      <c r="F904" s="93" t="s">
        <v>517</v>
      </c>
      <c r="G904" s="93" t="s">
        <v>266</v>
      </c>
      <c r="H904" s="93" t="s">
        <v>13</v>
      </c>
      <c r="I904" s="93" t="s">
        <v>255</v>
      </c>
      <c r="J904" s="93" t="s">
        <v>47</v>
      </c>
      <c r="K904" s="93"/>
      <c r="L904" s="95">
        <v>10.53</v>
      </c>
      <c r="M904" s="95">
        <f>L904*VLOOKUP(H904,dagsoorttabel1,2,FALSE)</f>
        <v>8.2588235294117638</v>
      </c>
      <c r="N904" s="96">
        <f>prodnorm40</f>
        <v>0</v>
      </c>
      <c r="O904" s="37">
        <f>dagwerk40</f>
        <v>0</v>
      </c>
      <c r="P904" s="93" t="s">
        <v>105</v>
      </c>
      <c r="Q904" s="24">
        <f>uurtarief40</f>
        <v>0</v>
      </c>
      <c r="R904" s="95" t="e">
        <f>IF(ISBLANK(N904),0,M904/ROUND(N904,4))</f>
        <v>#DIV/0!</v>
      </c>
      <c r="S904" s="95" t="e">
        <f>IF(ISBLANK(N904),0,R904*ROUND(O904,2))</f>
        <v>#DIV/0!</v>
      </c>
      <c r="T904" s="24" t="e">
        <f>ROUND(Q904,2)*R904</f>
        <v>#DIV/0!</v>
      </c>
      <c r="U904" s="95" t="e">
        <f>R904*dagenperjaar1</f>
        <v>#DIV/0!</v>
      </c>
      <c r="V904" s="25" t="e">
        <f>U904*ROUND(Q904,2)</f>
        <v>#DIV/0!</v>
      </c>
    </row>
    <row r="905" spans="1:22" x14ac:dyDescent="0.2">
      <c r="A905" s="92" t="s">
        <v>891</v>
      </c>
      <c r="B905" s="93" t="s">
        <v>47</v>
      </c>
      <c r="C905" s="93" t="s">
        <v>558</v>
      </c>
      <c r="D905" s="93" t="s">
        <v>47</v>
      </c>
      <c r="E905" s="94" t="s">
        <v>885</v>
      </c>
      <c r="F905" s="93" t="s">
        <v>517</v>
      </c>
      <c r="G905" s="93" t="s">
        <v>268</v>
      </c>
      <c r="H905" s="93" t="s">
        <v>13</v>
      </c>
      <c r="I905" s="93" t="s">
        <v>255</v>
      </c>
      <c r="J905" s="93" t="s">
        <v>47</v>
      </c>
      <c r="K905" s="93"/>
      <c r="L905" s="95">
        <v>10.53</v>
      </c>
      <c r="M905" s="95">
        <f>L905*VLOOKUP(H905,dagsoorttabel1,2,FALSE)</f>
        <v>8.2588235294117638</v>
      </c>
      <c r="N905" s="96">
        <f>prodnorm42</f>
        <v>0</v>
      </c>
      <c r="O905" s="37">
        <f>dagwerk42</f>
        <v>0</v>
      </c>
      <c r="P905" s="93" t="s">
        <v>105</v>
      </c>
      <c r="Q905" s="24">
        <f>uurtarief42</f>
        <v>0</v>
      </c>
      <c r="R905" s="95" t="e">
        <f>IF(ISBLANK(N905),0,M905/ROUND(N905,4))</f>
        <v>#DIV/0!</v>
      </c>
      <c r="S905" s="95" t="e">
        <f>IF(ISBLANK(N905),0,R905*ROUND(O905,2))</f>
        <v>#DIV/0!</v>
      </c>
      <c r="T905" s="24" t="e">
        <f>ROUND(Q905,2)*R905</f>
        <v>#DIV/0!</v>
      </c>
      <c r="U905" s="95" t="e">
        <f>R905*dagenperjaar1</f>
        <v>#DIV/0!</v>
      </c>
      <c r="V905" s="25" t="e">
        <f>U905*ROUND(Q905,2)</f>
        <v>#DIV/0!</v>
      </c>
    </row>
    <row r="906" spans="1:22" x14ac:dyDescent="0.2">
      <c r="A906" s="92" t="s">
        <v>891</v>
      </c>
      <c r="B906" s="93" t="s">
        <v>47</v>
      </c>
      <c r="C906" s="93" t="s">
        <v>558</v>
      </c>
      <c r="D906" s="93" t="s">
        <v>47</v>
      </c>
      <c r="E906" s="94" t="s">
        <v>879</v>
      </c>
      <c r="F906" s="93" t="s">
        <v>517</v>
      </c>
      <c r="G906" s="93" t="s">
        <v>284</v>
      </c>
      <c r="H906" s="93" t="s">
        <v>13</v>
      </c>
      <c r="I906" s="93" t="s">
        <v>255</v>
      </c>
      <c r="J906" s="93" t="s">
        <v>47</v>
      </c>
      <c r="K906" s="93"/>
      <c r="L906" s="95">
        <v>7.59</v>
      </c>
      <c r="M906" s="95">
        <f>L906*VLOOKUP(H906,dagsoorttabel1,2,FALSE)</f>
        <v>5.9529411764705884</v>
      </c>
      <c r="N906" s="96">
        <f>prodnorm58</f>
        <v>0</v>
      </c>
      <c r="O906" s="37">
        <f>dagwerk58</f>
        <v>0</v>
      </c>
      <c r="P906" s="93" t="s">
        <v>105</v>
      </c>
      <c r="Q906" s="24">
        <f>uurtarief58</f>
        <v>0</v>
      </c>
      <c r="R906" s="95" t="e">
        <f>IF(ISBLANK(N906),0,M906/ROUND(N906,4))</f>
        <v>#DIV/0!</v>
      </c>
      <c r="S906" s="95" t="e">
        <f>IF(ISBLANK(N906),0,R906*ROUND(O906,2))</f>
        <v>#DIV/0!</v>
      </c>
      <c r="T906" s="24" t="e">
        <f>ROUND(Q906,2)*R906</f>
        <v>#DIV/0!</v>
      </c>
      <c r="U906" s="95" t="e">
        <f>R906*dagenperjaar1</f>
        <v>#DIV/0!</v>
      </c>
      <c r="V906" s="25" t="e">
        <f>U906*ROUND(Q906,2)</f>
        <v>#DIV/0!</v>
      </c>
    </row>
    <row r="907" spans="1:22" x14ac:dyDescent="0.2">
      <c r="A907" s="92" t="s">
        <v>891</v>
      </c>
      <c r="B907" s="93" t="s">
        <v>47</v>
      </c>
      <c r="C907" s="93" t="s">
        <v>558</v>
      </c>
      <c r="D907" s="93" t="s">
        <v>47</v>
      </c>
      <c r="E907" s="94" t="s">
        <v>879</v>
      </c>
      <c r="F907" s="93" t="s">
        <v>517</v>
      </c>
      <c r="G907" s="93" t="s">
        <v>286</v>
      </c>
      <c r="H907" s="93" t="s">
        <v>13</v>
      </c>
      <c r="I907" s="93" t="s">
        <v>255</v>
      </c>
      <c r="J907" s="93" t="s">
        <v>47</v>
      </c>
      <c r="K907" s="93"/>
      <c r="L907" s="95">
        <v>7.59</v>
      </c>
      <c r="M907" s="95">
        <f>L907*VLOOKUP(H907,dagsoorttabel1,2,FALSE)</f>
        <v>5.9529411764705884</v>
      </c>
      <c r="N907" s="96">
        <f>prodnorm61</f>
        <v>0</v>
      </c>
      <c r="O907" s="37">
        <f>dagwerk61</f>
        <v>0</v>
      </c>
      <c r="P907" s="93" t="s">
        <v>105</v>
      </c>
      <c r="Q907" s="24">
        <f>uurtarief61</f>
        <v>0</v>
      </c>
      <c r="R907" s="95" t="e">
        <f>IF(ISBLANK(N907),0,M907/ROUND(N907,4))</f>
        <v>#DIV/0!</v>
      </c>
      <c r="S907" s="95" t="e">
        <f>IF(ISBLANK(N907),0,R907*ROUND(O907,2))</f>
        <v>#DIV/0!</v>
      </c>
      <c r="T907" s="24" t="e">
        <f>ROUND(Q907,2)*R907</f>
        <v>#DIV/0!</v>
      </c>
      <c r="U907" s="95" t="e">
        <f>R907*dagenperjaar1</f>
        <v>#DIV/0!</v>
      </c>
      <c r="V907" s="25" t="e">
        <f>U907*ROUND(Q907,2)</f>
        <v>#DIV/0!</v>
      </c>
    </row>
    <row r="908" spans="1:22" x14ac:dyDescent="0.2">
      <c r="A908" s="92" t="s">
        <v>891</v>
      </c>
      <c r="B908" s="93" t="s">
        <v>47</v>
      </c>
      <c r="C908" s="93" t="s">
        <v>558</v>
      </c>
      <c r="D908" s="93" t="s">
        <v>47</v>
      </c>
      <c r="E908" s="94" t="s">
        <v>893</v>
      </c>
      <c r="F908" s="93" t="s">
        <v>517</v>
      </c>
      <c r="G908" s="93" t="s">
        <v>284</v>
      </c>
      <c r="H908" s="93" t="s">
        <v>13</v>
      </c>
      <c r="I908" s="93" t="s">
        <v>255</v>
      </c>
      <c r="J908" s="93" t="s">
        <v>47</v>
      </c>
      <c r="K908" s="93"/>
      <c r="L908" s="95">
        <v>5.01</v>
      </c>
      <c r="M908" s="95">
        <f>L908*VLOOKUP(H908,dagsoorttabel1,2,FALSE)</f>
        <v>3.9294117647058822</v>
      </c>
      <c r="N908" s="96">
        <f>prodnorm58</f>
        <v>0</v>
      </c>
      <c r="O908" s="37">
        <f>dagwerk58</f>
        <v>0</v>
      </c>
      <c r="P908" s="93" t="s">
        <v>105</v>
      </c>
      <c r="Q908" s="24">
        <f>uurtarief58</f>
        <v>0</v>
      </c>
      <c r="R908" s="95" t="e">
        <f>IF(ISBLANK(N908),0,M908/ROUND(N908,4))</f>
        <v>#DIV/0!</v>
      </c>
      <c r="S908" s="95" t="e">
        <f>IF(ISBLANK(N908),0,R908*ROUND(O908,2))</f>
        <v>#DIV/0!</v>
      </c>
      <c r="T908" s="24" t="e">
        <f>ROUND(Q908,2)*R908</f>
        <v>#DIV/0!</v>
      </c>
      <c r="U908" s="95" t="e">
        <f>R908*dagenperjaar1</f>
        <v>#DIV/0!</v>
      </c>
      <c r="V908" s="25" t="e">
        <f>U908*ROUND(Q908,2)</f>
        <v>#DIV/0!</v>
      </c>
    </row>
    <row r="909" spans="1:22" x14ac:dyDescent="0.2">
      <c r="A909" s="92" t="s">
        <v>891</v>
      </c>
      <c r="B909" s="93" t="s">
        <v>47</v>
      </c>
      <c r="C909" s="93" t="s">
        <v>558</v>
      </c>
      <c r="D909" s="93" t="s">
        <v>47</v>
      </c>
      <c r="E909" s="94" t="s">
        <v>893</v>
      </c>
      <c r="F909" s="93" t="s">
        <v>517</v>
      </c>
      <c r="G909" s="93" t="s">
        <v>286</v>
      </c>
      <c r="H909" s="93" t="s">
        <v>13</v>
      </c>
      <c r="I909" s="93" t="s">
        <v>255</v>
      </c>
      <c r="J909" s="93" t="s">
        <v>47</v>
      </c>
      <c r="K909" s="93"/>
      <c r="L909" s="95">
        <v>5.01</v>
      </c>
      <c r="M909" s="95">
        <f>L909*VLOOKUP(H909,dagsoorttabel1,2,FALSE)</f>
        <v>3.9294117647058822</v>
      </c>
      <c r="N909" s="96">
        <f>prodnorm61</f>
        <v>0</v>
      </c>
      <c r="O909" s="37">
        <f>dagwerk61</f>
        <v>0</v>
      </c>
      <c r="P909" s="93" t="s">
        <v>105</v>
      </c>
      <c r="Q909" s="24">
        <f>uurtarief61</f>
        <v>0</v>
      </c>
      <c r="R909" s="95" t="e">
        <f>IF(ISBLANK(N909),0,M909/ROUND(N909,4))</f>
        <v>#DIV/0!</v>
      </c>
      <c r="S909" s="95" t="e">
        <f>IF(ISBLANK(N909),0,R909*ROUND(O909,2))</f>
        <v>#DIV/0!</v>
      </c>
      <c r="T909" s="24" t="e">
        <f>ROUND(Q909,2)*R909</f>
        <v>#DIV/0!</v>
      </c>
      <c r="U909" s="95" t="e">
        <f>R909*dagenperjaar1</f>
        <v>#DIV/0!</v>
      </c>
      <c r="V909" s="25" t="e">
        <f>U909*ROUND(Q909,2)</f>
        <v>#DIV/0!</v>
      </c>
    </row>
    <row r="910" spans="1:22" x14ac:dyDescent="0.2">
      <c r="A910" s="92" t="s">
        <v>891</v>
      </c>
      <c r="B910" s="93" t="s">
        <v>47</v>
      </c>
      <c r="C910" s="93" t="s">
        <v>558</v>
      </c>
      <c r="D910" s="93" t="s">
        <v>47</v>
      </c>
      <c r="E910" s="94" t="s">
        <v>894</v>
      </c>
      <c r="F910" s="93" t="s">
        <v>517</v>
      </c>
      <c r="G910" s="93" t="s">
        <v>304</v>
      </c>
      <c r="H910" s="93" t="s">
        <v>13</v>
      </c>
      <c r="I910" s="93" t="s">
        <v>255</v>
      </c>
      <c r="J910" s="93" t="s">
        <v>47</v>
      </c>
      <c r="K910" s="93"/>
      <c r="L910" s="95">
        <v>2.73</v>
      </c>
      <c r="M910" s="95">
        <f>L910*VLOOKUP(H910,dagsoorttabel1,2,FALSE)</f>
        <v>2.1411764705882352</v>
      </c>
      <c r="N910" s="96">
        <f>prodnorm74</f>
        <v>0</v>
      </c>
      <c r="O910" s="37">
        <f>dagwerk74</f>
        <v>0</v>
      </c>
      <c r="P910" s="93" t="s">
        <v>105</v>
      </c>
      <c r="Q910" s="24">
        <f>uurtarief74</f>
        <v>0</v>
      </c>
      <c r="R910" s="95" t="e">
        <f>IF(ISBLANK(N910),0,M910/ROUND(N910,4))</f>
        <v>#DIV/0!</v>
      </c>
      <c r="S910" s="95" t="e">
        <f>IF(ISBLANK(N910),0,R910*ROUND(O910,2))</f>
        <v>#DIV/0!</v>
      </c>
      <c r="T910" s="24" t="e">
        <f>ROUND(Q910,2)*R910</f>
        <v>#DIV/0!</v>
      </c>
      <c r="U910" s="95" t="e">
        <f>R910*dagenperjaar1</f>
        <v>#DIV/0!</v>
      </c>
      <c r="V910" s="25" t="e">
        <f>U910*ROUND(Q910,2)</f>
        <v>#DIV/0!</v>
      </c>
    </row>
    <row r="911" spans="1:22" x14ac:dyDescent="0.2">
      <c r="A911" s="92" t="s">
        <v>891</v>
      </c>
      <c r="B911" s="93" t="s">
        <v>47</v>
      </c>
      <c r="C911" s="93" t="s">
        <v>558</v>
      </c>
      <c r="D911" s="93" t="s">
        <v>47</v>
      </c>
      <c r="E911" s="94" t="s">
        <v>894</v>
      </c>
      <c r="F911" s="93" t="s">
        <v>517</v>
      </c>
      <c r="G911" s="93" t="s">
        <v>306</v>
      </c>
      <c r="H911" s="93" t="s">
        <v>15</v>
      </c>
      <c r="I911" s="93" t="s">
        <v>255</v>
      </c>
      <c r="J911" s="93" t="s">
        <v>47</v>
      </c>
      <c r="K911" s="93"/>
      <c r="L911" s="95">
        <v>2.73</v>
      </c>
      <c r="M911" s="95">
        <f>L911*VLOOKUP(H911,dagsoorttabel1,2,FALSE)</f>
        <v>1.3917647058823528</v>
      </c>
      <c r="N911" s="96">
        <f>prodnorm77</f>
        <v>0</v>
      </c>
      <c r="O911" s="37">
        <f>dagwerk77</f>
        <v>0</v>
      </c>
      <c r="P911" s="93" t="s">
        <v>105</v>
      </c>
      <c r="Q911" s="24">
        <f>uurtarief77</f>
        <v>0</v>
      </c>
      <c r="R911" s="95" t="e">
        <f>IF(ISBLANK(N911),0,M911/ROUND(N911,4))</f>
        <v>#DIV/0!</v>
      </c>
      <c r="S911" s="95" t="e">
        <f>IF(ISBLANK(N911),0,R911*ROUND(O911,2))</f>
        <v>#DIV/0!</v>
      </c>
      <c r="T911" s="24" t="e">
        <f>ROUND(Q911,2)*R911</f>
        <v>#DIV/0!</v>
      </c>
      <c r="U911" s="95" t="e">
        <f>R911*dagenperjaar1</f>
        <v>#DIV/0!</v>
      </c>
      <c r="V911" s="25" t="e">
        <f>U911*ROUND(Q911,2)</f>
        <v>#DIV/0!</v>
      </c>
    </row>
    <row r="912" spans="1:22" x14ac:dyDescent="0.2">
      <c r="A912" s="92" t="s">
        <v>891</v>
      </c>
      <c r="B912" s="93" t="s">
        <v>47</v>
      </c>
      <c r="C912" s="93" t="s">
        <v>558</v>
      </c>
      <c r="D912" s="93" t="s">
        <v>47</v>
      </c>
      <c r="E912" s="94" t="s">
        <v>895</v>
      </c>
      <c r="F912" s="93" t="s">
        <v>517</v>
      </c>
      <c r="G912" s="93" t="s">
        <v>266</v>
      </c>
      <c r="H912" s="93" t="s">
        <v>13</v>
      </c>
      <c r="I912" s="93" t="s">
        <v>255</v>
      </c>
      <c r="J912" s="93" t="s">
        <v>47</v>
      </c>
      <c r="K912" s="93"/>
      <c r="L912" s="95">
        <v>1.81</v>
      </c>
      <c r="M912" s="95">
        <f>L912*VLOOKUP(H912,dagsoorttabel1,2,FALSE)</f>
        <v>1.419607843137255</v>
      </c>
      <c r="N912" s="96">
        <f>prodnorm40</f>
        <v>0</v>
      </c>
      <c r="O912" s="37">
        <f>dagwerk40</f>
        <v>0</v>
      </c>
      <c r="P912" s="93" t="s">
        <v>105</v>
      </c>
      <c r="Q912" s="24">
        <f>uurtarief40</f>
        <v>0</v>
      </c>
      <c r="R912" s="95" t="e">
        <f>IF(ISBLANK(N912),0,M912/ROUND(N912,4))</f>
        <v>#DIV/0!</v>
      </c>
      <c r="S912" s="95" t="e">
        <f>IF(ISBLANK(N912),0,R912*ROUND(O912,2))</f>
        <v>#DIV/0!</v>
      </c>
      <c r="T912" s="24" t="e">
        <f>ROUND(Q912,2)*R912</f>
        <v>#DIV/0!</v>
      </c>
      <c r="U912" s="95" t="e">
        <f>R912*dagenperjaar1</f>
        <v>#DIV/0!</v>
      </c>
      <c r="V912" s="25" t="e">
        <f>U912*ROUND(Q912,2)</f>
        <v>#DIV/0!</v>
      </c>
    </row>
    <row r="913" spans="1:22" x14ac:dyDescent="0.2">
      <c r="A913" s="92" t="s">
        <v>891</v>
      </c>
      <c r="B913" s="93" t="s">
        <v>47</v>
      </c>
      <c r="C913" s="93" t="s">
        <v>558</v>
      </c>
      <c r="D913" s="93" t="s">
        <v>47</v>
      </c>
      <c r="E913" s="94" t="s">
        <v>895</v>
      </c>
      <c r="F913" s="93" t="s">
        <v>517</v>
      </c>
      <c r="G913" s="93" t="s">
        <v>268</v>
      </c>
      <c r="H913" s="93" t="s">
        <v>13</v>
      </c>
      <c r="I913" s="93" t="s">
        <v>255</v>
      </c>
      <c r="J913" s="93" t="s">
        <v>47</v>
      </c>
      <c r="K913" s="93"/>
      <c r="L913" s="95">
        <v>1.81</v>
      </c>
      <c r="M913" s="95">
        <f>L913*VLOOKUP(H913,dagsoorttabel1,2,FALSE)</f>
        <v>1.419607843137255</v>
      </c>
      <c r="N913" s="96">
        <f>prodnorm42</f>
        <v>0</v>
      </c>
      <c r="O913" s="37">
        <f>dagwerk42</f>
        <v>0</v>
      </c>
      <c r="P913" s="93" t="s">
        <v>105</v>
      </c>
      <c r="Q913" s="24">
        <f>uurtarief42</f>
        <v>0</v>
      </c>
      <c r="R913" s="95" t="e">
        <f>IF(ISBLANK(N913),0,M913/ROUND(N913,4))</f>
        <v>#DIV/0!</v>
      </c>
      <c r="S913" s="95" t="e">
        <f>IF(ISBLANK(N913),0,R913*ROUND(O913,2))</f>
        <v>#DIV/0!</v>
      </c>
      <c r="T913" s="24" t="e">
        <f>ROUND(Q913,2)*R913</f>
        <v>#DIV/0!</v>
      </c>
      <c r="U913" s="95" t="e">
        <f>R913*dagenperjaar1</f>
        <v>#DIV/0!</v>
      </c>
      <c r="V913" s="25" t="e">
        <f>U913*ROUND(Q913,2)</f>
        <v>#DIV/0!</v>
      </c>
    </row>
    <row r="914" spans="1:22" x14ac:dyDescent="0.2">
      <c r="A914" s="92" t="s">
        <v>891</v>
      </c>
      <c r="B914" s="93" t="s">
        <v>47</v>
      </c>
      <c r="C914" s="93" t="s">
        <v>558</v>
      </c>
      <c r="D914" s="93" t="s">
        <v>47</v>
      </c>
      <c r="E914" s="94" t="s">
        <v>880</v>
      </c>
      <c r="F914" s="93" t="s">
        <v>517</v>
      </c>
      <c r="G914" s="93" t="s">
        <v>284</v>
      </c>
      <c r="H914" s="93" t="s">
        <v>13</v>
      </c>
      <c r="I914" s="93" t="s">
        <v>255</v>
      </c>
      <c r="J914" s="93" t="s">
        <v>47</v>
      </c>
      <c r="K914" s="93"/>
      <c r="L914" s="95">
        <v>11.57</v>
      </c>
      <c r="M914" s="95">
        <f>L914*VLOOKUP(H914,dagsoorttabel1,2,FALSE)</f>
        <v>9.0745098039215684</v>
      </c>
      <c r="N914" s="96">
        <f>prodnorm58</f>
        <v>0</v>
      </c>
      <c r="O914" s="37">
        <f>dagwerk58</f>
        <v>0</v>
      </c>
      <c r="P914" s="93" t="s">
        <v>105</v>
      </c>
      <c r="Q914" s="24">
        <f>uurtarief58</f>
        <v>0</v>
      </c>
      <c r="R914" s="95" t="e">
        <f>IF(ISBLANK(N914),0,M914/ROUND(N914,4))</f>
        <v>#DIV/0!</v>
      </c>
      <c r="S914" s="95" t="e">
        <f>IF(ISBLANK(N914),0,R914*ROUND(O914,2))</f>
        <v>#DIV/0!</v>
      </c>
      <c r="T914" s="24" t="e">
        <f>ROUND(Q914,2)*R914</f>
        <v>#DIV/0!</v>
      </c>
      <c r="U914" s="95" t="e">
        <f>R914*dagenperjaar1</f>
        <v>#DIV/0!</v>
      </c>
      <c r="V914" s="25" t="e">
        <f>U914*ROUND(Q914,2)</f>
        <v>#DIV/0!</v>
      </c>
    </row>
    <row r="915" spans="1:22" x14ac:dyDescent="0.2">
      <c r="A915" s="92" t="s">
        <v>891</v>
      </c>
      <c r="B915" s="93" t="s">
        <v>47</v>
      </c>
      <c r="C915" s="93" t="s">
        <v>558</v>
      </c>
      <c r="D915" s="93" t="s">
        <v>47</v>
      </c>
      <c r="E915" s="94" t="s">
        <v>880</v>
      </c>
      <c r="F915" s="93" t="s">
        <v>517</v>
      </c>
      <c r="G915" s="93" t="s">
        <v>286</v>
      </c>
      <c r="H915" s="93" t="s">
        <v>13</v>
      </c>
      <c r="I915" s="93" t="s">
        <v>255</v>
      </c>
      <c r="J915" s="93" t="s">
        <v>47</v>
      </c>
      <c r="K915" s="93"/>
      <c r="L915" s="95">
        <v>11.57</v>
      </c>
      <c r="M915" s="95">
        <f>L915*VLOOKUP(H915,dagsoorttabel1,2,FALSE)</f>
        <v>9.0745098039215684</v>
      </c>
      <c r="N915" s="96">
        <f>prodnorm61</f>
        <v>0</v>
      </c>
      <c r="O915" s="37">
        <f>dagwerk61</f>
        <v>0</v>
      </c>
      <c r="P915" s="93" t="s">
        <v>105</v>
      </c>
      <c r="Q915" s="24">
        <f>uurtarief61</f>
        <v>0</v>
      </c>
      <c r="R915" s="95" t="e">
        <f>IF(ISBLANK(N915),0,M915/ROUND(N915,4))</f>
        <v>#DIV/0!</v>
      </c>
      <c r="S915" s="95" t="e">
        <f>IF(ISBLANK(N915),0,R915*ROUND(O915,2))</f>
        <v>#DIV/0!</v>
      </c>
      <c r="T915" s="24" t="e">
        <f>ROUND(Q915,2)*R915</f>
        <v>#DIV/0!</v>
      </c>
      <c r="U915" s="95" t="e">
        <f>R915*dagenperjaar1</f>
        <v>#DIV/0!</v>
      </c>
      <c r="V915" s="25" t="e">
        <f>U915*ROUND(Q915,2)</f>
        <v>#DIV/0!</v>
      </c>
    </row>
    <row r="916" spans="1:22" x14ac:dyDescent="0.2">
      <c r="A916" s="92" t="s">
        <v>891</v>
      </c>
      <c r="B916" s="93" t="s">
        <v>47</v>
      </c>
      <c r="C916" s="93" t="s">
        <v>558</v>
      </c>
      <c r="D916" s="93" t="s">
        <v>47</v>
      </c>
      <c r="E916" s="94" t="s">
        <v>896</v>
      </c>
      <c r="F916" s="93" t="s">
        <v>517</v>
      </c>
      <c r="G916" s="93" t="s">
        <v>304</v>
      </c>
      <c r="H916" s="93" t="s">
        <v>13</v>
      </c>
      <c r="I916" s="93" t="s">
        <v>255</v>
      </c>
      <c r="J916" s="93" t="s">
        <v>47</v>
      </c>
      <c r="K916" s="93"/>
      <c r="L916" s="95">
        <v>2.7</v>
      </c>
      <c r="M916" s="95">
        <f>L916*VLOOKUP(H916,dagsoorttabel1,2,FALSE)</f>
        <v>2.1176470588235294</v>
      </c>
      <c r="N916" s="96">
        <f>prodnorm74</f>
        <v>0</v>
      </c>
      <c r="O916" s="37">
        <f>dagwerk74</f>
        <v>0</v>
      </c>
      <c r="P916" s="93" t="s">
        <v>105</v>
      </c>
      <c r="Q916" s="24">
        <f>uurtarief74</f>
        <v>0</v>
      </c>
      <c r="R916" s="95" t="e">
        <f>IF(ISBLANK(N916),0,M916/ROUND(N916,4))</f>
        <v>#DIV/0!</v>
      </c>
      <c r="S916" s="95" t="e">
        <f>IF(ISBLANK(N916),0,R916*ROUND(O916,2))</f>
        <v>#DIV/0!</v>
      </c>
      <c r="T916" s="24" t="e">
        <f>ROUND(Q916,2)*R916</f>
        <v>#DIV/0!</v>
      </c>
      <c r="U916" s="95" t="e">
        <f>R916*dagenperjaar1</f>
        <v>#DIV/0!</v>
      </c>
      <c r="V916" s="25" t="e">
        <f>U916*ROUND(Q916,2)</f>
        <v>#DIV/0!</v>
      </c>
    </row>
    <row r="917" spans="1:22" x14ac:dyDescent="0.2">
      <c r="A917" s="92" t="s">
        <v>891</v>
      </c>
      <c r="B917" s="93" t="s">
        <v>47</v>
      </c>
      <c r="C917" s="93" t="s">
        <v>558</v>
      </c>
      <c r="D917" s="93" t="s">
        <v>47</v>
      </c>
      <c r="E917" s="94" t="s">
        <v>896</v>
      </c>
      <c r="F917" s="93" t="s">
        <v>517</v>
      </c>
      <c r="G917" s="93" t="s">
        <v>306</v>
      </c>
      <c r="H917" s="93" t="s">
        <v>13</v>
      </c>
      <c r="I917" s="93" t="s">
        <v>255</v>
      </c>
      <c r="J917" s="93" t="s">
        <v>47</v>
      </c>
      <c r="K917" s="93"/>
      <c r="L917" s="95">
        <v>2.7</v>
      </c>
      <c r="M917" s="95">
        <f>L917*VLOOKUP(H917,dagsoorttabel1,2,FALSE)</f>
        <v>2.1176470588235294</v>
      </c>
      <c r="N917" s="96">
        <f>prodnorm78</f>
        <v>0</v>
      </c>
      <c r="O917" s="37">
        <f>dagwerk78</f>
        <v>0</v>
      </c>
      <c r="P917" s="93" t="s">
        <v>105</v>
      </c>
      <c r="Q917" s="24">
        <f>uurtarief78</f>
        <v>0</v>
      </c>
      <c r="R917" s="95" t="e">
        <f>IF(ISBLANK(N917),0,M917/ROUND(N917,4))</f>
        <v>#DIV/0!</v>
      </c>
      <c r="S917" s="95" t="e">
        <f>IF(ISBLANK(N917),0,R917*ROUND(O917,2))</f>
        <v>#DIV/0!</v>
      </c>
      <c r="T917" s="24" t="e">
        <f>ROUND(Q917,2)*R917</f>
        <v>#DIV/0!</v>
      </c>
      <c r="U917" s="95" t="e">
        <f>R917*dagenperjaar1</f>
        <v>#DIV/0!</v>
      </c>
      <c r="V917" s="25" t="e">
        <f>U917*ROUND(Q917,2)</f>
        <v>#DIV/0!</v>
      </c>
    </row>
    <row r="918" spans="1:22" x14ac:dyDescent="0.2">
      <c r="A918" s="92" t="s">
        <v>891</v>
      </c>
      <c r="B918" s="93" t="s">
        <v>47</v>
      </c>
      <c r="C918" s="93" t="s">
        <v>558</v>
      </c>
      <c r="D918" s="93" t="s">
        <v>47</v>
      </c>
      <c r="E918" s="94" t="s">
        <v>897</v>
      </c>
      <c r="F918" s="93" t="s">
        <v>857</v>
      </c>
      <c r="G918" s="93" t="s">
        <v>280</v>
      </c>
      <c r="H918" s="93" t="s">
        <v>13</v>
      </c>
      <c r="I918" s="93" t="s">
        <v>255</v>
      </c>
      <c r="J918" s="93" t="s">
        <v>47</v>
      </c>
      <c r="K918" s="93"/>
      <c r="L918" s="95">
        <v>846.3</v>
      </c>
      <c r="M918" s="95">
        <f>L918*VLOOKUP(H918,dagsoorttabel1,2,FALSE)</f>
        <v>663.76470588235293</v>
      </c>
      <c r="N918" s="96">
        <f>prodnorm52</f>
        <v>0</v>
      </c>
      <c r="O918" s="37">
        <f>dagwerk52</f>
        <v>0</v>
      </c>
      <c r="P918" s="93" t="s">
        <v>105</v>
      </c>
      <c r="Q918" s="24">
        <f>uurtarief52</f>
        <v>0</v>
      </c>
      <c r="R918" s="95" t="e">
        <f>IF(ISBLANK(N918),0,M918/ROUND(N918,4))</f>
        <v>#DIV/0!</v>
      </c>
      <c r="S918" s="95" t="e">
        <f>IF(ISBLANK(N918),0,R918*ROUND(O918,2))</f>
        <v>#DIV/0!</v>
      </c>
      <c r="T918" s="24" t="e">
        <f>ROUND(Q918,2)*R918</f>
        <v>#DIV/0!</v>
      </c>
      <c r="U918" s="95" t="e">
        <f>R918*dagenperjaar1</f>
        <v>#DIV/0!</v>
      </c>
      <c r="V918" s="25" t="e">
        <f>U918*ROUND(Q918,2)</f>
        <v>#DIV/0!</v>
      </c>
    </row>
    <row r="919" spans="1:22" x14ac:dyDescent="0.2">
      <c r="A919" s="92" t="s">
        <v>891</v>
      </c>
      <c r="B919" s="93" t="s">
        <v>47</v>
      </c>
      <c r="C919" s="93" t="s">
        <v>558</v>
      </c>
      <c r="D919" s="93" t="s">
        <v>47</v>
      </c>
      <c r="E919" s="94" t="s">
        <v>897</v>
      </c>
      <c r="F919" s="93" t="s">
        <v>857</v>
      </c>
      <c r="G919" s="93" t="s">
        <v>282</v>
      </c>
      <c r="H919" s="93" t="s">
        <v>13</v>
      </c>
      <c r="I919" s="93" t="s">
        <v>255</v>
      </c>
      <c r="J919" s="93" t="s">
        <v>47</v>
      </c>
      <c r="K919" s="93"/>
      <c r="L919" s="95">
        <v>846.3</v>
      </c>
      <c r="M919" s="95">
        <f>L919*VLOOKUP(H919,dagsoorttabel1,2,FALSE)</f>
        <v>663.76470588235293</v>
      </c>
      <c r="N919" s="96">
        <f>prodnorm55</f>
        <v>0</v>
      </c>
      <c r="O919" s="37">
        <f>dagwerk55</f>
        <v>0</v>
      </c>
      <c r="P919" s="93" t="s">
        <v>105</v>
      </c>
      <c r="Q919" s="24">
        <f>uurtarief55</f>
        <v>0</v>
      </c>
      <c r="R919" s="95" t="e">
        <f>IF(ISBLANK(N919),0,M919/ROUND(N919,4))</f>
        <v>#DIV/0!</v>
      </c>
      <c r="S919" s="95" t="e">
        <f>IF(ISBLANK(N919),0,R919*ROUND(O919,2))</f>
        <v>#DIV/0!</v>
      </c>
      <c r="T919" s="24" t="e">
        <f>ROUND(Q919,2)*R919</f>
        <v>#DIV/0!</v>
      </c>
      <c r="U919" s="95" t="e">
        <f>R919*dagenperjaar1</f>
        <v>#DIV/0!</v>
      </c>
      <c r="V919" s="25" t="e">
        <f>U919*ROUND(Q919,2)</f>
        <v>#DIV/0!</v>
      </c>
    </row>
    <row r="920" spans="1:22" x14ac:dyDescent="0.2">
      <c r="A920" s="92" t="s">
        <v>891</v>
      </c>
      <c r="B920" s="93" t="s">
        <v>47</v>
      </c>
      <c r="C920" s="93" t="s">
        <v>558</v>
      </c>
      <c r="D920" s="93" t="s">
        <v>47</v>
      </c>
      <c r="E920" s="94" t="s">
        <v>897</v>
      </c>
      <c r="F920" s="93" t="s">
        <v>857</v>
      </c>
      <c r="G920" s="93" t="s">
        <v>350</v>
      </c>
      <c r="H920" s="93" t="s">
        <v>25</v>
      </c>
      <c r="I920" s="93" t="s">
        <v>352</v>
      </c>
      <c r="J920" s="93" t="s">
        <v>47</v>
      </c>
      <c r="K920" s="93"/>
      <c r="L920" s="95">
        <v>846.3</v>
      </c>
      <c r="M920" s="95">
        <f>L920*VLOOKUP(H920,dagsoorttabel1,2,FALSE)</f>
        <v>33.188235294117646</v>
      </c>
      <c r="N920" s="96">
        <f>prodnorm116</f>
        <v>0</v>
      </c>
      <c r="O920" s="37">
        <f>dagwerk116</f>
        <v>0</v>
      </c>
      <c r="P920" s="93" t="s">
        <v>105</v>
      </c>
      <c r="Q920" s="24">
        <f>uurtarief116</f>
        <v>0</v>
      </c>
      <c r="R920" s="95" t="e">
        <f>IF(ISBLANK(N920),0,M920/ROUND(N920,4))</f>
        <v>#DIV/0!</v>
      </c>
      <c r="S920" s="95" t="e">
        <f>IF(ISBLANK(N920),0,R920*ROUND(O920,2))</f>
        <v>#DIV/0!</v>
      </c>
      <c r="T920" s="24" t="e">
        <f>ROUND(Q920,2)*R920</f>
        <v>#DIV/0!</v>
      </c>
      <c r="U920" s="95" t="e">
        <f>R920*dagenperjaar1</f>
        <v>#DIV/0!</v>
      </c>
      <c r="V920" s="25" t="e">
        <f>U920*ROUND(Q920,2)</f>
        <v>#DIV/0!</v>
      </c>
    </row>
    <row r="921" spans="1:22" x14ac:dyDescent="0.2">
      <c r="A921" s="92" t="s">
        <v>891</v>
      </c>
      <c r="B921" s="93" t="s">
        <v>47</v>
      </c>
      <c r="C921" s="93" t="s">
        <v>558</v>
      </c>
      <c r="D921" s="93" t="s">
        <v>47</v>
      </c>
      <c r="E921" s="94" t="s">
        <v>498</v>
      </c>
      <c r="F921" s="93" t="s">
        <v>517</v>
      </c>
      <c r="G921" s="93" t="s">
        <v>284</v>
      </c>
      <c r="H921" s="93" t="s">
        <v>13</v>
      </c>
      <c r="I921" s="93" t="s">
        <v>255</v>
      </c>
      <c r="J921" s="93" t="s">
        <v>47</v>
      </c>
      <c r="K921" s="93"/>
      <c r="L921" s="95">
        <v>25.3</v>
      </c>
      <c r="M921" s="95">
        <f>L921*VLOOKUP(H921,dagsoorttabel1,2,FALSE)</f>
        <v>19.843137254901961</v>
      </c>
      <c r="N921" s="96">
        <f>prodnorm58</f>
        <v>0</v>
      </c>
      <c r="O921" s="37">
        <f>dagwerk58</f>
        <v>0</v>
      </c>
      <c r="P921" s="93" t="s">
        <v>105</v>
      </c>
      <c r="Q921" s="24">
        <f>uurtarief58</f>
        <v>0</v>
      </c>
      <c r="R921" s="95" t="e">
        <f>IF(ISBLANK(N921),0,M921/ROUND(N921,4))</f>
        <v>#DIV/0!</v>
      </c>
      <c r="S921" s="95" t="e">
        <f>IF(ISBLANK(N921),0,R921*ROUND(O921,2))</f>
        <v>#DIV/0!</v>
      </c>
      <c r="T921" s="24" t="e">
        <f>ROUND(Q921,2)*R921</f>
        <v>#DIV/0!</v>
      </c>
      <c r="U921" s="95" t="e">
        <f>R921*dagenperjaar1</f>
        <v>#DIV/0!</v>
      </c>
      <c r="V921" s="25" t="e">
        <f>U921*ROUND(Q921,2)</f>
        <v>#DIV/0!</v>
      </c>
    </row>
    <row r="922" spans="1:22" x14ac:dyDescent="0.2">
      <c r="A922" s="92" t="s">
        <v>891</v>
      </c>
      <c r="B922" s="93" t="s">
        <v>47</v>
      </c>
      <c r="C922" s="93" t="s">
        <v>558</v>
      </c>
      <c r="D922" s="93" t="s">
        <v>47</v>
      </c>
      <c r="E922" s="94" t="s">
        <v>498</v>
      </c>
      <c r="F922" s="93" t="s">
        <v>517</v>
      </c>
      <c r="G922" s="93" t="s">
        <v>286</v>
      </c>
      <c r="H922" s="93" t="s">
        <v>13</v>
      </c>
      <c r="I922" s="93" t="s">
        <v>255</v>
      </c>
      <c r="J922" s="93" t="s">
        <v>47</v>
      </c>
      <c r="K922" s="93"/>
      <c r="L922" s="95">
        <v>25.3</v>
      </c>
      <c r="M922" s="95">
        <f>L922*VLOOKUP(H922,dagsoorttabel1,2,FALSE)</f>
        <v>19.843137254901961</v>
      </c>
      <c r="N922" s="96">
        <f>prodnorm61</f>
        <v>0</v>
      </c>
      <c r="O922" s="37">
        <f>dagwerk61</f>
        <v>0</v>
      </c>
      <c r="P922" s="93" t="s">
        <v>105</v>
      </c>
      <c r="Q922" s="24">
        <f>uurtarief61</f>
        <v>0</v>
      </c>
      <c r="R922" s="95" t="e">
        <f>IF(ISBLANK(N922),0,M922/ROUND(N922,4))</f>
        <v>#DIV/0!</v>
      </c>
      <c r="S922" s="95" t="e">
        <f>IF(ISBLANK(N922),0,R922*ROUND(O922,2))</f>
        <v>#DIV/0!</v>
      </c>
      <c r="T922" s="24" t="e">
        <f>ROUND(Q922,2)*R922</f>
        <v>#DIV/0!</v>
      </c>
      <c r="U922" s="95" t="e">
        <f>R922*dagenperjaar1</f>
        <v>#DIV/0!</v>
      </c>
      <c r="V922" s="25" t="e">
        <f>U922*ROUND(Q922,2)</f>
        <v>#DIV/0!</v>
      </c>
    </row>
    <row r="923" spans="1:22" x14ac:dyDescent="0.2">
      <c r="A923" s="92" t="s">
        <v>891</v>
      </c>
      <c r="B923" s="93" t="s">
        <v>47</v>
      </c>
      <c r="C923" s="93" t="s">
        <v>558</v>
      </c>
      <c r="D923" s="93" t="s">
        <v>47</v>
      </c>
      <c r="E923" s="94" t="s">
        <v>898</v>
      </c>
      <c r="F923" s="93" t="s">
        <v>517</v>
      </c>
      <c r="G923" s="93" t="s">
        <v>304</v>
      </c>
      <c r="H923" s="93" t="s">
        <v>13</v>
      </c>
      <c r="I923" s="93" t="s">
        <v>255</v>
      </c>
      <c r="J923" s="93" t="s">
        <v>47</v>
      </c>
      <c r="K923" s="93"/>
      <c r="L923" s="95">
        <v>1.3900000000000001</v>
      </c>
      <c r="M923" s="95">
        <f>L923*VLOOKUP(H923,dagsoorttabel1,2,FALSE)</f>
        <v>1.0901960784313727</v>
      </c>
      <c r="N923" s="96">
        <f>prodnorm74</f>
        <v>0</v>
      </c>
      <c r="O923" s="37">
        <f>dagwerk74</f>
        <v>0</v>
      </c>
      <c r="P923" s="93" t="s">
        <v>105</v>
      </c>
      <c r="Q923" s="24">
        <f>uurtarief74</f>
        <v>0</v>
      </c>
      <c r="R923" s="95" t="e">
        <f>IF(ISBLANK(N923),0,M923/ROUND(N923,4))</f>
        <v>#DIV/0!</v>
      </c>
      <c r="S923" s="95" t="e">
        <f>IF(ISBLANK(N923),0,R923*ROUND(O923,2))</f>
        <v>#DIV/0!</v>
      </c>
      <c r="T923" s="24" t="e">
        <f>ROUND(Q923,2)*R923</f>
        <v>#DIV/0!</v>
      </c>
      <c r="U923" s="95" t="e">
        <f>R923*dagenperjaar1</f>
        <v>#DIV/0!</v>
      </c>
      <c r="V923" s="25" t="e">
        <f>U923*ROUND(Q923,2)</f>
        <v>#DIV/0!</v>
      </c>
    </row>
    <row r="924" spans="1:22" x14ac:dyDescent="0.2">
      <c r="A924" s="92" t="s">
        <v>891</v>
      </c>
      <c r="B924" s="93" t="s">
        <v>47</v>
      </c>
      <c r="C924" s="93" t="s">
        <v>558</v>
      </c>
      <c r="D924" s="93" t="s">
        <v>47</v>
      </c>
      <c r="E924" s="94" t="s">
        <v>898</v>
      </c>
      <c r="F924" s="93" t="s">
        <v>517</v>
      </c>
      <c r="G924" s="93" t="s">
        <v>306</v>
      </c>
      <c r="H924" s="93" t="s">
        <v>13</v>
      </c>
      <c r="I924" s="93" t="s">
        <v>255</v>
      </c>
      <c r="J924" s="93" t="s">
        <v>47</v>
      </c>
      <c r="K924" s="93"/>
      <c r="L924" s="95">
        <v>1.3900000000000001</v>
      </c>
      <c r="M924" s="95">
        <f>L924*VLOOKUP(H924,dagsoorttabel1,2,FALSE)</f>
        <v>1.0901960784313727</v>
      </c>
      <c r="N924" s="96">
        <f>prodnorm78</f>
        <v>0</v>
      </c>
      <c r="O924" s="37">
        <f>dagwerk78</f>
        <v>0</v>
      </c>
      <c r="P924" s="93" t="s">
        <v>105</v>
      </c>
      <c r="Q924" s="24">
        <f>uurtarief78</f>
        <v>0</v>
      </c>
      <c r="R924" s="95" t="e">
        <f>IF(ISBLANK(N924),0,M924/ROUND(N924,4))</f>
        <v>#DIV/0!</v>
      </c>
      <c r="S924" s="95" t="e">
        <f>IF(ISBLANK(N924),0,R924*ROUND(O924,2))</f>
        <v>#DIV/0!</v>
      </c>
      <c r="T924" s="24" t="e">
        <f>ROUND(Q924,2)*R924</f>
        <v>#DIV/0!</v>
      </c>
      <c r="U924" s="95" t="e">
        <f>R924*dagenperjaar1</f>
        <v>#DIV/0!</v>
      </c>
      <c r="V924" s="25" t="e">
        <f>U924*ROUND(Q924,2)</f>
        <v>#DIV/0!</v>
      </c>
    </row>
    <row r="925" spans="1:22" x14ac:dyDescent="0.2">
      <c r="A925" s="92" t="s">
        <v>891</v>
      </c>
      <c r="B925" s="93" t="s">
        <v>47</v>
      </c>
      <c r="C925" s="93" t="s">
        <v>558</v>
      </c>
      <c r="D925" s="93" t="s">
        <v>47</v>
      </c>
      <c r="E925" s="94" t="s">
        <v>899</v>
      </c>
      <c r="F925" s="93" t="s">
        <v>517</v>
      </c>
      <c r="G925" s="93" t="s">
        <v>266</v>
      </c>
      <c r="H925" s="93" t="s">
        <v>13</v>
      </c>
      <c r="I925" s="93" t="s">
        <v>255</v>
      </c>
      <c r="J925" s="93" t="s">
        <v>47</v>
      </c>
      <c r="K925" s="93"/>
      <c r="L925" s="95">
        <v>10.53</v>
      </c>
      <c r="M925" s="95">
        <f>L925*VLOOKUP(H925,dagsoorttabel1,2,FALSE)</f>
        <v>8.2588235294117638</v>
      </c>
      <c r="N925" s="96">
        <f>prodnorm40</f>
        <v>0</v>
      </c>
      <c r="O925" s="37">
        <f>dagwerk40</f>
        <v>0</v>
      </c>
      <c r="P925" s="93" t="s">
        <v>105</v>
      </c>
      <c r="Q925" s="24">
        <f>uurtarief40</f>
        <v>0</v>
      </c>
      <c r="R925" s="95" t="e">
        <f>IF(ISBLANK(N925),0,M925/ROUND(N925,4))</f>
        <v>#DIV/0!</v>
      </c>
      <c r="S925" s="95" t="e">
        <f>IF(ISBLANK(N925),0,R925*ROUND(O925,2))</f>
        <v>#DIV/0!</v>
      </c>
      <c r="T925" s="24" t="e">
        <f>ROUND(Q925,2)*R925</f>
        <v>#DIV/0!</v>
      </c>
      <c r="U925" s="95" t="e">
        <f>R925*dagenperjaar1</f>
        <v>#DIV/0!</v>
      </c>
      <c r="V925" s="25" t="e">
        <f>U925*ROUND(Q925,2)</f>
        <v>#DIV/0!</v>
      </c>
    </row>
    <row r="926" spans="1:22" x14ac:dyDescent="0.2">
      <c r="A926" s="92" t="s">
        <v>891</v>
      </c>
      <c r="B926" s="93" t="s">
        <v>47</v>
      </c>
      <c r="C926" s="93" t="s">
        <v>558</v>
      </c>
      <c r="D926" s="93" t="s">
        <v>47</v>
      </c>
      <c r="E926" s="94" t="s">
        <v>899</v>
      </c>
      <c r="F926" s="93" t="s">
        <v>517</v>
      </c>
      <c r="G926" s="93" t="s">
        <v>268</v>
      </c>
      <c r="H926" s="93" t="s">
        <v>13</v>
      </c>
      <c r="I926" s="93" t="s">
        <v>255</v>
      </c>
      <c r="J926" s="93" t="s">
        <v>47</v>
      </c>
      <c r="K926" s="93"/>
      <c r="L926" s="95">
        <v>10.53</v>
      </c>
      <c r="M926" s="95">
        <f>L926*VLOOKUP(H926,dagsoorttabel1,2,FALSE)</f>
        <v>8.2588235294117638</v>
      </c>
      <c r="N926" s="96">
        <f>prodnorm42</f>
        <v>0</v>
      </c>
      <c r="O926" s="37">
        <f>dagwerk42</f>
        <v>0</v>
      </c>
      <c r="P926" s="93" t="s">
        <v>105</v>
      </c>
      <c r="Q926" s="24">
        <f>uurtarief42</f>
        <v>0</v>
      </c>
      <c r="R926" s="95" t="e">
        <f>IF(ISBLANK(N926),0,M926/ROUND(N926,4))</f>
        <v>#DIV/0!</v>
      </c>
      <c r="S926" s="95" t="e">
        <f>IF(ISBLANK(N926),0,R926*ROUND(O926,2))</f>
        <v>#DIV/0!</v>
      </c>
      <c r="T926" s="24" t="e">
        <f>ROUND(Q926,2)*R926</f>
        <v>#DIV/0!</v>
      </c>
      <c r="U926" s="95" t="e">
        <f>R926*dagenperjaar1</f>
        <v>#DIV/0!</v>
      </c>
      <c r="V926" s="25" t="e">
        <f>U926*ROUND(Q926,2)</f>
        <v>#DIV/0!</v>
      </c>
    </row>
    <row r="927" spans="1:22" x14ac:dyDescent="0.2">
      <c r="A927" s="92" t="s">
        <v>891</v>
      </c>
      <c r="B927" s="93" t="s">
        <v>47</v>
      </c>
      <c r="C927" s="93" t="s">
        <v>558</v>
      </c>
      <c r="D927" s="93" t="s">
        <v>47</v>
      </c>
      <c r="E927" s="94" t="s">
        <v>497</v>
      </c>
      <c r="F927" s="93" t="s">
        <v>517</v>
      </c>
      <c r="G927" s="93" t="s">
        <v>284</v>
      </c>
      <c r="H927" s="93" t="s">
        <v>13</v>
      </c>
      <c r="I927" s="93" t="s">
        <v>255</v>
      </c>
      <c r="J927" s="93" t="s">
        <v>47</v>
      </c>
      <c r="K927" s="93"/>
      <c r="L927" s="95">
        <v>17.130000000000003</v>
      </c>
      <c r="M927" s="95">
        <f>L927*VLOOKUP(H927,dagsoorttabel1,2,FALSE)</f>
        <v>13.435294117647061</v>
      </c>
      <c r="N927" s="96">
        <f>prodnorm58</f>
        <v>0</v>
      </c>
      <c r="O927" s="37">
        <f>dagwerk58</f>
        <v>0</v>
      </c>
      <c r="P927" s="93" t="s">
        <v>105</v>
      </c>
      <c r="Q927" s="24">
        <f>uurtarief58</f>
        <v>0</v>
      </c>
      <c r="R927" s="95" t="e">
        <f>IF(ISBLANK(N927),0,M927/ROUND(N927,4))</f>
        <v>#DIV/0!</v>
      </c>
      <c r="S927" s="95" t="e">
        <f>IF(ISBLANK(N927),0,R927*ROUND(O927,2))</f>
        <v>#DIV/0!</v>
      </c>
      <c r="T927" s="24" t="e">
        <f>ROUND(Q927,2)*R927</f>
        <v>#DIV/0!</v>
      </c>
      <c r="U927" s="95" t="e">
        <f>R927*dagenperjaar1</f>
        <v>#DIV/0!</v>
      </c>
      <c r="V927" s="25" t="e">
        <f>U927*ROUND(Q927,2)</f>
        <v>#DIV/0!</v>
      </c>
    </row>
    <row r="928" spans="1:22" x14ac:dyDescent="0.2">
      <c r="A928" s="92" t="s">
        <v>891</v>
      </c>
      <c r="B928" s="93" t="s">
        <v>47</v>
      </c>
      <c r="C928" s="93" t="s">
        <v>558</v>
      </c>
      <c r="D928" s="93" t="s">
        <v>47</v>
      </c>
      <c r="E928" s="94" t="s">
        <v>497</v>
      </c>
      <c r="F928" s="93" t="s">
        <v>517</v>
      </c>
      <c r="G928" s="93" t="s">
        <v>286</v>
      </c>
      <c r="H928" s="93" t="s">
        <v>13</v>
      </c>
      <c r="I928" s="93" t="s">
        <v>255</v>
      </c>
      <c r="J928" s="93" t="s">
        <v>47</v>
      </c>
      <c r="K928" s="93"/>
      <c r="L928" s="95">
        <v>17.130000000000003</v>
      </c>
      <c r="M928" s="95">
        <f>L928*VLOOKUP(H928,dagsoorttabel1,2,FALSE)</f>
        <v>13.435294117647061</v>
      </c>
      <c r="N928" s="96">
        <f>prodnorm61</f>
        <v>0</v>
      </c>
      <c r="O928" s="37">
        <f>dagwerk61</f>
        <v>0</v>
      </c>
      <c r="P928" s="93" t="s">
        <v>105</v>
      </c>
      <c r="Q928" s="24">
        <f>uurtarief61</f>
        <v>0</v>
      </c>
      <c r="R928" s="95" t="e">
        <f>IF(ISBLANK(N928),0,M928/ROUND(N928,4))</f>
        <v>#DIV/0!</v>
      </c>
      <c r="S928" s="95" t="e">
        <f>IF(ISBLANK(N928),0,R928*ROUND(O928,2))</f>
        <v>#DIV/0!</v>
      </c>
      <c r="T928" s="24" t="e">
        <f>ROUND(Q928,2)*R928</f>
        <v>#DIV/0!</v>
      </c>
      <c r="U928" s="95" t="e">
        <f>R928*dagenperjaar1</f>
        <v>#DIV/0!</v>
      </c>
      <c r="V928" s="25" t="e">
        <f>U928*ROUND(Q928,2)</f>
        <v>#DIV/0!</v>
      </c>
    </row>
    <row r="929" spans="1:22" x14ac:dyDescent="0.2">
      <c r="A929" s="92" t="s">
        <v>891</v>
      </c>
      <c r="B929" s="93" t="s">
        <v>47</v>
      </c>
      <c r="C929" s="93" t="s">
        <v>558</v>
      </c>
      <c r="D929" s="93" t="s">
        <v>47</v>
      </c>
      <c r="E929" s="94" t="s">
        <v>900</v>
      </c>
      <c r="F929" s="93" t="s">
        <v>517</v>
      </c>
      <c r="G929" s="93" t="s">
        <v>304</v>
      </c>
      <c r="H929" s="93" t="s">
        <v>13</v>
      </c>
      <c r="I929" s="93" t="s">
        <v>255</v>
      </c>
      <c r="J929" s="93" t="s">
        <v>47</v>
      </c>
      <c r="K929" s="93"/>
      <c r="L929" s="95">
        <v>1.43</v>
      </c>
      <c r="M929" s="95">
        <f>L929*VLOOKUP(H929,dagsoorttabel1,2,FALSE)</f>
        <v>1.1215686274509804</v>
      </c>
      <c r="N929" s="96">
        <f>prodnorm74</f>
        <v>0</v>
      </c>
      <c r="O929" s="37">
        <f>dagwerk74</f>
        <v>0</v>
      </c>
      <c r="P929" s="93" t="s">
        <v>105</v>
      </c>
      <c r="Q929" s="24">
        <f>uurtarief74</f>
        <v>0</v>
      </c>
      <c r="R929" s="95" t="e">
        <f>IF(ISBLANK(N929),0,M929/ROUND(N929,4))</f>
        <v>#DIV/0!</v>
      </c>
      <c r="S929" s="95" t="e">
        <f>IF(ISBLANK(N929),0,R929*ROUND(O929,2))</f>
        <v>#DIV/0!</v>
      </c>
      <c r="T929" s="24" t="e">
        <f>ROUND(Q929,2)*R929</f>
        <v>#DIV/0!</v>
      </c>
      <c r="U929" s="95" t="e">
        <f>R929*dagenperjaar1</f>
        <v>#DIV/0!</v>
      </c>
      <c r="V929" s="25" t="e">
        <f>U929*ROUND(Q929,2)</f>
        <v>#DIV/0!</v>
      </c>
    </row>
    <row r="930" spans="1:22" x14ac:dyDescent="0.2">
      <c r="A930" s="92" t="s">
        <v>891</v>
      </c>
      <c r="B930" s="93" t="s">
        <v>47</v>
      </c>
      <c r="C930" s="93" t="s">
        <v>558</v>
      </c>
      <c r="D930" s="93" t="s">
        <v>47</v>
      </c>
      <c r="E930" s="94" t="s">
        <v>900</v>
      </c>
      <c r="F930" s="93" t="s">
        <v>517</v>
      </c>
      <c r="G930" s="93" t="s">
        <v>306</v>
      </c>
      <c r="H930" s="93" t="s">
        <v>13</v>
      </c>
      <c r="I930" s="93" t="s">
        <v>255</v>
      </c>
      <c r="J930" s="93" t="s">
        <v>47</v>
      </c>
      <c r="K930" s="93"/>
      <c r="L930" s="95">
        <v>1.43</v>
      </c>
      <c r="M930" s="95">
        <f>L930*VLOOKUP(H930,dagsoorttabel1,2,FALSE)</f>
        <v>1.1215686274509804</v>
      </c>
      <c r="N930" s="96">
        <f>prodnorm78</f>
        <v>0</v>
      </c>
      <c r="O930" s="37">
        <f>dagwerk78</f>
        <v>0</v>
      </c>
      <c r="P930" s="93" t="s">
        <v>105</v>
      </c>
      <c r="Q930" s="24">
        <f>uurtarief78</f>
        <v>0</v>
      </c>
      <c r="R930" s="95" t="e">
        <f>IF(ISBLANK(N930),0,M930/ROUND(N930,4))</f>
        <v>#DIV/0!</v>
      </c>
      <c r="S930" s="95" t="e">
        <f>IF(ISBLANK(N930),0,R930*ROUND(O930,2))</f>
        <v>#DIV/0!</v>
      </c>
      <c r="T930" s="24" t="e">
        <f>ROUND(Q930,2)*R930</f>
        <v>#DIV/0!</v>
      </c>
      <c r="U930" s="95" t="e">
        <f>R930*dagenperjaar1</f>
        <v>#DIV/0!</v>
      </c>
      <c r="V930" s="25" t="e">
        <f>U930*ROUND(Q930,2)</f>
        <v>#DIV/0!</v>
      </c>
    </row>
    <row r="931" spans="1:22" x14ac:dyDescent="0.2">
      <c r="A931" s="92" t="s">
        <v>891</v>
      </c>
      <c r="B931" s="93" t="s">
        <v>47</v>
      </c>
      <c r="C931" s="93" t="s">
        <v>558</v>
      </c>
      <c r="D931" s="93" t="s">
        <v>47</v>
      </c>
      <c r="E931" s="94" t="s">
        <v>901</v>
      </c>
      <c r="F931" s="93" t="s">
        <v>517</v>
      </c>
      <c r="G931" s="93" t="s">
        <v>266</v>
      </c>
      <c r="H931" s="93" t="s">
        <v>13</v>
      </c>
      <c r="I931" s="93" t="s">
        <v>255</v>
      </c>
      <c r="J931" s="93" t="s">
        <v>47</v>
      </c>
      <c r="K931" s="93"/>
      <c r="L931" s="95">
        <v>10.49</v>
      </c>
      <c r="M931" s="95">
        <f>L931*VLOOKUP(H931,dagsoorttabel1,2,FALSE)</f>
        <v>8.2274509803921561</v>
      </c>
      <c r="N931" s="96">
        <f>prodnorm40</f>
        <v>0</v>
      </c>
      <c r="O931" s="37">
        <f>dagwerk40</f>
        <v>0</v>
      </c>
      <c r="P931" s="93" t="s">
        <v>105</v>
      </c>
      <c r="Q931" s="24">
        <f>uurtarief40</f>
        <v>0</v>
      </c>
      <c r="R931" s="95" t="e">
        <f>IF(ISBLANK(N931),0,M931/ROUND(N931,4))</f>
        <v>#DIV/0!</v>
      </c>
      <c r="S931" s="95" t="e">
        <f>IF(ISBLANK(N931),0,R931*ROUND(O931,2))</f>
        <v>#DIV/0!</v>
      </c>
      <c r="T931" s="24" t="e">
        <f>ROUND(Q931,2)*R931</f>
        <v>#DIV/0!</v>
      </c>
      <c r="U931" s="95" t="e">
        <f>R931*dagenperjaar1</f>
        <v>#DIV/0!</v>
      </c>
      <c r="V931" s="25" t="e">
        <f>U931*ROUND(Q931,2)</f>
        <v>#DIV/0!</v>
      </c>
    </row>
    <row r="932" spans="1:22" x14ac:dyDescent="0.2">
      <c r="A932" s="92" t="s">
        <v>891</v>
      </c>
      <c r="B932" s="93" t="s">
        <v>47</v>
      </c>
      <c r="C932" s="93" t="s">
        <v>558</v>
      </c>
      <c r="D932" s="93" t="s">
        <v>47</v>
      </c>
      <c r="E932" s="94" t="s">
        <v>901</v>
      </c>
      <c r="F932" s="93" t="s">
        <v>517</v>
      </c>
      <c r="G932" s="93" t="s">
        <v>268</v>
      </c>
      <c r="H932" s="93" t="s">
        <v>13</v>
      </c>
      <c r="I932" s="93" t="s">
        <v>255</v>
      </c>
      <c r="J932" s="93" t="s">
        <v>47</v>
      </c>
      <c r="K932" s="93"/>
      <c r="L932" s="95">
        <v>10.49</v>
      </c>
      <c r="M932" s="95">
        <f>L932*VLOOKUP(H932,dagsoorttabel1,2,FALSE)</f>
        <v>8.2274509803921561</v>
      </c>
      <c r="N932" s="96">
        <f>prodnorm42</f>
        <v>0</v>
      </c>
      <c r="O932" s="37">
        <f>dagwerk42</f>
        <v>0</v>
      </c>
      <c r="P932" s="93" t="s">
        <v>105</v>
      </c>
      <c r="Q932" s="24">
        <f>uurtarief42</f>
        <v>0</v>
      </c>
      <c r="R932" s="95" t="e">
        <f>IF(ISBLANK(N932),0,M932/ROUND(N932,4))</f>
        <v>#DIV/0!</v>
      </c>
      <c r="S932" s="95" t="e">
        <f>IF(ISBLANK(N932),0,R932*ROUND(O932,2))</f>
        <v>#DIV/0!</v>
      </c>
      <c r="T932" s="24" t="e">
        <f>ROUND(Q932,2)*R932</f>
        <v>#DIV/0!</v>
      </c>
      <c r="U932" s="95" t="e">
        <f>R932*dagenperjaar1</f>
        <v>#DIV/0!</v>
      </c>
      <c r="V932" s="25" t="e">
        <f>U932*ROUND(Q932,2)</f>
        <v>#DIV/0!</v>
      </c>
    </row>
    <row r="933" spans="1:22" x14ac:dyDescent="0.2">
      <c r="A933" s="92" t="s">
        <v>891</v>
      </c>
      <c r="B933" s="93" t="s">
        <v>47</v>
      </c>
      <c r="C933" s="93" t="s">
        <v>558</v>
      </c>
      <c r="D933" s="93" t="s">
        <v>47</v>
      </c>
      <c r="E933" s="94" t="s">
        <v>902</v>
      </c>
      <c r="F933" s="93" t="s">
        <v>517</v>
      </c>
      <c r="G933" s="93" t="s">
        <v>284</v>
      </c>
      <c r="H933" s="93" t="s">
        <v>13</v>
      </c>
      <c r="I933" s="93" t="s">
        <v>255</v>
      </c>
      <c r="J933" s="93" t="s">
        <v>47</v>
      </c>
      <c r="K933" s="93"/>
      <c r="L933" s="95">
        <v>25.52</v>
      </c>
      <c r="M933" s="95">
        <f>L933*VLOOKUP(H933,dagsoorttabel1,2,FALSE)</f>
        <v>20.015686274509804</v>
      </c>
      <c r="N933" s="96">
        <f>prodnorm58</f>
        <v>0</v>
      </c>
      <c r="O933" s="37">
        <f>dagwerk58</f>
        <v>0</v>
      </c>
      <c r="P933" s="93" t="s">
        <v>105</v>
      </c>
      <c r="Q933" s="24">
        <f>uurtarief58</f>
        <v>0</v>
      </c>
      <c r="R933" s="95" t="e">
        <f>IF(ISBLANK(N933),0,M933/ROUND(N933,4))</f>
        <v>#DIV/0!</v>
      </c>
      <c r="S933" s="95" t="e">
        <f>IF(ISBLANK(N933),0,R933*ROUND(O933,2))</f>
        <v>#DIV/0!</v>
      </c>
      <c r="T933" s="24" t="e">
        <f>ROUND(Q933,2)*R933</f>
        <v>#DIV/0!</v>
      </c>
      <c r="U933" s="95" t="e">
        <f>R933*dagenperjaar1</f>
        <v>#DIV/0!</v>
      </c>
      <c r="V933" s="25" t="e">
        <f>U933*ROUND(Q933,2)</f>
        <v>#DIV/0!</v>
      </c>
    </row>
    <row r="934" spans="1:22" x14ac:dyDescent="0.2">
      <c r="A934" s="92" t="s">
        <v>891</v>
      </c>
      <c r="B934" s="93" t="s">
        <v>47</v>
      </c>
      <c r="C934" s="93" t="s">
        <v>558</v>
      </c>
      <c r="D934" s="93" t="s">
        <v>47</v>
      </c>
      <c r="E934" s="94" t="s">
        <v>902</v>
      </c>
      <c r="F934" s="93" t="s">
        <v>517</v>
      </c>
      <c r="G934" s="93" t="s">
        <v>286</v>
      </c>
      <c r="H934" s="93" t="s">
        <v>13</v>
      </c>
      <c r="I934" s="93" t="s">
        <v>255</v>
      </c>
      <c r="J934" s="93" t="s">
        <v>47</v>
      </c>
      <c r="K934" s="93"/>
      <c r="L934" s="95">
        <v>25.52</v>
      </c>
      <c r="M934" s="95">
        <f>L934*VLOOKUP(H934,dagsoorttabel1,2,FALSE)</f>
        <v>20.015686274509804</v>
      </c>
      <c r="N934" s="96">
        <f>prodnorm61</f>
        <v>0</v>
      </c>
      <c r="O934" s="37">
        <f>dagwerk61</f>
        <v>0</v>
      </c>
      <c r="P934" s="93" t="s">
        <v>105</v>
      </c>
      <c r="Q934" s="24">
        <f>uurtarief61</f>
        <v>0</v>
      </c>
      <c r="R934" s="95" t="e">
        <f>IF(ISBLANK(N934),0,M934/ROUND(N934,4))</f>
        <v>#DIV/0!</v>
      </c>
      <c r="S934" s="95" t="e">
        <f>IF(ISBLANK(N934),0,R934*ROUND(O934,2))</f>
        <v>#DIV/0!</v>
      </c>
      <c r="T934" s="24" t="e">
        <f>ROUND(Q934,2)*R934</f>
        <v>#DIV/0!</v>
      </c>
      <c r="U934" s="95" t="e">
        <f>R934*dagenperjaar1</f>
        <v>#DIV/0!</v>
      </c>
      <c r="V934" s="25" t="e">
        <f>U934*ROUND(Q934,2)</f>
        <v>#DIV/0!</v>
      </c>
    </row>
    <row r="935" spans="1:22" x14ac:dyDescent="0.2">
      <c r="A935" s="92" t="s">
        <v>891</v>
      </c>
      <c r="B935" s="93" t="s">
        <v>47</v>
      </c>
      <c r="C935" s="93" t="s">
        <v>558</v>
      </c>
      <c r="D935" s="93" t="s">
        <v>47</v>
      </c>
      <c r="E935" s="94" t="s">
        <v>903</v>
      </c>
      <c r="F935" s="93" t="s">
        <v>517</v>
      </c>
      <c r="G935" s="93" t="s">
        <v>304</v>
      </c>
      <c r="H935" s="93" t="s">
        <v>13</v>
      </c>
      <c r="I935" s="93" t="s">
        <v>255</v>
      </c>
      <c r="J935" s="93" t="s">
        <v>47</v>
      </c>
      <c r="K935" s="93"/>
      <c r="L935" s="95">
        <v>1.5</v>
      </c>
      <c r="M935" s="95">
        <f>L935*VLOOKUP(H935,dagsoorttabel1,2,FALSE)</f>
        <v>1.1764705882352942</v>
      </c>
      <c r="N935" s="96">
        <f>prodnorm74</f>
        <v>0</v>
      </c>
      <c r="O935" s="37">
        <f>dagwerk74</f>
        <v>0</v>
      </c>
      <c r="P935" s="93" t="s">
        <v>105</v>
      </c>
      <c r="Q935" s="24">
        <f>uurtarief74</f>
        <v>0</v>
      </c>
      <c r="R935" s="95" t="e">
        <f>IF(ISBLANK(N935),0,M935/ROUND(N935,4))</f>
        <v>#DIV/0!</v>
      </c>
      <c r="S935" s="95" t="e">
        <f>IF(ISBLANK(N935),0,R935*ROUND(O935,2))</f>
        <v>#DIV/0!</v>
      </c>
      <c r="T935" s="24" t="e">
        <f>ROUND(Q935,2)*R935</f>
        <v>#DIV/0!</v>
      </c>
      <c r="U935" s="95" t="e">
        <f>R935*dagenperjaar1</f>
        <v>#DIV/0!</v>
      </c>
      <c r="V935" s="25" t="e">
        <f>U935*ROUND(Q935,2)</f>
        <v>#DIV/0!</v>
      </c>
    </row>
    <row r="936" spans="1:22" x14ac:dyDescent="0.2">
      <c r="A936" s="92" t="s">
        <v>891</v>
      </c>
      <c r="B936" s="93" t="s">
        <v>47</v>
      </c>
      <c r="C936" s="93" t="s">
        <v>558</v>
      </c>
      <c r="D936" s="93" t="s">
        <v>47</v>
      </c>
      <c r="E936" s="94" t="s">
        <v>903</v>
      </c>
      <c r="F936" s="93" t="s">
        <v>517</v>
      </c>
      <c r="G936" s="93" t="s">
        <v>306</v>
      </c>
      <c r="H936" s="93" t="s">
        <v>13</v>
      </c>
      <c r="I936" s="93" t="s">
        <v>255</v>
      </c>
      <c r="J936" s="93" t="s">
        <v>47</v>
      </c>
      <c r="K936" s="93"/>
      <c r="L936" s="95">
        <v>1.5</v>
      </c>
      <c r="M936" s="95">
        <f>L936*VLOOKUP(H936,dagsoorttabel1,2,FALSE)</f>
        <v>1.1764705882352942</v>
      </c>
      <c r="N936" s="96">
        <f>prodnorm78</f>
        <v>0</v>
      </c>
      <c r="O936" s="37">
        <f>dagwerk78</f>
        <v>0</v>
      </c>
      <c r="P936" s="93" t="s">
        <v>105</v>
      </c>
      <c r="Q936" s="24">
        <f>uurtarief78</f>
        <v>0</v>
      </c>
      <c r="R936" s="95" t="e">
        <f>IF(ISBLANK(N936),0,M936/ROUND(N936,4))</f>
        <v>#DIV/0!</v>
      </c>
      <c r="S936" s="95" t="e">
        <f>IF(ISBLANK(N936),0,R936*ROUND(O936,2))</f>
        <v>#DIV/0!</v>
      </c>
      <c r="T936" s="24" t="e">
        <f>ROUND(Q936,2)*R936</f>
        <v>#DIV/0!</v>
      </c>
      <c r="U936" s="95" t="e">
        <f>R936*dagenperjaar1</f>
        <v>#DIV/0!</v>
      </c>
      <c r="V936" s="25" t="e">
        <f>U936*ROUND(Q936,2)</f>
        <v>#DIV/0!</v>
      </c>
    </row>
    <row r="937" spans="1:22" x14ac:dyDescent="0.2">
      <c r="A937" s="92" t="s">
        <v>891</v>
      </c>
      <c r="B937" s="93" t="s">
        <v>47</v>
      </c>
      <c r="C937" s="93" t="s">
        <v>558</v>
      </c>
      <c r="D937" s="93" t="s">
        <v>47</v>
      </c>
      <c r="E937" s="94" t="s">
        <v>904</v>
      </c>
      <c r="F937" s="93" t="s">
        <v>517</v>
      </c>
      <c r="G937" s="93" t="s">
        <v>266</v>
      </c>
      <c r="H937" s="93" t="s">
        <v>13</v>
      </c>
      <c r="I937" s="93" t="s">
        <v>255</v>
      </c>
      <c r="J937" s="93" t="s">
        <v>47</v>
      </c>
      <c r="K937" s="93"/>
      <c r="L937" s="95">
        <v>10.52</v>
      </c>
      <c r="M937" s="95">
        <f>L937*VLOOKUP(H937,dagsoorttabel1,2,FALSE)</f>
        <v>8.2509803921568619</v>
      </c>
      <c r="N937" s="96">
        <f>prodnorm40</f>
        <v>0</v>
      </c>
      <c r="O937" s="37">
        <f>dagwerk40</f>
        <v>0</v>
      </c>
      <c r="P937" s="93" t="s">
        <v>105</v>
      </c>
      <c r="Q937" s="24">
        <f>uurtarief40</f>
        <v>0</v>
      </c>
      <c r="R937" s="95" t="e">
        <f>IF(ISBLANK(N937),0,M937/ROUND(N937,4))</f>
        <v>#DIV/0!</v>
      </c>
      <c r="S937" s="95" t="e">
        <f>IF(ISBLANK(N937),0,R937*ROUND(O937,2))</f>
        <v>#DIV/0!</v>
      </c>
      <c r="T937" s="24" t="e">
        <f>ROUND(Q937,2)*R937</f>
        <v>#DIV/0!</v>
      </c>
      <c r="U937" s="95" t="e">
        <f>R937*dagenperjaar1</f>
        <v>#DIV/0!</v>
      </c>
      <c r="V937" s="25" t="e">
        <f>U937*ROUND(Q937,2)</f>
        <v>#DIV/0!</v>
      </c>
    </row>
    <row r="938" spans="1:22" x14ac:dyDescent="0.2">
      <c r="A938" s="92" t="s">
        <v>891</v>
      </c>
      <c r="B938" s="93" t="s">
        <v>47</v>
      </c>
      <c r="C938" s="93" t="s">
        <v>558</v>
      </c>
      <c r="D938" s="93" t="s">
        <v>47</v>
      </c>
      <c r="E938" s="94" t="s">
        <v>904</v>
      </c>
      <c r="F938" s="93" t="s">
        <v>517</v>
      </c>
      <c r="G938" s="93" t="s">
        <v>268</v>
      </c>
      <c r="H938" s="93" t="s">
        <v>13</v>
      </c>
      <c r="I938" s="93" t="s">
        <v>255</v>
      </c>
      <c r="J938" s="93" t="s">
        <v>47</v>
      </c>
      <c r="K938" s="93"/>
      <c r="L938" s="95">
        <v>10.52</v>
      </c>
      <c r="M938" s="95">
        <f>L938*VLOOKUP(H938,dagsoorttabel1,2,FALSE)</f>
        <v>8.2509803921568619</v>
      </c>
      <c r="N938" s="96">
        <f>prodnorm42</f>
        <v>0</v>
      </c>
      <c r="O938" s="37">
        <f>dagwerk42</f>
        <v>0</v>
      </c>
      <c r="P938" s="93" t="s">
        <v>105</v>
      </c>
      <c r="Q938" s="24">
        <f>uurtarief42</f>
        <v>0</v>
      </c>
      <c r="R938" s="95" t="e">
        <f>IF(ISBLANK(N938),0,M938/ROUND(N938,4))</f>
        <v>#DIV/0!</v>
      </c>
      <c r="S938" s="95" t="e">
        <f>IF(ISBLANK(N938),0,R938*ROUND(O938,2))</f>
        <v>#DIV/0!</v>
      </c>
      <c r="T938" s="24" t="e">
        <f>ROUND(Q938,2)*R938</f>
        <v>#DIV/0!</v>
      </c>
      <c r="U938" s="95" t="e">
        <f>R938*dagenperjaar1</f>
        <v>#DIV/0!</v>
      </c>
      <c r="V938" s="25" t="e">
        <f>U938*ROUND(Q938,2)</f>
        <v>#DIV/0!</v>
      </c>
    </row>
    <row r="939" spans="1:22" x14ac:dyDescent="0.2">
      <c r="A939" s="92" t="s">
        <v>891</v>
      </c>
      <c r="B939" s="93" t="s">
        <v>47</v>
      </c>
      <c r="C939" s="93" t="s">
        <v>558</v>
      </c>
      <c r="D939" s="93" t="s">
        <v>47</v>
      </c>
      <c r="E939" s="94" t="s">
        <v>905</v>
      </c>
      <c r="F939" s="93" t="s">
        <v>857</v>
      </c>
      <c r="G939" s="93" t="s">
        <v>280</v>
      </c>
      <c r="H939" s="93" t="s">
        <v>13</v>
      </c>
      <c r="I939" s="93" t="s">
        <v>255</v>
      </c>
      <c r="J939" s="93" t="s">
        <v>47</v>
      </c>
      <c r="K939" s="93"/>
      <c r="L939" s="95">
        <v>448</v>
      </c>
      <c r="M939" s="95">
        <f>L939*VLOOKUP(H939,dagsoorttabel1,2,FALSE)</f>
        <v>351.37254901960785</v>
      </c>
      <c r="N939" s="96">
        <f>prodnorm52</f>
        <v>0</v>
      </c>
      <c r="O939" s="37">
        <f>dagwerk52</f>
        <v>0</v>
      </c>
      <c r="P939" s="93" t="s">
        <v>105</v>
      </c>
      <c r="Q939" s="24">
        <f>uurtarief52</f>
        <v>0</v>
      </c>
      <c r="R939" s="95" t="e">
        <f>IF(ISBLANK(N939),0,M939/ROUND(N939,4))</f>
        <v>#DIV/0!</v>
      </c>
      <c r="S939" s="95" t="e">
        <f>IF(ISBLANK(N939),0,R939*ROUND(O939,2))</f>
        <v>#DIV/0!</v>
      </c>
      <c r="T939" s="24" t="e">
        <f>ROUND(Q939,2)*R939</f>
        <v>#DIV/0!</v>
      </c>
      <c r="U939" s="95" t="e">
        <f>R939*dagenperjaar1</f>
        <v>#DIV/0!</v>
      </c>
      <c r="V939" s="25" t="e">
        <f>U939*ROUND(Q939,2)</f>
        <v>#DIV/0!</v>
      </c>
    </row>
    <row r="940" spans="1:22" x14ac:dyDescent="0.2">
      <c r="A940" s="92" t="s">
        <v>891</v>
      </c>
      <c r="B940" s="93" t="s">
        <v>47</v>
      </c>
      <c r="C940" s="93" t="s">
        <v>558</v>
      </c>
      <c r="D940" s="93" t="s">
        <v>47</v>
      </c>
      <c r="E940" s="94" t="s">
        <v>905</v>
      </c>
      <c r="F940" s="93" t="s">
        <v>857</v>
      </c>
      <c r="G940" s="93" t="s">
        <v>282</v>
      </c>
      <c r="H940" s="93" t="s">
        <v>13</v>
      </c>
      <c r="I940" s="93" t="s">
        <v>255</v>
      </c>
      <c r="J940" s="93" t="s">
        <v>47</v>
      </c>
      <c r="K940" s="93"/>
      <c r="L940" s="95">
        <v>448</v>
      </c>
      <c r="M940" s="95">
        <f>L940*VLOOKUP(H940,dagsoorttabel1,2,FALSE)</f>
        <v>351.37254901960785</v>
      </c>
      <c r="N940" s="96">
        <f>prodnorm55</f>
        <v>0</v>
      </c>
      <c r="O940" s="37">
        <f>dagwerk55</f>
        <v>0</v>
      </c>
      <c r="P940" s="93" t="s">
        <v>105</v>
      </c>
      <c r="Q940" s="24">
        <f>uurtarief55</f>
        <v>0</v>
      </c>
      <c r="R940" s="95" t="e">
        <f>IF(ISBLANK(N940),0,M940/ROUND(N940,4))</f>
        <v>#DIV/0!</v>
      </c>
      <c r="S940" s="95" t="e">
        <f>IF(ISBLANK(N940),0,R940*ROUND(O940,2))</f>
        <v>#DIV/0!</v>
      </c>
      <c r="T940" s="24" t="e">
        <f>ROUND(Q940,2)*R940</f>
        <v>#DIV/0!</v>
      </c>
      <c r="U940" s="95" t="e">
        <f>R940*dagenperjaar1</f>
        <v>#DIV/0!</v>
      </c>
      <c r="V940" s="25" t="e">
        <f>U940*ROUND(Q940,2)</f>
        <v>#DIV/0!</v>
      </c>
    </row>
    <row r="941" spans="1:22" x14ac:dyDescent="0.2">
      <c r="A941" s="92" t="s">
        <v>891</v>
      </c>
      <c r="B941" s="93" t="s">
        <v>47</v>
      </c>
      <c r="C941" s="93" t="s">
        <v>558</v>
      </c>
      <c r="D941" s="93" t="s">
        <v>47</v>
      </c>
      <c r="E941" s="94" t="s">
        <v>905</v>
      </c>
      <c r="F941" s="93" t="s">
        <v>857</v>
      </c>
      <c r="G941" s="93" t="s">
        <v>350</v>
      </c>
      <c r="H941" s="93" t="s">
        <v>25</v>
      </c>
      <c r="I941" s="93" t="s">
        <v>352</v>
      </c>
      <c r="J941" s="93" t="s">
        <v>47</v>
      </c>
      <c r="K941" s="93"/>
      <c r="L941" s="95">
        <v>448</v>
      </c>
      <c r="M941" s="95">
        <f>L941*VLOOKUP(H941,dagsoorttabel1,2,FALSE)</f>
        <v>17.568627450980394</v>
      </c>
      <c r="N941" s="96">
        <f>prodnorm116</f>
        <v>0</v>
      </c>
      <c r="O941" s="37">
        <f>dagwerk116</f>
        <v>0</v>
      </c>
      <c r="P941" s="93" t="s">
        <v>105</v>
      </c>
      <c r="Q941" s="24">
        <f>uurtarief116</f>
        <v>0</v>
      </c>
      <c r="R941" s="95" t="e">
        <f>IF(ISBLANK(N941),0,M941/ROUND(N941,4))</f>
        <v>#DIV/0!</v>
      </c>
      <c r="S941" s="95" t="e">
        <f>IF(ISBLANK(N941),0,R941*ROUND(O941,2))</f>
        <v>#DIV/0!</v>
      </c>
      <c r="T941" s="24" t="e">
        <f>ROUND(Q941,2)*R941</f>
        <v>#DIV/0!</v>
      </c>
      <c r="U941" s="95" t="e">
        <f>R941*dagenperjaar1</f>
        <v>#DIV/0!</v>
      </c>
      <c r="V941" s="25" t="e">
        <f>U941*ROUND(Q941,2)</f>
        <v>#DIV/0!</v>
      </c>
    </row>
    <row r="942" spans="1:22" x14ac:dyDescent="0.2">
      <c r="A942" s="92" t="s">
        <v>891</v>
      </c>
      <c r="B942" s="93" t="s">
        <v>47</v>
      </c>
      <c r="C942" s="93" t="s">
        <v>558</v>
      </c>
      <c r="D942" s="93" t="s">
        <v>47</v>
      </c>
      <c r="E942" s="94" t="s">
        <v>906</v>
      </c>
      <c r="F942" s="93" t="s">
        <v>517</v>
      </c>
      <c r="G942" s="93" t="s">
        <v>284</v>
      </c>
      <c r="H942" s="93" t="s">
        <v>13</v>
      </c>
      <c r="I942" s="93" t="s">
        <v>255</v>
      </c>
      <c r="J942" s="93" t="s">
        <v>47</v>
      </c>
      <c r="K942" s="93"/>
      <c r="L942" s="95">
        <v>25.87</v>
      </c>
      <c r="M942" s="95">
        <f>L942*VLOOKUP(H942,dagsoorttabel1,2,FALSE)</f>
        <v>20.290196078431372</v>
      </c>
      <c r="N942" s="96">
        <f>prodnorm58</f>
        <v>0</v>
      </c>
      <c r="O942" s="37">
        <f>dagwerk58</f>
        <v>0</v>
      </c>
      <c r="P942" s="93" t="s">
        <v>105</v>
      </c>
      <c r="Q942" s="24">
        <f>uurtarief58</f>
        <v>0</v>
      </c>
      <c r="R942" s="95" t="e">
        <f>IF(ISBLANK(N942),0,M942/ROUND(N942,4))</f>
        <v>#DIV/0!</v>
      </c>
      <c r="S942" s="95" t="e">
        <f>IF(ISBLANK(N942),0,R942*ROUND(O942,2))</f>
        <v>#DIV/0!</v>
      </c>
      <c r="T942" s="24" t="e">
        <f>ROUND(Q942,2)*R942</f>
        <v>#DIV/0!</v>
      </c>
      <c r="U942" s="95" t="e">
        <f>R942*dagenperjaar1</f>
        <v>#DIV/0!</v>
      </c>
      <c r="V942" s="25" t="e">
        <f>U942*ROUND(Q942,2)</f>
        <v>#DIV/0!</v>
      </c>
    </row>
    <row r="943" spans="1:22" x14ac:dyDescent="0.2">
      <c r="A943" s="92" t="s">
        <v>891</v>
      </c>
      <c r="B943" s="93" t="s">
        <v>47</v>
      </c>
      <c r="C943" s="93" t="s">
        <v>558</v>
      </c>
      <c r="D943" s="93" t="s">
        <v>47</v>
      </c>
      <c r="E943" s="94" t="s">
        <v>906</v>
      </c>
      <c r="F943" s="93" t="s">
        <v>517</v>
      </c>
      <c r="G943" s="93" t="s">
        <v>286</v>
      </c>
      <c r="H943" s="93" t="s">
        <v>13</v>
      </c>
      <c r="I943" s="93" t="s">
        <v>255</v>
      </c>
      <c r="J943" s="93" t="s">
        <v>47</v>
      </c>
      <c r="K943" s="93"/>
      <c r="L943" s="95">
        <v>25.87</v>
      </c>
      <c r="M943" s="95">
        <f>L943*VLOOKUP(H943,dagsoorttabel1,2,FALSE)</f>
        <v>20.290196078431372</v>
      </c>
      <c r="N943" s="96">
        <f>prodnorm61</f>
        <v>0</v>
      </c>
      <c r="O943" s="37">
        <f>dagwerk61</f>
        <v>0</v>
      </c>
      <c r="P943" s="93" t="s">
        <v>105</v>
      </c>
      <c r="Q943" s="24">
        <f>uurtarief61</f>
        <v>0</v>
      </c>
      <c r="R943" s="95" t="e">
        <f>IF(ISBLANK(N943),0,M943/ROUND(N943,4))</f>
        <v>#DIV/0!</v>
      </c>
      <c r="S943" s="95" t="e">
        <f>IF(ISBLANK(N943),0,R943*ROUND(O943,2))</f>
        <v>#DIV/0!</v>
      </c>
      <c r="T943" s="24" t="e">
        <f>ROUND(Q943,2)*R943</f>
        <v>#DIV/0!</v>
      </c>
      <c r="U943" s="95" t="e">
        <f>R943*dagenperjaar1</f>
        <v>#DIV/0!</v>
      </c>
      <c r="V943" s="25" t="e">
        <f>U943*ROUND(Q943,2)</f>
        <v>#DIV/0!</v>
      </c>
    </row>
    <row r="944" spans="1:22" x14ac:dyDescent="0.2">
      <c r="A944" s="92" t="s">
        <v>891</v>
      </c>
      <c r="B944" s="93" t="s">
        <v>47</v>
      </c>
      <c r="C944" s="93" t="s">
        <v>558</v>
      </c>
      <c r="D944" s="93" t="s">
        <v>47</v>
      </c>
      <c r="E944" s="94" t="s">
        <v>907</v>
      </c>
      <c r="F944" s="93" t="s">
        <v>517</v>
      </c>
      <c r="G944" s="93" t="s">
        <v>304</v>
      </c>
      <c r="H944" s="93" t="s">
        <v>13</v>
      </c>
      <c r="I944" s="93" t="s">
        <v>255</v>
      </c>
      <c r="J944" s="93" t="s">
        <v>47</v>
      </c>
      <c r="K944" s="93"/>
      <c r="L944" s="95">
        <v>1.31</v>
      </c>
      <c r="M944" s="95">
        <f>L944*VLOOKUP(H944,dagsoorttabel1,2,FALSE)</f>
        <v>1.027450980392157</v>
      </c>
      <c r="N944" s="96">
        <f>prodnorm74</f>
        <v>0</v>
      </c>
      <c r="O944" s="37">
        <f>dagwerk74</f>
        <v>0</v>
      </c>
      <c r="P944" s="93" t="s">
        <v>105</v>
      </c>
      <c r="Q944" s="24">
        <f>uurtarief74</f>
        <v>0</v>
      </c>
      <c r="R944" s="95" t="e">
        <f>IF(ISBLANK(N944),0,M944/ROUND(N944,4))</f>
        <v>#DIV/0!</v>
      </c>
      <c r="S944" s="95" t="e">
        <f>IF(ISBLANK(N944),0,R944*ROUND(O944,2))</f>
        <v>#DIV/0!</v>
      </c>
      <c r="T944" s="24" t="e">
        <f>ROUND(Q944,2)*R944</f>
        <v>#DIV/0!</v>
      </c>
      <c r="U944" s="95" t="e">
        <f>R944*dagenperjaar1</f>
        <v>#DIV/0!</v>
      </c>
      <c r="V944" s="25" t="e">
        <f>U944*ROUND(Q944,2)</f>
        <v>#DIV/0!</v>
      </c>
    </row>
    <row r="945" spans="1:22" x14ac:dyDescent="0.2">
      <c r="A945" s="92" t="s">
        <v>891</v>
      </c>
      <c r="B945" s="93" t="s">
        <v>47</v>
      </c>
      <c r="C945" s="93" t="s">
        <v>558</v>
      </c>
      <c r="D945" s="93" t="s">
        <v>47</v>
      </c>
      <c r="E945" s="94" t="s">
        <v>907</v>
      </c>
      <c r="F945" s="93" t="s">
        <v>517</v>
      </c>
      <c r="G945" s="93" t="s">
        <v>306</v>
      </c>
      <c r="H945" s="93" t="s">
        <v>13</v>
      </c>
      <c r="I945" s="93" t="s">
        <v>255</v>
      </c>
      <c r="J945" s="93" t="s">
        <v>47</v>
      </c>
      <c r="K945" s="93"/>
      <c r="L945" s="95">
        <v>1.31</v>
      </c>
      <c r="M945" s="95">
        <f>L945*VLOOKUP(H945,dagsoorttabel1,2,FALSE)</f>
        <v>1.027450980392157</v>
      </c>
      <c r="N945" s="96">
        <f>prodnorm78</f>
        <v>0</v>
      </c>
      <c r="O945" s="37">
        <f>dagwerk78</f>
        <v>0</v>
      </c>
      <c r="P945" s="93" t="s">
        <v>105</v>
      </c>
      <c r="Q945" s="24">
        <f>uurtarief78</f>
        <v>0</v>
      </c>
      <c r="R945" s="95" t="e">
        <f>IF(ISBLANK(N945),0,M945/ROUND(N945,4))</f>
        <v>#DIV/0!</v>
      </c>
      <c r="S945" s="95" t="e">
        <f>IF(ISBLANK(N945),0,R945*ROUND(O945,2))</f>
        <v>#DIV/0!</v>
      </c>
      <c r="T945" s="24" t="e">
        <f>ROUND(Q945,2)*R945</f>
        <v>#DIV/0!</v>
      </c>
      <c r="U945" s="95" t="e">
        <f>R945*dagenperjaar1</f>
        <v>#DIV/0!</v>
      </c>
      <c r="V945" s="25" t="e">
        <f>U945*ROUND(Q945,2)</f>
        <v>#DIV/0!</v>
      </c>
    </row>
    <row r="946" spans="1:22" x14ac:dyDescent="0.2">
      <c r="A946" s="92" t="s">
        <v>891</v>
      </c>
      <c r="B946" s="93" t="s">
        <v>47</v>
      </c>
      <c r="C946" s="93" t="s">
        <v>558</v>
      </c>
      <c r="D946" s="93" t="s">
        <v>47</v>
      </c>
      <c r="E946" s="94" t="s">
        <v>908</v>
      </c>
      <c r="F946" s="93" t="s">
        <v>517</v>
      </c>
      <c r="G946" s="93" t="s">
        <v>266</v>
      </c>
      <c r="H946" s="93" t="s">
        <v>13</v>
      </c>
      <c r="I946" s="93" t="s">
        <v>255</v>
      </c>
      <c r="J946" s="93" t="s">
        <v>47</v>
      </c>
      <c r="K946" s="93"/>
      <c r="L946" s="95">
        <v>10.5</v>
      </c>
      <c r="M946" s="95">
        <f>L946*VLOOKUP(H946,dagsoorttabel1,2,FALSE)</f>
        <v>8.235294117647058</v>
      </c>
      <c r="N946" s="96">
        <f>prodnorm40</f>
        <v>0</v>
      </c>
      <c r="O946" s="37">
        <f>dagwerk40</f>
        <v>0</v>
      </c>
      <c r="P946" s="93" t="s">
        <v>105</v>
      </c>
      <c r="Q946" s="24">
        <f>uurtarief40</f>
        <v>0</v>
      </c>
      <c r="R946" s="95" t="e">
        <f>IF(ISBLANK(N946),0,M946/ROUND(N946,4))</f>
        <v>#DIV/0!</v>
      </c>
      <c r="S946" s="95" t="e">
        <f>IF(ISBLANK(N946),0,R946*ROUND(O946,2))</f>
        <v>#DIV/0!</v>
      </c>
      <c r="T946" s="24" t="e">
        <f>ROUND(Q946,2)*R946</f>
        <v>#DIV/0!</v>
      </c>
      <c r="U946" s="95" t="e">
        <f>R946*dagenperjaar1</f>
        <v>#DIV/0!</v>
      </c>
      <c r="V946" s="25" t="e">
        <f>U946*ROUND(Q946,2)</f>
        <v>#DIV/0!</v>
      </c>
    </row>
    <row r="947" spans="1:22" x14ac:dyDescent="0.2">
      <c r="A947" s="92" t="s">
        <v>891</v>
      </c>
      <c r="B947" s="93" t="s">
        <v>47</v>
      </c>
      <c r="C947" s="93" t="s">
        <v>558</v>
      </c>
      <c r="D947" s="93" t="s">
        <v>47</v>
      </c>
      <c r="E947" s="94" t="s">
        <v>908</v>
      </c>
      <c r="F947" s="93" t="s">
        <v>517</v>
      </c>
      <c r="G947" s="93" t="s">
        <v>268</v>
      </c>
      <c r="H947" s="93" t="s">
        <v>13</v>
      </c>
      <c r="I947" s="93" t="s">
        <v>255</v>
      </c>
      <c r="J947" s="93" t="s">
        <v>47</v>
      </c>
      <c r="K947" s="93"/>
      <c r="L947" s="95">
        <v>10.5</v>
      </c>
      <c r="M947" s="95">
        <f>L947*VLOOKUP(H947,dagsoorttabel1,2,FALSE)</f>
        <v>8.235294117647058</v>
      </c>
      <c r="N947" s="96">
        <f>prodnorm42</f>
        <v>0</v>
      </c>
      <c r="O947" s="37">
        <f>dagwerk42</f>
        <v>0</v>
      </c>
      <c r="P947" s="93" t="s">
        <v>105</v>
      </c>
      <c r="Q947" s="24">
        <f>uurtarief42</f>
        <v>0</v>
      </c>
      <c r="R947" s="95" t="e">
        <f>IF(ISBLANK(N947),0,M947/ROUND(N947,4))</f>
        <v>#DIV/0!</v>
      </c>
      <c r="S947" s="95" t="e">
        <f>IF(ISBLANK(N947),0,R947*ROUND(O947,2))</f>
        <v>#DIV/0!</v>
      </c>
      <c r="T947" s="24" t="e">
        <f>ROUND(Q947,2)*R947</f>
        <v>#DIV/0!</v>
      </c>
      <c r="U947" s="95" t="e">
        <f>R947*dagenperjaar1</f>
        <v>#DIV/0!</v>
      </c>
      <c r="V947" s="25" t="e">
        <f>U947*ROUND(Q947,2)</f>
        <v>#DIV/0!</v>
      </c>
    </row>
    <row r="948" spans="1:22" x14ac:dyDescent="0.2">
      <c r="A948" s="92" t="s">
        <v>891</v>
      </c>
      <c r="B948" s="93" t="s">
        <v>47</v>
      </c>
      <c r="C948" s="93" t="s">
        <v>558</v>
      </c>
      <c r="D948" s="93" t="s">
        <v>47</v>
      </c>
      <c r="E948" s="94" t="s">
        <v>909</v>
      </c>
      <c r="F948" s="93" t="s">
        <v>517</v>
      </c>
      <c r="G948" s="93" t="s">
        <v>314</v>
      </c>
      <c r="H948" s="93" t="s">
        <v>13</v>
      </c>
      <c r="I948" s="93" t="s">
        <v>255</v>
      </c>
      <c r="J948" s="93" t="s">
        <v>47</v>
      </c>
      <c r="K948" s="93"/>
      <c r="L948" s="95">
        <v>12.450000000000001</v>
      </c>
      <c r="M948" s="95">
        <f>L948*VLOOKUP(H948,dagsoorttabel1,2,FALSE)</f>
        <v>9.764705882352942</v>
      </c>
      <c r="N948" s="96">
        <f>prodnorm88</f>
        <v>0</v>
      </c>
      <c r="O948" s="37">
        <f>dagwerk88</f>
        <v>0</v>
      </c>
      <c r="P948" s="93" t="s">
        <v>105</v>
      </c>
      <c r="Q948" s="24">
        <f>uurtarief88</f>
        <v>0</v>
      </c>
      <c r="R948" s="95" t="e">
        <f>IF(ISBLANK(N948),0,M948/ROUND(N948,4))</f>
        <v>#DIV/0!</v>
      </c>
      <c r="S948" s="95" t="e">
        <f>IF(ISBLANK(N948),0,R948*ROUND(O948,2))</f>
        <v>#DIV/0!</v>
      </c>
      <c r="T948" s="24" t="e">
        <f>ROUND(Q948,2)*R948</f>
        <v>#DIV/0!</v>
      </c>
      <c r="U948" s="95" t="e">
        <f>R948*dagenperjaar1</f>
        <v>#DIV/0!</v>
      </c>
      <c r="V948" s="25" t="e">
        <f>U948*ROUND(Q948,2)</f>
        <v>#DIV/0!</v>
      </c>
    </row>
    <row r="949" spans="1:22" x14ac:dyDescent="0.2">
      <c r="A949" s="92" t="s">
        <v>891</v>
      </c>
      <c r="B949" s="93" t="s">
        <v>47</v>
      </c>
      <c r="C949" s="93" t="s">
        <v>558</v>
      </c>
      <c r="D949" s="93" t="s">
        <v>47</v>
      </c>
      <c r="E949" s="94" t="s">
        <v>909</v>
      </c>
      <c r="F949" s="93" t="s">
        <v>517</v>
      </c>
      <c r="G949" s="93" t="s">
        <v>316</v>
      </c>
      <c r="H949" s="93" t="s">
        <v>13</v>
      </c>
      <c r="I949" s="93" t="s">
        <v>255</v>
      </c>
      <c r="J949" s="93" t="s">
        <v>47</v>
      </c>
      <c r="K949" s="93"/>
      <c r="L949" s="95">
        <v>12.450000000000001</v>
      </c>
      <c r="M949" s="95">
        <f>L949*VLOOKUP(H949,dagsoorttabel1,2,FALSE)</f>
        <v>9.764705882352942</v>
      </c>
      <c r="N949" s="96">
        <f>prodnorm93</f>
        <v>0</v>
      </c>
      <c r="O949" s="37">
        <f>dagwerk93</f>
        <v>0</v>
      </c>
      <c r="P949" s="93" t="s">
        <v>105</v>
      </c>
      <c r="Q949" s="24">
        <f>uurtarief93</f>
        <v>0</v>
      </c>
      <c r="R949" s="95" t="e">
        <f>IF(ISBLANK(N949),0,M949/ROUND(N949,4))</f>
        <v>#DIV/0!</v>
      </c>
      <c r="S949" s="95" t="e">
        <f>IF(ISBLANK(N949),0,R949*ROUND(O949,2))</f>
        <v>#DIV/0!</v>
      </c>
      <c r="T949" s="24" t="e">
        <f>ROUND(Q949,2)*R949</f>
        <v>#DIV/0!</v>
      </c>
      <c r="U949" s="95" t="e">
        <f>R949*dagenperjaar1</f>
        <v>#DIV/0!</v>
      </c>
      <c r="V949" s="25" t="e">
        <f>U949*ROUND(Q949,2)</f>
        <v>#DIV/0!</v>
      </c>
    </row>
    <row r="950" spans="1:22" x14ac:dyDescent="0.2">
      <c r="A950" s="92" t="s">
        <v>891</v>
      </c>
      <c r="B950" s="93" t="s">
        <v>47</v>
      </c>
      <c r="C950" s="93" t="s">
        <v>588</v>
      </c>
      <c r="D950" s="93" t="s">
        <v>47</v>
      </c>
      <c r="E950" s="94" t="s">
        <v>459</v>
      </c>
      <c r="F950" s="93" t="s">
        <v>892</v>
      </c>
      <c r="G950" s="93" t="s">
        <v>314</v>
      </c>
      <c r="H950" s="93" t="s">
        <v>13</v>
      </c>
      <c r="I950" s="93" t="s">
        <v>255</v>
      </c>
      <c r="J950" s="93" t="s">
        <v>47</v>
      </c>
      <c r="K950" s="93"/>
      <c r="L950" s="95">
        <v>47.96</v>
      </c>
      <c r="M950" s="95">
        <f>L950*VLOOKUP(H950,dagsoorttabel1,2,FALSE)</f>
        <v>37.615686274509805</v>
      </c>
      <c r="N950" s="96">
        <f>prodnorm88</f>
        <v>0</v>
      </c>
      <c r="O950" s="37">
        <f>dagwerk88</f>
        <v>0</v>
      </c>
      <c r="P950" s="93" t="s">
        <v>105</v>
      </c>
      <c r="Q950" s="24">
        <f>uurtarief88</f>
        <v>0</v>
      </c>
      <c r="R950" s="95" t="e">
        <f>IF(ISBLANK(N950),0,M950/ROUND(N950,4))</f>
        <v>#DIV/0!</v>
      </c>
      <c r="S950" s="95" t="e">
        <f>IF(ISBLANK(N950),0,R950*ROUND(O950,2))</f>
        <v>#DIV/0!</v>
      </c>
      <c r="T950" s="24" t="e">
        <f>ROUND(Q950,2)*R950</f>
        <v>#DIV/0!</v>
      </c>
      <c r="U950" s="95" t="e">
        <f>R950*dagenperjaar1</f>
        <v>#DIV/0!</v>
      </c>
      <c r="V950" s="25" t="e">
        <f>U950*ROUND(Q950,2)</f>
        <v>#DIV/0!</v>
      </c>
    </row>
    <row r="951" spans="1:22" x14ac:dyDescent="0.2">
      <c r="A951" s="92" t="s">
        <v>891</v>
      </c>
      <c r="B951" s="93" t="s">
        <v>47</v>
      </c>
      <c r="C951" s="93" t="s">
        <v>588</v>
      </c>
      <c r="D951" s="93" t="s">
        <v>47</v>
      </c>
      <c r="E951" s="94" t="s">
        <v>459</v>
      </c>
      <c r="F951" s="93" t="s">
        <v>892</v>
      </c>
      <c r="G951" s="93" t="s">
        <v>316</v>
      </c>
      <c r="H951" s="93" t="s">
        <v>13</v>
      </c>
      <c r="I951" s="93" t="s">
        <v>255</v>
      </c>
      <c r="J951" s="93" t="s">
        <v>47</v>
      </c>
      <c r="K951" s="93"/>
      <c r="L951" s="95">
        <v>47.96</v>
      </c>
      <c r="M951" s="95">
        <f>L951*VLOOKUP(H951,dagsoorttabel1,2,FALSE)</f>
        <v>37.615686274509805</v>
      </c>
      <c r="N951" s="96">
        <f>prodnorm93</f>
        <v>0</v>
      </c>
      <c r="O951" s="37">
        <f>dagwerk93</f>
        <v>0</v>
      </c>
      <c r="P951" s="93" t="s">
        <v>105</v>
      </c>
      <c r="Q951" s="24">
        <f>uurtarief93</f>
        <v>0</v>
      </c>
      <c r="R951" s="95" t="e">
        <f>IF(ISBLANK(N951),0,M951/ROUND(N951,4))</f>
        <v>#DIV/0!</v>
      </c>
      <c r="S951" s="95" t="e">
        <f>IF(ISBLANK(N951),0,R951*ROUND(O951,2))</f>
        <v>#DIV/0!</v>
      </c>
      <c r="T951" s="24" t="e">
        <f>ROUND(Q951,2)*R951</f>
        <v>#DIV/0!</v>
      </c>
      <c r="U951" s="95" t="e">
        <f>R951*dagenperjaar1</f>
        <v>#DIV/0!</v>
      </c>
      <c r="V951" s="25" t="e">
        <f>U951*ROUND(Q951,2)</f>
        <v>#DIV/0!</v>
      </c>
    </row>
    <row r="952" spans="1:22" x14ac:dyDescent="0.2">
      <c r="A952" s="92" t="s">
        <v>891</v>
      </c>
      <c r="B952" s="93" t="s">
        <v>47</v>
      </c>
      <c r="C952" s="93" t="s">
        <v>588</v>
      </c>
      <c r="D952" s="93" t="s">
        <v>47</v>
      </c>
      <c r="E952" s="94" t="s">
        <v>410</v>
      </c>
      <c r="F952" s="93" t="s">
        <v>517</v>
      </c>
      <c r="G952" s="93" t="s">
        <v>304</v>
      </c>
      <c r="H952" s="93" t="s">
        <v>13</v>
      </c>
      <c r="I952" s="93" t="s">
        <v>255</v>
      </c>
      <c r="J952" s="93" t="s">
        <v>47</v>
      </c>
      <c r="K952" s="93"/>
      <c r="L952" s="95">
        <v>11.18</v>
      </c>
      <c r="M952" s="95">
        <f>L952*VLOOKUP(H952,dagsoorttabel1,2,FALSE)</f>
        <v>8.7686274509803912</v>
      </c>
      <c r="N952" s="96">
        <f>prodnorm74</f>
        <v>0</v>
      </c>
      <c r="O952" s="37">
        <f>dagwerk74</f>
        <v>0</v>
      </c>
      <c r="P952" s="93" t="s">
        <v>105</v>
      </c>
      <c r="Q952" s="24">
        <f>uurtarief74</f>
        <v>0</v>
      </c>
      <c r="R952" s="95" t="e">
        <f>IF(ISBLANK(N952),0,M952/ROUND(N952,4))</f>
        <v>#DIV/0!</v>
      </c>
      <c r="S952" s="95" t="e">
        <f>IF(ISBLANK(N952),0,R952*ROUND(O952,2))</f>
        <v>#DIV/0!</v>
      </c>
      <c r="T952" s="24" t="e">
        <f>ROUND(Q952,2)*R952</f>
        <v>#DIV/0!</v>
      </c>
      <c r="U952" s="95" t="e">
        <f>R952*dagenperjaar1</f>
        <v>#DIV/0!</v>
      </c>
      <c r="V952" s="25" t="e">
        <f>U952*ROUND(Q952,2)</f>
        <v>#DIV/0!</v>
      </c>
    </row>
    <row r="953" spans="1:22" x14ac:dyDescent="0.2">
      <c r="A953" s="92" t="s">
        <v>891</v>
      </c>
      <c r="B953" s="93" t="s">
        <v>47</v>
      </c>
      <c r="C953" s="93" t="s">
        <v>588</v>
      </c>
      <c r="D953" s="93" t="s">
        <v>47</v>
      </c>
      <c r="E953" s="94" t="s">
        <v>410</v>
      </c>
      <c r="F953" s="93" t="s">
        <v>517</v>
      </c>
      <c r="G953" s="93" t="s">
        <v>306</v>
      </c>
      <c r="H953" s="93" t="s">
        <v>13</v>
      </c>
      <c r="I953" s="93" t="s">
        <v>255</v>
      </c>
      <c r="J953" s="93" t="s">
        <v>47</v>
      </c>
      <c r="K953" s="93"/>
      <c r="L953" s="95">
        <v>11.18</v>
      </c>
      <c r="M953" s="95">
        <f>L953*VLOOKUP(H953,dagsoorttabel1,2,FALSE)</f>
        <v>8.7686274509803912</v>
      </c>
      <c r="N953" s="96">
        <f>prodnorm78</f>
        <v>0</v>
      </c>
      <c r="O953" s="37">
        <f>dagwerk78</f>
        <v>0</v>
      </c>
      <c r="P953" s="93" t="s">
        <v>105</v>
      </c>
      <c r="Q953" s="24">
        <f>uurtarief78</f>
        <v>0</v>
      </c>
      <c r="R953" s="95" t="e">
        <f>IF(ISBLANK(N953),0,M953/ROUND(N953,4))</f>
        <v>#DIV/0!</v>
      </c>
      <c r="S953" s="95" t="e">
        <f>IF(ISBLANK(N953),0,R953*ROUND(O953,2))</f>
        <v>#DIV/0!</v>
      </c>
      <c r="T953" s="24" t="e">
        <f>ROUND(Q953,2)*R953</f>
        <v>#DIV/0!</v>
      </c>
      <c r="U953" s="95" t="e">
        <f>R953*dagenperjaar1</f>
        <v>#DIV/0!</v>
      </c>
      <c r="V953" s="25" t="e">
        <f>U953*ROUND(Q953,2)</f>
        <v>#DIV/0!</v>
      </c>
    </row>
    <row r="954" spans="1:22" x14ac:dyDescent="0.2">
      <c r="A954" s="92" t="s">
        <v>891</v>
      </c>
      <c r="B954" s="93" t="s">
        <v>47</v>
      </c>
      <c r="C954" s="93" t="s">
        <v>588</v>
      </c>
      <c r="D954" s="93" t="s">
        <v>47</v>
      </c>
      <c r="E954" s="94" t="s">
        <v>842</v>
      </c>
      <c r="F954" s="93" t="s">
        <v>517</v>
      </c>
      <c r="G954" s="93" t="s">
        <v>304</v>
      </c>
      <c r="H954" s="93" t="s">
        <v>13</v>
      </c>
      <c r="I954" s="93" t="s">
        <v>255</v>
      </c>
      <c r="J954" s="93" t="s">
        <v>47</v>
      </c>
      <c r="K954" s="93"/>
      <c r="L954" s="95">
        <v>3.32</v>
      </c>
      <c r="M954" s="95">
        <f>L954*VLOOKUP(H954,dagsoorttabel1,2,FALSE)</f>
        <v>2.6039215686274506</v>
      </c>
      <c r="N954" s="96">
        <f>prodnorm74</f>
        <v>0</v>
      </c>
      <c r="O954" s="37">
        <f>dagwerk74</f>
        <v>0</v>
      </c>
      <c r="P954" s="93" t="s">
        <v>105</v>
      </c>
      <c r="Q954" s="24">
        <f>uurtarief74</f>
        <v>0</v>
      </c>
      <c r="R954" s="95" t="e">
        <f>IF(ISBLANK(N954),0,M954/ROUND(N954,4))</f>
        <v>#DIV/0!</v>
      </c>
      <c r="S954" s="95" t="e">
        <f>IF(ISBLANK(N954),0,R954*ROUND(O954,2))</f>
        <v>#DIV/0!</v>
      </c>
      <c r="T954" s="24" t="e">
        <f>ROUND(Q954,2)*R954</f>
        <v>#DIV/0!</v>
      </c>
      <c r="U954" s="95" t="e">
        <f>R954*dagenperjaar1</f>
        <v>#DIV/0!</v>
      </c>
      <c r="V954" s="25" t="e">
        <f>U954*ROUND(Q954,2)</f>
        <v>#DIV/0!</v>
      </c>
    </row>
    <row r="955" spans="1:22" x14ac:dyDescent="0.2">
      <c r="A955" s="92" t="s">
        <v>891</v>
      </c>
      <c r="B955" s="93" t="s">
        <v>47</v>
      </c>
      <c r="C955" s="93" t="s">
        <v>588</v>
      </c>
      <c r="D955" s="93" t="s">
        <v>47</v>
      </c>
      <c r="E955" s="94" t="s">
        <v>842</v>
      </c>
      <c r="F955" s="93" t="s">
        <v>517</v>
      </c>
      <c r="G955" s="93" t="s">
        <v>306</v>
      </c>
      <c r="H955" s="93" t="s">
        <v>13</v>
      </c>
      <c r="I955" s="93" t="s">
        <v>255</v>
      </c>
      <c r="J955" s="93" t="s">
        <v>47</v>
      </c>
      <c r="K955" s="93"/>
      <c r="L955" s="95">
        <v>3.32</v>
      </c>
      <c r="M955" s="95">
        <f>L955*VLOOKUP(H955,dagsoorttabel1,2,FALSE)</f>
        <v>2.6039215686274506</v>
      </c>
      <c r="N955" s="96">
        <f>prodnorm78</f>
        <v>0</v>
      </c>
      <c r="O955" s="37">
        <f>dagwerk78</f>
        <v>0</v>
      </c>
      <c r="P955" s="93" t="s">
        <v>105</v>
      </c>
      <c r="Q955" s="24">
        <f>uurtarief78</f>
        <v>0</v>
      </c>
      <c r="R955" s="95" t="e">
        <f>IF(ISBLANK(N955),0,M955/ROUND(N955,4))</f>
        <v>#DIV/0!</v>
      </c>
      <c r="S955" s="95" t="e">
        <f>IF(ISBLANK(N955),0,R955*ROUND(O955,2))</f>
        <v>#DIV/0!</v>
      </c>
      <c r="T955" s="24" t="e">
        <f>ROUND(Q955,2)*R955</f>
        <v>#DIV/0!</v>
      </c>
      <c r="U955" s="95" t="e">
        <f>R955*dagenperjaar1</f>
        <v>#DIV/0!</v>
      </c>
      <c r="V955" s="25" t="e">
        <f>U955*ROUND(Q955,2)</f>
        <v>#DIV/0!</v>
      </c>
    </row>
    <row r="956" spans="1:22" x14ac:dyDescent="0.2">
      <c r="A956" s="92" t="s">
        <v>891</v>
      </c>
      <c r="B956" s="93" t="s">
        <v>47</v>
      </c>
      <c r="C956" s="93" t="s">
        <v>588</v>
      </c>
      <c r="D956" s="93" t="s">
        <v>47</v>
      </c>
      <c r="E956" s="94" t="s">
        <v>414</v>
      </c>
      <c r="F956" s="93" t="s">
        <v>517</v>
      </c>
      <c r="G956" s="93" t="s">
        <v>304</v>
      </c>
      <c r="H956" s="93" t="s">
        <v>13</v>
      </c>
      <c r="I956" s="93" t="s">
        <v>255</v>
      </c>
      <c r="J956" s="93" t="s">
        <v>47</v>
      </c>
      <c r="K956" s="93"/>
      <c r="L956" s="95">
        <v>12.58</v>
      </c>
      <c r="M956" s="95">
        <f>L956*VLOOKUP(H956,dagsoorttabel1,2,FALSE)</f>
        <v>9.8666666666666671</v>
      </c>
      <c r="N956" s="96">
        <f>prodnorm74</f>
        <v>0</v>
      </c>
      <c r="O956" s="37">
        <f>dagwerk74</f>
        <v>0</v>
      </c>
      <c r="P956" s="93" t="s">
        <v>105</v>
      </c>
      <c r="Q956" s="24">
        <f>uurtarief74</f>
        <v>0</v>
      </c>
      <c r="R956" s="95" t="e">
        <f>IF(ISBLANK(N956),0,M956/ROUND(N956,4))</f>
        <v>#DIV/0!</v>
      </c>
      <c r="S956" s="95" t="e">
        <f>IF(ISBLANK(N956),0,R956*ROUND(O956,2))</f>
        <v>#DIV/0!</v>
      </c>
      <c r="T956" s="24" t="e">
        <f>ROUND(Q956,2)*R956</f>
        <v>#DIV/0!</v>
      </c>
      <c r="U956" s="95" t="e">
        <f>R956*dagenperjaar1</f>
        <v>#DIV/0!</v>
      </c>
      <c r="V956" s="25" t="e">
        <f>U956*ROUND(Q956,2)</f>
        <v>#DIV/0!</v>
      </c>
    </row>
    <row r="957" spans="1:22" x14ac:dyDescent="0.2">
      <c r="A957" s="92" t="s">
        <v>891</v>
      </c>
      <c r="B957" s="93" t="s">
        <v>47</v>
      </c>
      <c r="C957" s="93" t="s">
        <v>588</v>
      </c>
      <c r="D957" s="93" t="s">
        <v>47</v>
      </c>
      <c r="E957" s="94" t="s">
        <v>414</v>
      </c>
      <c r="F957" s="93" t="s">
        <v>517</v>
      </c>
      <c r="G957" s="93" t="s">
        <v>306</v>
      </c>
      <c r="H957" s="93" t="s">
        <v>13</v>
      </c>
      <c r="I957" s="93" t="s">
        <v>255</v>
      </c>
      <c r="J957" s="93" t="s">
        <v>47</v>
      </c>
      <c r="K957" s="93"/>
      <c r="L957" s="95">
        <v>12.58</v>
      </c>
      <c r="M957" s="95">
        <f>L957*VLOOKUP(H957,dagsoorttabel1,2,FALSE)</f>
        <v>9.8666666666666671</v>
      </c>
      <c r="N957" s="96">
        <f>prodnorm78</f>
        <v>0</v>
      </c>
      <c r="O957" s="37">
        <f>dagwerk78</f>
        <v>0</v>
      </c>
      <c r="P957" s="93" t="s">
        <v>105</v>
      </c>
      <c r="Q957" s="24">
        <f>uurtarief78</f>
        <v>0</v>
      </c>
      <c r="R957" s="95" t="e">
        <f>IF(ISBLANK(N957),0,M957/ROUND(N957,4))</f>
        <v>#DIV/0!</v>
      </c>
      <c r="S957" s="95" t="e">
        <f>IF(ISBLANK(N957),0,R957*ROUND(O957,2))</f>
        <v>#DIV/0!</v>
      </c>
      <c r="T957" s="24" t="e">
        <f>ROUND(Q957,2)*R957</f>
        <v>#DIV/0!</v>
      </c>
      <c r="U957" s="95" t="e">
        <f>R957*dagenperjaar1</f>
        <v>#DIV/0!</v>
      </c>
      <c r="V957" s="25" t="e">
        <f>U957*ROUND(Q957,2)</f>
        <v>#DIV/0!</v>
      </c>
    </row>
    <row r="958" spans="1:22" x14ac:dyDescent="0.2">
      <c r="A958" s="92" t="s">
        <v>891</v>
      </c>
      <c r="B958" s="93" t="s">
        <v>47</v>
      </c>
      <c r="C958" s="93" t="s">
        <v>588</v>
      </c>
      <c r="D958" s="93" t="s">
        <v>47</v>
      </c>
      <c r="E958" s="94" t="s">
        <v>842</v>
      </c>
      <c r="F958" s="93" t="s">
        <v>517</v>
      </c>
      <c r="G958" s="93" t="s">
        <v>304</v>
      </c>
      <c r="H958" s="93" t="s">
        <v>13</v>
      </c>
      <c r="I958" s="93" t="s">
        <v>255</v>
      </c>
      <c r="J958" s="93" t="s">
        <v>47</v>
      </c>
      <c r="K958" s="93"/>
      <c r="L958" s="95">
        <v>3.32</v>
      </c>
      <c r="M958" s="95">
        <f>L958*VLOOKUP(H958,dagsoorttabel1,2,FALSE)</f>
        <v>2.6039215686274506</v>
      </c>
      <c r="N958" s="96">
        <f>prodnorm74</f>
        <v>0</v>
      </c>
      <c r="O958" s="37">
        <f>dagwerk74</f>
        <v>0</v>
      </c>
      <c r="P958" s="93" t="s">
        <v>105</v>
      </c>
      <c r="Q958" s="24">
        <f>uurtarief74</f>
        <v>0</v>
      </c>
      <c r="R958" s="95" t="e">
        <f>IF(ISBLANK(N958),0,M958/ROUND(N958,4))</f>
        <v>#DIV/0!</v>
      </c>
      <c r="S958" s="95" t="e">
        <f>IF(ISBLANK(N958),0,R958*ROUND(O958,2))</f>
        <v>#DIV/0!</v>
      </c>
      <c r="T958" s="24" t="e">
        <f>ROUND(Q958,2)*R958</f>
        <v>#DIV/0!</v>
      </c>
      <c r="U958" s="95" t="e">
        <f>R958*dagenperjaar1</f>
        <v>#DIV/0!</v>
      </c>
      <c r="V958" s="25" t="e">
        <f>U958*ROUND(Q958,2)</f>
        <v>#DIV/0!</v>
      </c>
    </row>
    <row r="959" spans="1:22" x14ac:dyDescent="0.2">
      <c r="A959" s="92" t="s">
        <v>891</v>
      </c>
      <c r="B959" s="93" t="s">
        <v>47</v>
      </c>
      <c r="C959" s="93" t="s">
        <v>588</v>
      </c>
      <c r="D959" s="93" t="s">
        <v>47</v>
      </c>
      <c r="E959" s="94" t="s">
        <v>842</v>
      </c>
      <c r="F959" s="93" t="s">
        <v>517</v>
      </c>
      <c r="G959" s="93" t="s">
        <v>306</v>
      </c>
      <c r="H959" s="93" t="s">
        <v>13</v>
      </c>
      <c r="I959" s="93" t="s">
        <v>255</v>
      </c>
      <c r="J959" s="93" t="s">
        <v>47</v>
      </c>
      <c r="K959" s="93"/>
      <c r="L959" s="95">
        <v>3.32</v>
      </c>
      <c r="M959" s="95">
        <f>L959*VLOOKUP(H959,dagsoorttabel1,2,FALSE)</f>
        <v>2.6039215686274506</v>
      </c>
      <c r="N959" s="96">
        <f>prodnorm78</f>
        <v>0</v>
      </c>
      <c r="O959" s="37">
        <f>dagwerk78</f>
        <v>0</v>
      </c>
      <c r="P959" s="93" t="s">
        <v>105</v>
      </c>
      <c r="Q959" s="24">
        <f>uurtarief78</f>
        <v>0</v>
      </c>
      <c r="R959" s="95" t="e">
        <f>IF(ISBLANK(N959),0,M959/ROUND(N959,4))</f>
        <v>#DIV/0!</v>
      </c>
      <c r="S959" s="95" t="e">
        <f>IF(ISBLANK(N959),0,R959*ROUND(O959,2))</f>
        <v>#DIV/0!</v>
      </c>
      <c r="T959" s="24" t="e">
        <f>ROUND(Q959,2)*R959</f>
        <v>#DIV/0!</v>
      </c>
      <c r="U959" s="95" t="e">
        <f>R959*dagenperjaar1</f>
        <v>#DIV/0!</v>
      </c>
      <c r="V959" s="25" t="e">
        <f>U959*ROUND(Q959,2)</f>
        <v>#DIV/0!</v>
      </c>
    </row>
    <row r="960" spans="1:22" x14ac:dyDescent="0.2">
      <c r="A960" s="92" t="s">
        <v>891</v>
      </c>
      <c r="B960" s="93" t="s">
        <v>47</v>
      </c>
      <c r="C960" s="93" t="s">
        <v>588</v>
      </c>
      <c r="D960" s="93" t="s">
        <v>47</v>
      </c>
      <c r="E960" s="94" t="s">
        <v>910</v>
      </c>
      <c r="F960" s="93" t="s">
        <v>892</v>
      </c>
      <c r="G960" s="93" t="s">
        <v>314</v>
      </c>
      <c r="H960" s="93" t="s">
        <v>13</v>
      </c>
      <c r="I960" s="93" t="s">
        <v>255</v>
      </c>
      <c r="J960" s="93" t="s">
        <v>47</v>
      </c>
      <c r="K960" s="93"/>
      <c r="L960" s="95">
        <v>21</v>
      </c>
      <c r="M960" s="95">
        <f>L960*VLOOKUP(H960,dagsoorttabel1,2,FALSE)</f>
        <v>16.470588235294116</v>
      </c>
      <c r="N960" s="96">
        <f>prodnorm88</f>
        <v>0</v>
      </c>
      <c r="O960" s="37">
        <f>dagwerk88</f>
        <v>0</v>
      </c>
      <c r="P960" s="93" t="s">
        <v>105</v>
      </c>
      <c r="Q960" s="24">
        <f>uurtarief88</f>
        <v>0</v>
      </c>
      <c r="R960" s="95" t="e">
        <f>IF(ISBLANK(N960),0,M960/ROUND(N960,4))</f>
        <v>#DIV/0!</v>
      </c>
      <c r="S960" s="95" t="e">
        <f>IF(ISBLANK(N960),0,R960*ROUND(O960,2))</f>
        <v>#DIV/0!</v>
      </c>
      <c r="T960" s="24" t="e">
        <f>ROUND(Q960,2)*R960</f>
        <v>#DIV/0!</v>
      </c>
      <c r="U960" s="95" t="e">
        <f>R960*dagenperjaar1</f>
        <v>#DIV/0!</v>
      </c>
      <c r="V960" s="25" t="e">
        <f>U960*ROUND(Q960,2)</f>
        <v>#DIV/0!</v>
      </c>
    </row>
    <row r="961" spans="1:22" x14ac:dyDescent="0.2">
      <c r="A961" s="97" t="s">
        <v>891</v>
      </c>
      <c r="B961" s="98" t="s">
        <v>47</v>
      </c>
      <c r="C961" s="98" t="s">
        <v>588</v>
      </c>
      <c r="D961" s="98" t="s">
        <v>47</v>
      </c>
      <c r="E961" s="99" t="s">
        <v>910</v>
      </c>
      <c r="F961" s="98" t="s">
        <v>892</v>
      </c>
      <c r="G961" s="98" t="s">
        <v>316</v>
      </c>
      <c r="H961" s="98" t="s">
        <v>13</v>
      </c>
      <c r="I961" s="98" t="s">
        <v>255</v>
      </c>
      <c r="J961" s="98" t="s">
        <v>47</v>
      </c>
      <c r="K961" s="98"/>
      <c r="L961" s="100">
        <v>21</v>
      </c>
      <c r="M961" s="100">
        <f>L961*VLOOKUP(H961,dagsoorttabel1,2,FALSE)</f>
        <v>16.470588235294116</v>
      </c>
      <c r="N961" s="101">
        <f>prodnorm93</f>
        <v>0</v>
      </c>
      <c r="O961" s="102">
        <f>dagwerk93</f>
        <v>0</v>
      </c>
      <c r="P961" s="98" t="s">
        <v>105</v>
      </c>
      <c r="Q961" s="34">
        <f>uurtarief93</f>
        <v>0</v>
      </c>
      <c r="R961" s="100" t="e">
        <f>IF(ISBLANK(N961),0,M961/ROUND(N961,4))</f>
        <v>#DIV/0!</v>
      </c>
      <c r="S961" s="100" t="e">
        <f>IF(ISBLANK(N961),0,R961*ROUND(O961,2))</f>
        <v>#DIV/0!</v>
      </c>
      <c r="T961" s="34" t="e">
        <f>ROUND(Q961,2)*R961</f>
        <v>#DIV/0!</v>
      </c>
      <c r="U961" s="100" t="e">
        <f>R961*dagenperjaar1</f>
        <v>#DIV/0!</v>
      </c>
      <c r="V961" s="35" t="e">
        <f>U961*ROUND(Q961,2)</f>
        <v>#DIV/0!</v>
      </c>
    </row>
    <row r="962" spans="1:22" x14ac:dyDescent="0.2">
      <c r="A962" s="103" t="s">
        <v>436</v>
      </c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5" t="e">
        <f>IF(_xlfn.SINGLE(object24_urenjaar1)&gt;0,_xlfn.SINGLE(object24_prijsjaar1)/_xlfn.SINGLE(object24_urenjaar1),0)</f>
        <v>#DIV/0!</v>
      </c>
      <c r="R962" s="74" t="e">
        <f>SUM(R888:R961)</f>
        <v>#DIV/0!</v>
      </c>
      <c r="S962" s="74" t="e">
        <f>SUM(S888:S961)</f>
        <v>#DIV/0!</v>
      </c>
      <c r="T962" s="75" t="e">
        <f>SUM(T888:T961)</f>
        <v>#DIV/0!</v>
      </c>
      <c r="U962" s="74" t="e">
        <f>SUM(U888:U961)</f>
        <v>#DIV/0!</v>
      </c>
      <c r="V962" s="76" t="e">
        <f>SUM(V888:V961)</f>
        <v>#DIV/0!</v>
      </c>
    </row>
    <row r="963" spans="1:22" ht="126" x14ac:dyDescent="0.2">
      <c r="A963" s="106" t="s">
        <v>911</v>
      </c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71"/>
    </row>
    <row r="964" spans="1:22" x14ac:dyDescent="0.2">
      <c r="A964" s="84" t="s">
        <v>912</v>
      </c>
      <c r="B964" s="85" t="s">
        <v>47</v>
      </c>
      <c r="C964" s="85" t="s">
        <v>394</v>
      </c>
      <c r="D964" s="85" t="s">
        <v>528</v>
      </c>
      <c r="E964" s="86" t="s">
        <v>525</v>
      </c>
      <c r="F964" s="85" t="s">
        <v>476</v>
      </c>
      <c r="G964" s="85" t="s">
        <v>274</v>
      </c>
      <c r="H964" s="85" t="s">
        <v>10</v>
      </c>
      <c r="I964" s="85" t="s">
        <v>255</v>
      </c>
      <c r="J964" s="85" t="s">
        <v>47</v>
      </c>
      <c r="K964" s="85"/>
      <c r="L964" s="87">
        <v>11</v>
      </c>
      <c r="M964" s="87">
        <f>L964*VLOOKUP(H964,dagsoorttabel1,2,FALSE)</f>
        <v>11</v>
      </c>
      <c r="N964" s="88">
        <f>prodnorm48</f>
        <v>0</v>
      </c>
      <c r="O964" s="89">
        <f>dagwerk48</f>
        <v>0</v>
      </c>
      <c r="P964" s="85" t="s">
        <v>105</v>
      </c>
      <c r="Q964" s="90">
        <f>uurtarief48</f>
        <v>0</v>
      </c>
      <c r="R964" s="87" t="e">
        <f>IF(ISBLANK(N964),0,M964/ROUND(N964,4))</f>
        <v>#DIV/0!</v>
      </c>
      <c r="S964" s="87" t="e">
        <f>IF(ISBLANK(N964),0,R964*ROUND(O964,2))</f>
        <v>#DIV/0!</v>
      </c>
      <c r="T964" s="90" t="e">
        <f>ROUND(Q964,2)*R964</f>
        <v>#DIV/0!</v>
      </c>
      <c r="U964" s="87" t="e">
        <f>R964*dagenperjaar1</f>
        <v>#DIV/0!</v>
      </c>
      <c r="V964" s="91" t="e">
        <f>U964*ROUND(Q964,2)</f>
        <v>#DIV/0!</v>
      </c>
    </row>
    <row r="965" spans="1:22" x14ac:dyDescent="0.2">
      <c r="A965" s="92" t="s">
        <v>912</v>
      </c>
      <c r="B965" s="93" t="s">
        <v>47</v>
      </c>
      <c r="C965" s="93" t="s">
        <v>394</v>
      </c>
      <c r="D965" s="93" t="s">
        <v>395</v>
      </c>
      <c r="E965" s="94" t="s">
        <v>465</v>
      </c>
      <c r="F965" s="93" t="s">
        <v>808</v>
      </c>
      <c r="G965" s="93" t="s">
        <v>314</v>
      </c>
      <c r="H965" s="93" t="s">
        <v>10</v>
      </c>
      <c r="I965" s="93" t="s">
        <v>255</v>
      </c>
      <c r="J965" s="93" t="s">
        <v>47</v>
      </c>
      <c r="K965" s="93"/>
      <c r="L965" s="95">
        <v>137.80000000000001</v>
      </c>
      <c r="M965" s="95">
        <f>L965*VLOOKUP(H965,dagsoorttabel1,2,FALSE)</f>
        <v>137.80000000000001</v>
      </c>
      <c r="N965" s="96">
        <f>prodnorm89</f>
        <v>0</v>
      </c>
      <c r="O965" s="37">
        <f>dagwerk89</f>
        <v>0</v>
      </c>
      <c r="P965" s="93" t="s">
        <v>105</v>
      </c>
      <c r="Q965" s="24">
        <f>uurtarief89</f>
        <v>0</v>
      </c>
      <c r="R965" s="95" t="e">
        <f>IF(ISBLANK(N965),0,M965/ROUND(N965,4))</f>
        <v>#DIV/0!</v>
      </c>
      <c r="S965" s="95" t="e">
        <f>IF(ISBLANK(N965),0,R965*ROUND(O965,2))</f>
        <v>#DIV/0!</v>
      </c>
      <c r="T965" s="24" t="e">
        <f>ROUND(Q965,2)*R965</f>
        <v>#DIV/0!</v>
      </c>
      <c r="U965" s="95" t="e">
        <f>R965*dagenperjaar1</f>
        <v>#DIV/0!</v>
      </c>
      <c r="V965" s="25" t="e">
        <f>U965*ROUND(Q965,2)</f>
        <v>#DIV/0!</v>
      </c>
    </row>
    <row r="966" spans="1:22" x14ac:dyDescent="0.2">
      <c r="A966" s="92" t="s">
        <v>912</v>
      </c>
      <c r="B966" s="93" t="s">
        <v>47</v>
      </c>
      <c r="C966" s="93" t="s">
        <v>394</v>
      </c>
      <c r="D966" s="93" t="s">
        <v>487</v>
      </c>
      <c r="E966" s="94" t="s">
        <v>531</v>
      </c>
      <c r="F966" s="93" t="s">
        <v>431</v>
      </c>
      <c r="G966" s="93" t="s">
        <v>314</v>
      </c>
      <c r="H966" s="93" t="s">
        <v>10</v>
      </c>
      <c r="I966" s="93" t="s">
        <v>255</v>
      </c>
      <c r="J966" s="93" t="s">
        <v>47</v>
      </c>
      <c r="K966" s="93"/>
      <c r="L966" s="95">
        <v>3</v>
      </c>
      <c r="M966" s="95">
        <f>L966*VLOOKUP(H966,dagsoorttabel1,2,FALSE)</f>
        <v>3</v>
      </c>
      <c r="N966" s="96">
        <f>prodnorm89</f>
        <v>0</v>
      </c>
      <c r="O966" s="37">
        <f>dagwerk89</f>
        <v>0</v>
      </c>
      <c r="P966" s="93" t="s">
        <v>105</v>
      </c>
      <c r="Q966" s="24">
        <f>uurtarief89</f>
        <v>0</v>
      </c>
      <c r="R966" s="95" t="e">
        <f>IF(ISBLANK(N966),0,M966/ROUND(N966,4))</f>
        <v>#DIV/0!</v>
      </c>
      <c r="S966" s="95" t="e">
        <f>IF(ISBLANK(N966),0,R966*ROUND(O966,2))</f>
        <v>#DIV/0!</v>
      </c>
      <c r="T966" s="24" t="e">
        <f>ROUND(Q966,2)*R966</f>
        <v>#DIV/0!</v>
      </c>
      <c r="U966" s="95" t="e">
        <f>R966*dagenperjaar1</f>
        <v>#DIV/0!</v>
      </c>
      <c r="V966" s="25" t="e">
        <f>U966*ROUND(Q966,2)</f>
        <v>#DIV/0!</v>
      </c>
    </row>
    <row r="967" spans="1:22" x14ac:dyDescent="0.2">
      <c r="A967" s="92" t="s">
        <v>912</v>
      </c>
      <c r="B967" s="93" t="s">
        <v>47</v>
      </c>
      <c r="C967" s="93" t="s">
        <v>394</v>
      </c>
      <c r="D967" s="93" t="s">
        <v>398</v>
      </c>
      <c r="E967" s="94" t="s">
        <v>913</v>
      </c>
      <c r="F967" s="93" t="s">
        <v>859</v>
      </c>
      <c r="G967" s="93" t="s">
        <v>314</v>
      </c>
      <c r="H967" s="93" t="s">
        <v>10</v>
      </c>
      <c r="I967" s="93" t="s">
        <v>255</v>
      </c>
      <c r="J967" s="93" t="s">
        <v>47</v>
      </c>
      <c r="K967" s="93"/>
      <c r="L967" s="95">
        <v>3.5</v>
      </c>
      <c r="M967" s="95">
        <f>L967*VLOOKUP(H967,dagsoorttabel1,2,FALSE)</f>
        <v>3.5</v>
      </c>
      <c r="N967" s="96">
        <f>prodnorm89</f>
        <v>0</v>
      </c>
      <c r="O967" s="37">
        <f>dagwerk89</f>
        <v>0</v>
      </c>
      <c r="P967" s="93" t="s">
        <v>105</v>
      </c>
      <c r="Q967" s="24">
        <f>uurtarief89</f>
        <v>0</v>
      </c>
      <c r="R967" s="95" t="e">
        <f>IF(ISBLANK(N967),0,M967/ROUND(N967,4))</f>
        <v>#DIV/0!</v>
      </c>
      <c r="S967" s="95" t="e">
        <f>IF(ISBLANK(N967),0,R967*ROUND(O967,2))</f>
        <v>#DIV/0!</v>
      </c>
      <c r="T967" s="24" t="e">
        <f>ROUND(Q967,2)*R967</f>
        <v>#DIV/0!</v>
      </c>
      <c r="U967" s="95" t="e">
        <f>R967*dagenperjaar1</f>
        <v>#DIV/0!</v>
      </c>
      <c r="V967" s="25" t="e">
        <f>U967*ROUND(Q967,2)</f>
        <v>#DIV/0!</v>
      </c>
    </row>
    <row r="968" spans="1:22" x14ac:dyDescent="0.2">
      <c r="A968" s="92" t="s">
        <v>912</v>
      </c>
      <c r="B968" s="93" t="s">
        <v>47</v>
      </c>
      <c r="C968" s="93" t="s">
        <v>394</v>
      </c>
      <c r="D968" s="93" t="s">
        <v>400</v>
      </c>
      <c r="E968" s="94" t="s">
        <v>525</v>
      </c>
      <c r="F968" s="93" t="s">
        <v>808</v>
      </c>
      <c r="G968" s="93" t="s">
        <v>270</v>
      </c>
      <c r="H968" s="93" t="s">
        <v>10</v>
      </c>
      <c r="I968" s="93" t="s">
        <v>255</v>
      </c>
      <c r="J968" s="93" t="s">
        <v>47</v>
      </c>
      <c r="K968" s="93"/>
      <c r="L968" s="95">
        <v>7</v>
      </c>
      <c r="M968" s="95">
        <f>L968*VLOOKUP(H968,dagsoorttabel1,2,FALSE)</f>
        <v>7</v>
      </c>
      <c r="N968" s="96">
        <f>prodnorm44</f>
        <v>0</v>
      </c>
      <c r="O968" s="37">
        <f>dagwerk44</f>
        <v>0</v>
      </c>
      <c r="P968" s="93" t="s">
        <v>105</v>
      </c>
      <c r="Q968" s="24">
        <f>uurtarief44</f>
        <v>0</v>
      </c>
      <c r="R968" s="95" t="e">
        <f>IF(ISBLANK(N968),0,M968/ROUND(N968,4))</f>
        <v>#DIV/0!</v>
      </c>
      <c r="S968" s="95" t="e">
        <f>IF(ISBLANK(N968),0,R968*ROUND(O968,2))</f>
        <v>#DIV/0!</v>
      </c>
      <c r="T968" s="24" t="e">
        <f>ROUND(Q968,2)*R968</f>
        <v>#DIV/0!</v>
      </c>
      <c r="U968" s="95" t="e">
        <f>R968*dagenperjaar1</f>
        <v>#DIV/0!</v>
      </c>
      <c r="V968" s="25" t="e">
        <f>U968*ROUND(Q968,2)</f>
        <v>#DIV/0!</v>
      </c>
    </row>
    <row r="969" spans="1:22" x14ac:dyDescent="0.2">
      <c r="A969" s="92" t="s">
        <v>912</v>
      </c>
      <c r="B969" s="93" t="s">
        <v>47</v>
      </c>
      <c r="C969" s="93" t="s">
        <v>394</v>
      </c>
      <c r="D969" s="93" t="s">
        <v>415</v>
      </c>
      <c r="E969" s="94" t="s">
        <v>532</v>
      </c>
      <c r="F969" s="93" t="s">
        <v>808</v>
      </c>
      <c r="G969" s="93" t="s">
        <v>259</v>
      </c>
      <c r="H969" s="93" t="s">
        <v>10</v>
      </c>
      <c r="I969" s="93" t="s">
        <v>255</v>
      </c>
      <c r="J969" s="93" t="s">
        <v>47</v>
      </c>
      <c r="K969" s="93"/>
      <c r="L969" s="95">
        <v>13.7</v>
      </c>
      <c r="M969" s="95">
        <f>L969*VLOOKUP(H969,dagsoorttabel1,2,FALSE)</f>
        <v>13.7</v>
      </c>
      <c r="N969" s="96">
        <f>prodnorm32</f>
        <v>0</v>
      </c>
      <c r="O969" s="37">
        <f>dagwerk32</f>
        <v>0</v>
      </c>
      <c r="P969" s="93" t="s">
        <v>105</v>
      </c>
      <c r="Q969" s="24">
        <f>uurtarief32</f>
        <v>0</v>
      </c>
      <c r="R969" s="95" t="e">
        <f>IF(ISBLANK(N969),0,M969/ROUND(N969,4))</f>
        <v>#DIV/0!</v>
      </c>
      <c r="S969" s="95" t="e">
        <f>IF(ISBLANK(N969),0,R969*ROUND(O969,2))</f>
        <v>#DIV/0!</v>
      </c>
      <c r="T969" s="24" t="e">
        <f>ROUND(Q969,2)*R969</f>
        <v>#DIV/0!</v>
      </c>
      <c r="U969" s="95" t="e">
        <f>R969*dagenperjaar1</f>
        <v>#DIV/0!</v>
      </c>
      <c r="V969" s="25" t="e">
        <f>U969*ROUND(Q969,2)</f>
        <v>#DIV/0!</v>
      </c>
    </row>
    <row r="970" spans="1:22" x14ac:dyDescent="0.2">
      <c r="A970" s="92" t="s">
        <v>912</v>
      </c>
      <c r="B970" s="93" t="s">
        <v>47</v>
      </c>
      <c r="C970" s="93" t="s">
        <v>394</v>
      </c>
      <c r="D970" s="93" t="s">
        <v>418</v>
      </c>
      <c r="E970" s="94" t="s">
        <v>914</v>
      </c>
      <c r="F970" s="93" t="s">
        <v>808</v>
      </c>
      <c r="G970" s="93" t="s">
        <v>259</v>
      </c>
      <c r="H970" s="93" t="s">
        <v>10</v>
      </c>
      <c r="I970" s="93" t="s">
        <v>255</v>
      </c>
      <c r="J970" s="93" t="s">
        <v>47</v>
      </c>
      <c r="K970" s="93"/>
      <c r="L970" s="95">
        <v>9.3000000000000007</v>
      </c>
      <c r="M970" s="95">
        <f>L970*VLOOKUP(H970,dagsoorttabel1,2,FALSE)</f>
        <v>9.3000000000000007</v>
      </c>
      <c r="N970" s="96">
        <f>prodnorm32</f>
        <v>0</v>
      </c>
      <c r="O970" s="37">
        <f>dagwerk32</f>
        <v>0</v>
      </c>
      <c r="P970" s="93" t="s">
        <v>105</v>
      </c>
      <c r="Q970" s="24">
        <f>uurtarief32</f>
        <v>0</v>
      </c>
      <c r="R970" s="95" t="e">
        <f>IF(ISBLANK(N970),0,M970/ROUND(N970,4))</f>
        <v>#DIV/0!</v>
      </c>
      <c r="S970" s="95" t="e">
        <f>IF(ISBLANK(N970),0,R970*ROUND(O970,2))</f>
        <v>#DIV/0!</v>
      </c>
      <c r="T970" s="24" t="e">
        <f>ROUND(Q970,2)*R970</f>
        <v>#DIV/0!</v>
      </c>
      <c r="U970" s="95" t="e">
        <f>R970*dagenperjaar1</f>
        <v>#DIV/0!</v>
      </c>
      <c r="V970" s="25" t="e">
        <f>U970*ROUND(Q970,2)</f>
        <v>#DIV/0!</v>
      </c>
    </row>
    <row r="971" spans="1:22" x14ac:dyDescent="0.2">
      <c r="A971" s="92" t="s">
        <v>912</v>
      </c>
      <c r="B971" s="93" t="s">
        <v>47</v>
      </c>
      <c r="C971" s="93" t="s">
        <v>394</v>
      </c>
      <c r="D971" s="93" t="s">
        <v>419</v>
      </c>
      <c r="E971" s="94" t="s">
        <v>915</v>
      </c>
      <c r="F971" s="93" t="s">
        <v>808</v>
      </c>
      <c r="G971" s="93" t="s">
        <v>259</v>
      </c>
      <c r="H971" s="93" t="s">
        <v>10</v>
      </c>
      <c r="I971" s="93" t="s">
        <v>255</v>
      </c>
      <c r="J971" s="93" t="s">
        <v>47</v>
      </c>
      <c r="K971" s="93"/>
      <c r="L971" s="95">
        <v>53.7</v>
      </c>
      <c r="M971" s="95">
        <f>L971*VLOOKUP(H971,dagsoorttabel1,2,FALSE)</f>
        <v>53.7</v>
      </c>
      <c r="N971" s="96">
        <f>prodnorm32</f>
        <v>0</v>
      </c>
      <c r="O971" s="37">
        <f>dagwerk32</f>
        <v>0</v>
      </c>
      <c r="P971" s="93" t="s">
        <v>105</v>
      </c>
      <c r="Q971" s="24">
        <f>uurtarief32</f>
        <v>0</v>
      </c>
      <c r="R971" s="95" t="e">
        <f>IF(ISBLANK(N971),0,M971/ROUND(N971,4))</f>
        <v>#DIV/0!</v>
      </c>
      <c r="S971" s="95" t="e">
        <f>IF(ISBLANK(N971),0,R971*ROUND(O971,2))</f>
        <v>#DIV/0!</v>
      </c>
      <c r="T971" s="24" t="e">
        <f>ROUND(Q971,2)*R971</f>
        <v>#DIV/0!</v>
      </c>
      <c r="U971" s="95" t="e">
        <f>R971*dagenperjaar1</f>
        <v>#DIV/0!</v>
      </c>
      <c r="V971" s="25" t="e">
        <f>U971*ROUND(Q971,2)</f>
        <v>#DIV/0!</v>
      </c>
    </row>
    <row r="972" spans="1:22" ht="25.2" x14ac:dyDescent="0.2">
      <c r="A972" s="92" t="s">
        <v>912</v>
      </c>
      <c r="B972" s="93" t="s">
        <v>47</v>
      </c>
      <c r="C972" s="93" t="s">
        <v>394</v>
      </c>
      <c r="D972" s="93" t="s">
        <v>420</v>
      </c>
      <c r="E972" s="94" t="s">
        <v>916</v>
      </c>
      <c r="F972" s="93" t="s">
        <v>808</v>
      </c>
      <c r="G972" s="93" t="s">
        <v>259</v>
      </c>
      <c r="H972" s="93" t="s">
        <v>10</v>
      </c>
      <c r="I972" s="93" t="s">
        <v>255</v>
      </c>
      <c r="J972" s="93" t="s">
        <v>47</v>
      </c>
      <c r="K972" s="93"/>
      <c r="L972" s="95">
        <v>53.7</v>
      </c>
      <c r="M972" s="95">
        <f>L972*VLOOKUP(H972,dagsoorttabel1,2,FALSE)</f>
        <v>53.7</v>
      </c>
      <c r="N972" s="96">
        <f>prodnorm32</f>
        <v>0</v>
      </c>
      <c r="O972" s="37">
        <f>dagwerk32</f>
        <v>0</v>
      </c>
      <c r="P972" s="93" t="s">
        <v>105</v>
      </c>
      <c r="Q972" s="24">
        <f>uurtarief32</f>
        <v>0</v>
      </c>
      <c r="R972" s="95" t="e">
        <f>IF(ISBLANK(N972),0,M972/ROUND(N972,4))</f>
        <v>#DIV/0!</v>
      </c>
      <c r="S972" s="95" t="e">
        <f>IF(ISBLANK(N972),0,R972*ROUND(O972,2))</f>
        <v>#DIV/0!</v>
      </c>
      <c r="T972" s="24" t="e">
        <f>ROUND(Q972,2)*R972</f>
        <v>#DIV/0!</v>
      </c>
      <c r="U972" s="95" t="e">
        <f>R972*dagenperjaar1</f>
        <v>#DIV/0!</v>
      </c>
      <c r="V972" s="25" t="e">
        <f>U972*ROUND(Q972,2)</f>
        <v>#DIV/0!</v>
      </c>
    </row>
    <row r="973" spans="1:22" x14ac:dyDescent="0.2">
      <c r="A973" s="92" t="s">
        <v>912</v>
      </c>
      <c r="B973" s="93" t="s">
        <v>47</v>
      </c>
      <c r="C973" s="93" t="s">
        <v>394</v>
      </c>
      <c r="D973" s="93" t="s">
        <v>422</v>
      </c>
      <c r="E973" s="94" t="s">
        <v>807</v>
      </c>
      <c r="F973" s="93" t="s">
        <v>456</v>
      </c>
      <c r="G973" s="93" t="s">
        <v>254</v>
      </c>
      <c r="H973" s="93" t="s">
        <v>24</v>
      </c>
      <c r="I973" s="93" t="s">
        <v>255</v>
      </c>
      <c r="J973" s="93" t="s">
        <v>47</v>
      </c>
      <c r="K973" s="93"/>
      <c r="L973" s="95">
        <v>13.3</v>
      </c>
      <c r="M973" s="95">
        <f>L973*VLOOKUP(H973,dagsoorttabel1,2,FALSE)</f>
        <v>0.62588235294117645</v>
      </c>
      <c r="N973" s="96">
        <f>prodnorm25</f>
        <v>0</v>
      </c>
      <c r="O973" s="37">
        <f>dagwerk25</f>
        <v>0</v>
      </c>
      <c r="P973" s="93" t="s">
        <v>105</v>
      </c>
      <c r="Q973" s="24">
        <f>uurtarief25</f>
        <v>0</v>
      </c>
      <c r="R973" s="95" t="e">
        <f>IF(ISBLANK(N973),0,M973/ROUND(N973,4))</f>
        <v>#DIV/0!</v>
      </c>
      <c r="S973" s="95" t="e">
        <f>IF(ISBLANK(N973),0,R973*ROUND(O973,2))</f>
        <v>#DIV/0!</v>
      </c>
      <c r="T973" s="24" t="e">
        <f>ROUND(Q973,2)*R973</f>
        <v>#DIV/0!</v>
      </c>
      <c r="U973" s="95" t="e">
        <f>R973*dagenperjaar1</f>
        <v>#DIV/0!</v>
      </c>
      <c r="V973" s="25" t="e">
        <f>U973*ROUND(Q973,2)</f>
        <v>#DIV/0!</v>
      </c>
    </row>
    <row r="974" spans="1:22" x14ac:dyDescent="0.2">
      <c r="A974" s="92" t="s">
        <v>912</v>
      </c>
      <c r="B974" s="93" t="s">
        <v>47</v>
      </c>
      <c r="C974" s="93" t="s">
        <v>394</v>
      </c>
      <c r="D974" s="93" t="s">
        <v>424</v>
      </c>
      <c r="E974" s="94" t="s">
        <v>763</v>
      </c>
      <c r="F974" s="93" t="s">
        <v>859</v>
      </c>
      <c r="G974" s="93" t="s">
        <v>294</v>
      </c>
      <c r="H974" s="93" t="s">
        <v>10</v>
      </c>
      <c r="I974" s="93" t="s">
        <v>255</v>
      </c>
      <c r="J974" s="93" t="s">
        <v>47</v>
      </c>
      <c r="K974" s="93"/>
      <c r="L974" s="95">
        <v>15.3</v>
      </c>
      <c r="M974" s="95">
        <f>L974*VLOOKUP(H974,dagsoorttabel1,2,FALSE)</f>
        <v>15.3</v>
      </c>
      <c r="N974" s="96">
        <f>prodnorm67</f>
        <v>0</v>
      </c>
      <c r="O974" s="37">
        <f>dagwerk67</f>
        <v>0</v>
      </c>
      <c r="P974" s="93" t="s">
        <v>105</v>
      </c>
      <c r="Q974" s="24">
        <f>uurtarief67</f>
        <v>0</v>
      </c>
      <c r="R974" s="95" t="e">
        <f>IF(ISBLANK(N974),0,M974/ROUND(N974,4))</f>
        <v>#DIV/0!</v>
      </c>
      <c r="S974" s="95" t="e">
        <f>IF(ISBLANK(N974),0,R974*ROUND(O974,2))</f>
        <v>#DIV/0!</v>
      </c>
      <c r="T974" s="24" t="e">
        <f>ROUND(Q974,2)*R974</f>
        <v>#DIV/0!</v>
      </c>
      <c r="U974" s="95" t="e">
        <f>R974*dagenperjaar1</f>
        <v>#DIV/0!</v>
      </c>
      <c r="V974" s="25" t="e">
        <f>U974*ROUND(Q974,2)</f>
        <v>#DIV/0!</v>
      </c>
    </row>
    <row r="975" spans="1:22" x14ac:dyDescent="0.2">
      <c r="A975" s="92" t="s">
        <v>912</v>
      </c>
      <c r="B975" s="93" t="s">
        <v>47</v>
      </c>
      <c r="C975" s="93" t="s">
        <v>394</v>
      </c>
      <c r="D975" s="93" t="s">
        <v>849</v>
      </c>
      <c r="E975" s="94" t="s">
        <v>763</v>
      </c>
      <c r="F975" s="93" t="s">
        <v>859</v>
      </c>
      <c r="G975" s="93" t="s">
        <v>294</v>
      </c>
      <c r="H975" s="93" t="s">
        <v>10</v>
      </c>
      <c r="I975" s="93" t="s">
        <v>255</v>
      </c>
      <c r="J975" s="93" t="s">
        <v>47</v>
      </c>
      <c r="K975" s="93"/>
      <c r="L975" s="95">
        <v>6</v>
      </c>
      <c r="M975" s="95">
        <f>L975*VLOOKUP(H975,dagsoorttabel1,2,FALSE)</f>
        <v>6</v>
      </c>
      <c r="N975" s="96">
        <f>prodnorm67</f>
        <v>0</v>
      </c>
      <c r="O975" s="37">
        <f>dagwerk67</f>
        <v>0</v>
      </c>
      <c r="P975" s="93" t="s">
        <v>105</v>
      </c>
      <c r="Q975" s="24">
        <f>uurtarief67</f>
        <v>0</v>
      </c>
      <c r="R975" s="95" t="e">
        <f>IF(ISBLANK(N975),0,M975/ROUND(N975,4))</f>
        <v>#DIV/0!</v>
      </c>
      <c r="S975" s="95" t="e">
        <f>IF(ISBLANK(N975),0,R975*ROUND(O975,2))</f>
        <v>#DIV/0!</v>
      </c>
      <c r="T975" s="24" t="e">
        <f>ROUND(Q975,2)*R975</f>
        <v>#DIV/0!</v>
      </c>
      <c r="U975" s="95" t="e">
        <f>R975*dagenperjaar1</f>
        <v>#DIV/0!</v>
      </c>
      <c r="V975" s="25" t="e">
        <f>U975*ROUND(Q975,2)</f>
        <v>#DIV/0!</v>
      </c>
    </row>
    <row r="976" spans="1:22" x14ac:dyDescent="0.2">
      <c r="A976" s="92" t="s">
        <v>912</v>
      </c>
      <c r="B976" s="93" t="s">
        <v>47</v>
      </c>
      <c r="C976" s="93" t="s">
        <v>394</v>
      </c>
      <c r="D976" s="93" t="s">
        <v>446</v>
      </c>
      <c r="E976" s="94" t="s">
        <v>467</v>
      </c>
      <c r="F976" s="93" t="s">
        <v>456</v>
      </c>
      <c r="G976" s="93" t="s">
        <v>254</v>
      </c>
      <c r="H976" s="93" t="s">
        <v>24</v>
      </c>
      <c r="I976" s="93" t="s">
        <v>255</v>
      </c>
      <c r="J976" s="93" t="s">
        <v>47</v>
      </c>
      <c r="K976" s="93"/>
      <c r="L976" s="95">
        <v>10.199999999999999</v>
      </c>
      <c r="M976" s="95">
        <f>L976*VLOOKUP(H976,dagsoorttabel1,2,FALSE)</f>
        <v>0.48</v>
      </c>
      <c r="N976" s="96">
        <f>prodnorm25</f>
        <v>0</v>
      </c>
      <c r="O976" s="37">
        <f>dagwerk25</f>
        <v>0</v>
      </c>
      <c r="P976" s="93" t="s">
        <v>105</v>
      </c>
      <c r="Q976" s="24">
        <f>uurtarief25</f>
        <v>0</v>
      </c>
      <c r="R976" s="95" t="e">
        <f>IF(ISBLANK(N976),0,M976/ROUND(N976,4))</f>
        <v>#DIV/0!</v>
      </c>
      <c r="S976" s="95" t="e">
        <f>IF(ISBLANK(N976),0,R976*ROUND(O976,2))</f>
        <v>#DIV/0!</v>
      </c>
      <c r="T976" s="24" t="e">
        <f>ROUND(Q976,2)*R976</f>
        <v>#DIV/0!</v>
      </c>
      <c r="U976" s="95" t="e">
        <f>R976*dagenperjaar1</f>
        <v>#DIV/0!</v>
      </c>
      <c r="V976" s="25" t="e">
        <f>U976*ROUND(Q976,2)</f>
        <v>#DIV/0!</v>
      </c>
    </row>
    <row r="977" spans="1:22" x14ac:dyDescent="0.2">
      <c r="A977" s="92" t="s">
        <v>912</v>
      </c>
      <c r="B977" s="93" t="s">
        <v>47</v>
      </c>
      <c r="C977" s="93" t="s">
        <v>394</v>
      </c>
      <c r="D977" s="93" t="s">
        <v>426</v>
      </c>
      <c r="E977" s="94" t="s">
        <v>917</v>
      </c>
      <c r="F977" s="93" t="s">
        <v>808</v>
      </c>
      <c r="G977" s="93" t="s">
        <v>314</v>
      </c>
      <c r="H977" s="93" t="s">
        <v>10</v>
      </c>
      <c r="I977" s="93" t="s">
        <v>255</v>
      </c>
      <c r="J977" s="93" t="s">
        <v>47</v>
      </c>
      <c r="K977" s="93"/>
      <c r="L977" s="95">
        <v>38.6</v>
      </c>
      <c r="M977" s="95">
        <f>L977*VLOOKUP(H977,dagsoorttabel1,2,FALSE)</f>
        <v>38.6</v>
      </c>
      <c r="N977" s="96">
        <f>prodnorm89</f>
        <v>0</v>
      </c>
      <c r="O977" s="37">
        <f>dagwerk89</f>
        <v>0</v>
      </c>
      <c r="P977" s="93" t="s">
        <v>105</v>
      </c>
      <c r="Q977" s="24">
        <f>uurtarief89</f>
        <v>0</v>
      </c>
      <c r="R977" s="95" t="e">
        <f>IF(ISBLANK(N977),0,M977/ROUND(N977,4))</f>
        <v>#DIV/0!</v>
      </c>
      <c r="S977" s="95" t="e">
        <f>IF(ISBLANK(N977),0,R977*ROUND(O977,2))</f>
        <v>#DIV/0!</v>
      </c>
      <c r="T977" s="24" t="e">
        <f>ROUND(Q977,2)*R977</f>
        <v>#DIV/0!</v>
      </c>
      <c r="U977" s="95" t="e">
        <f>R977*dagenperjaar1</f>
        <v>#DIV/0!</v>
      </c>
      <c r="V977" s="25" t="e">
        <f>U977*ROUND(Q977,2)</f>
        <v>#DIV/0!</v>
      </c>
    </row>
    <row r="978" spans="1:22" x14ac:dyDescent="0.2">
      <c r="A978" s="92" t="s">
        <v>912</v>
      </c>
      <c r="B978" s="93" t="s">
        <v>47</v>
      </c>
      <c r="C978" s="93" t="s">
        <v>394</v>
      </c>
      <c r="D978" s="93" t="s">
        <v>427</v>
      </c>
      <c r="E978" s="94" t="s">
        <v>918</v>
      </c>
      <c r="F978" s="93" t="s">
        <v>808</v>
      </c>
      <c r="G978" s="93" t="s">
        <v>314</v>
      </c>
      <c r="H978" s="93" t="s">
        <v>18</v>
      </c>
      <c r="I978" s="93" t="s">
        <v>255</v>
      </c>
      <c r="J978" s="93" t="s">
        <v>47</v>
      </c>
      <c r="K978" s="93"/>
      <c r="L978" s="95">
        <v>5</v>
      </c>
      <c r="M978" s="95">
        <f>L978*VLOOKUP(H978,dagsoorttabel1,2,FALSE)</f>
        <v>2</v>
      </c>
      <c r="N978" s="96">
        <f>prodnorm87</f>
        <v>0</v>
      </c>
      <c r="O978" s="37">
        <f>dagwerk87</f>
        <v>0</v>
      </c>
      <c r="P978" s="93" t="s">
        <v>105</v>
      </c>
      <c r="Q978" s="24">
        <f>uurtarief87</f>
        <v>0</v>
      </c>
      <c r="R978" s="95" t="e">
        <f>IF(ISBLANK(N978),0,M978/ROUND(N978,4))</f>
        <v>#DIV/0!</v>
      </c>
      <c r="S978" s="95" t="e">
        <f>IF(ISBLANK(N978),0,R978*ROUND(O978,2))</f>
        <v>#DIV/0!</v>
      </c>
      <c r="T978" s="24" t="e">
        <f>ROUND(Q978,2)*R978</f>
        <v>#DIV/0!</v>
      </c>
      <c r="U978" s="95" t="e">
        <f>R978*dagenperjaar1</f>
        <v>#DIV/0!</v>
      </c>
      <c r="V978" s="25" t="e">
        <f>U978*ROUND(Q978,2)</f>
        <v>#DIV/0!</v>
      </c>
    </row>
    <row r="979" spans="1:22" x14ac:dyDescent="0.2">
      <c r="A979" s="92" t="s">
        <v>912</v>
      </c>
      <c r="B979" s="93" t="s">
        <v>47</v>
      </c>
      <c r="C979" s="93" t="s">
        <v>394</v>
      </c>
      <c r="D979" s="93" t="s">
        <v>429</v>
      </c>
      <c r="E979" s="94" t="s">
        <v>532</v>
      </c>
      <c r="F979" s="93" t="s">
        <v>808</v>
      </c>
      <c r="G979" s="93" t="s">
        <v>263</v>
      </c>
      <c r="H979" s="93" t="s">
        <v>10</v>
      </c>
      <c r="I979" s="93" t="s">
        <v>255</v>
      </c>
      <c r="J979" s="93" t="s">
        <v>47</v>
      </c>
      <c r="K979" s="93"/>
      <c r="L979" s="95">
        <v>34</v>
      </c>
      <c r="M979" s="95">
        <f>L979*VLOOKUP(H979,dagsoorttabel1,2,FALSE)</f>
        <v>34</v>
      </c>
      <c r="N979" s="96">
        <f>prodnorm37</f>
        <v>0</v>
      </c>
      <c r="O979" s="37">
        <f>dagwerk37</f>
        <v>0</v>
      </c>
      <c r="P979" s="93" t="s">
        <v>105</v>
      </c>
      <c r="Q979" s="24">
        <f>uurtarief37</f>
        <v>0</v>
      </c>
      <c r="R979" s="95" t="e">
        <f>IF(ISBLANK(N979),0,M979/ROUND(N979,4))</f>
        <v>#DIV/0!</v>
      </c>
      <c r="S979" s="95" t="e">
        <f>IF(ISBLANK(N979),0,R979*ROUND(O979,2))</f>
        <v>#DIV/0!</v>
      </c>
      <c r="T979" s="24" t="e">
        <f>ROUND(Q979,2)*R979</f>
        <v>#DIV/0!</v>
      </c>
      <c r="U979" s="95" t="e">
        <f>R979*dagenperjaar1</f>
        <v>#DIV/0!</v>
      </c>
      <c r="V979" s="25" t="e">
        <f>U979*ROUND(Q979,2)</f>
        <v>#DIV/0!</v>
      </c>
    </row>
    <row r="980" spans="1:22" x14ac:dyDescent="0.2">
      <c r="A980" s="92" t="s">
        <v>912</v>
      </c>
      <c r="B980" s="93" t="s">
        <v>47</v>
      </c>
      <c r="C980" s="93" t="s">
        <v>394</v>
      </c>
      <c r="D980" s="93" t="s">
        <v>919</v>
      </c>
      <c r="E980" s="94" t="s">
        <v>532</v>
      </c>
      <c r="F980" s="93" t="s">
        <v>808</v>
      </c>
      <c r="G980" s="93" t="s">
        <v>259</v>
      </c>
      <c r="H980" s="93" t="s">
        <v>10</v>
      </c>
      <c r="I980" s="93" t="s">
        <v>255</v>
      </c>
      <c r="J980" s="93" t="s">
        <v>47</v>
      </c>
      <c r="K980" s="93"/>
      <c r="L980" s="95">
        <v>34</v>
      </c>
      <c r="M980" s="95">
        <f>L980*VLOOKUP(H980,dagsoorttabel1,2,FALSE)</f>
        <v>34</v>
      </c>
      <c r="N980" s="96">
        <f>prodnorm32</f>
        <v>0</v>
      </c>
      <c r="O980" s="37">
        <f>dagwerk32</f>
        <v>0</v>
      </c>
      <c r="P980" s="93" t="s">
        <v>105</v>
      </c>
      <c r="Q980" s="24">
        <f>uurtarief32</f>
        <v>0</v>
      </c>
      <c r="R980" s="95" t="e">
        <f>IF(ISBLANK(N980),0,M980/ROUND(N980,4))</f>
        <v>#DIV/0!</v>
      </c>
      <c r="S980" s="95" t="e">
        <f>IF(ISBLANK(N980),0,R980*ROUND(O980,2))</f>
        <v>#DIV/0!</v>
      </c>
      <c r="T980" s="24" t="e">
        <f>ROUND(Q980,2)*R980</f>
        <v>#DIV/0!</v>
      </c>
      <c r="U980" s="95" t="e">
        <f>R980*dagenperjaar1</f>
        <v>#DIV/0!</v>
      </c>
      <c r="V980" s="25" t="e">
        <f>U980*ROUND(Q980,2)</f>
        <v>#DIV/0!</v>
      </c>
    </row>
    <row r="981" spans="1:22" x14ac:dyDescent="0.2">
      <c r="A981" s="92" t="s">
        <v>912</v>
      </c>
      <c r="B981" s="93" t="s">
        <v>47</v>
      </c>
      <c r="C981" s="93" t="s">
        <v>394</v>
      </c>
      <c r="D981" s="93" t="s">
        <v>457</v>
      </c>
      <c r="E981" s="94" t="s">
        <v>920</v>
      </c>
      <c r="F981" s="93" t="s">
        <v>808</v>
      </c>
      <c r="G981" s="93" t="s">
        <v>304</v>
      </c>
      <c r="H981" s="93" t="s">
        <v>10</v>
      </c>
      <c r="I981" s="93" t="s">
        <v>255</v>
      </c>
      <c r="J981" s="93" t="s">
        <v>47</v>
      </c>
      <c r="K981" s="93"/>
      <c r="L981" s="95">
        <v>4.0999999999999996</v>
      </c>
      <c r="M981" s="95">
        <f>L981*VLOOKUP(H981,dagsoorttabel1,2,FALSE)</f>
        <v>4.0999999999999996</v>
      </c>
      <c r="N981" s="96">
        <f>prodnorm75</f>
        <v>0</v>
      </c>
      <c r="O981" s="37">
        <f>dagwerk75</f>
        <v>0</v>
      </c>
      <c r="P981" s="93" t="s">
        <v>105</v>
      </c>
      <c r="Q981" s="24">
        <f>uurtarief75</f>
        <v>0</v>
      </c>
      <c r="R981" s="95" t="e">
        <f>IF(ISBLANK(N981),0,M981/ROUND(N981,4))</f>
        <v>#DIV/0!</v>
      </c>
      <c r="S981" s="95" t="e">
        <f>IF(ISBLANK(N981),0,R981*ROUND(O981,2))</f>
        <v>#DIV/0!</v>
      </c>
      <c r="T981" s="24" t="e">
        <f>ROUND(Q981,2)*R981</f>
        <v>#DIV/0!</v>
      </c>
      <c r="U981" s="95" t="e">
        <f>R981*dagenperjaar1</f>
        <v>#DIV/0!</v>
      </c>
      <c r="V981" s="25" t="e">
        <f>U981*ROUND(Q981,2)</f>
        <v>#DIV/0!</v>
      </c>
    </row>
    <row r="982" spans="1:22" x14ac:dyDescent="0.2">
      <c r="A982" s="92" t="s">
        <v>912</v>
      </c>
      <c r="B982" s="93" t="s">
        <v>47</v>
      </c>
      <c r="C982" s="93" t="s">
        <v>394</v>
      </c>
      <c r="D982" s="93" t="s">
        <v>458</v>
      </c>
      <c r="E982" s="94" t="s">
        <v>423</v>
      </c>
      <c r="F982" s="93" t="s">
        <v>859</v>
      </c>
      <c r="G982" s="93" t="s">
        <v>304</v>
      </c>
      <c r="H982" s="93" t="s">
        <v>10</v>
      </c>
      <c r="I982" s="93" t="s">
        <v>255</v>
      </c>
      <c r="J982" s="93" t="s">
        <v>47</v>
      </c>
      <c r="K982" s="93"/>
      <c r="L982" s="95">
        <v>3.9</v>
      </c>
      <c r="M982" s="95">
        <f>L982*VLOOKUP(H982,dagsoorttabel1,2,FALSE)</f>
        <v>3.9</v>
      </c>
      <c r="N982" s="96">
        <f>prodnorm75</f>
        <v>0</v>
      </c>
      <c r="O982" s="37">
        <f>dagwerk75</f>
        <v>0</v>
      </c>
      <c r="P982" s="93" t="s">
        <v>105</v>
      </c>
      <c r="Q982" s="24">
        <f>uurtarief75</f>
        <v>0</v>
      </c>
      <c r="R982" s="95" t="e">
        <f>IF(ISBLANK(N982),0,M982/ROUND(N982,4))</f>
        <v>#DIV/0!</v>
      </c>
      <c r="S982" s="95" t="e">
        <f>IF(ISBLANK(N982),0,R982*ROUND(O982,2))</f>
        <v>#DIV/0!</v>
      </c>
      <c r="T982" s="24" t="e">
        <f>ROUND(Q982,2)*R982</f>
        <v>#DIV/0!</v>
      </c>
      <c r="U982" s="95" t="e">
        <f>R982*dagenperjaar1</f>
        <v>#DIV/0!</v>
      </c>
      <c r="V982" s="25" t="e">
        <f>U982*ROUND(Q982,2)</f>
        <v>#DIV/0!</v>
      </c>
    </row>
    <row r="983" spans="1:22" x14ac:dyDescent="0.2">
      <c r="A983" s="92" t="s">
        <v>912</v>
      </c>
      <c r="B983" s="93" t="s">
        <v>47</v>
      </c>
      <c r="C983" s="93" t="s">
        <v>394</v>
      </c>
      <c r="D983" s="93" t="s">
        <v>460</v>
      </c>
      <c r="E983" s="94" t="s">
        <v>423</v>
      </c>
      <c r="F983" s="93" t="s">
        <v>859</v>
      </c>
      <c r="G983" s="93" t="s">
        <v>304</v>
      </c>
      <c r="H983" s="93" t="s">
        <v>10</v>
      </c>
      <c r="I983" s="93" t="s">
        <v>255</v>
      </c>
      <c r="J983" s="93" t="s">
        <v>47</v>
      </c>
      <c r="K983" s="93"/>
      <c r="L983" s="95">
        <v>5.6</v>
      </c>
      <c r="M983" s="95">
        <f>L983*VLOOKUP(H983,dagsoorttabel1,2,FALSE)</f>
        <v>5.6</v>
      </c>
      <c r="N983" s="96">
        <f>prodnorm75</f>
        <v>0</v>
      </c>
      <c r="O983" s="37">
        <f>dagwerk75</f>
        <v>0</v>
      </c>
      <c r="P983" s="93" t="s">
        <v>105</v>
      </c>
      <c r="Q983" s="24">
        <f>uurtarief75</f>
        <v>0</v>
      </c>
      <c r="R983" s="95" t="e">
        <f>IF(ISBLANK(N983),0,M983/ROUND(N983,4))</f>
        <v>#DIV/0!</v>
      </c>
      <c r="S983" s="95" t="e">
        <f>IF(ISBLANK(N983),0,R983*ROUND(O983,2))</f>
        <v>#DIV/0!</v>
      </c>
      <c r="T983" s="24" t="e">
        <f>ROUND(Q983,2)*R983</f>
        <v>#DIV/0!</v>
      </c>
      <c r="U983" s="95" t="e">
        <f>R983*dagenperjaar1</f>
        <v>#DIV/0!</v>
      </c>
      <c r="V983" s="25" t="e">
        <f>U983*ROUND(Q983,2)</f>
        <v>#DIV/0!</v>
      </c>
    </row>
    <row r="984" spans="1:22" x14ac:dyDescent="0.2">
      <c r="A984" s="92" t="s">
        <v>912</v>
      </c>
      <c r="B984" s="93" t="s">
        <v>47</v>
      </c>
      <c r="C984" s="93" t="s">
        <v>394</v>
      </c>
      <c r="D984" s="93" t="s">
        <v>461</v>
      </c>
      <c r="E984" s="94" t="s">
        <v>921</v>
      </c>
      <c r="F984" s="93" t="s">
        <v>808</v>
      </c>
      <c r="G984" s="93" t="s">
        <v>304</v>
      </c>
      <c r="H984" s="93" t="s">
        <v>10</v>
      </c>
      <c r="I984" s="93" t="s">
        <v>255</v>
      </c>
      <c r="J984" s="93" t="s">
        <v>47</v>
      </c>
      <c r="K984" s="93"/>
      <c r="L984" s="95">
        <v>6</v>
      </c>
      <c r="M984" s="95">
        <f>L984*VLOOKUP(H984,dagsoorttabel1,2,FALSE)</f>
        <v>6</v>
      </c>
      <c r="N984" s="96">
        <f>prodnorm75</f>
        <v>0</v>
      </c>
      <c r="O984" s="37">
        <f>dagwerk75</f>
        <v>0</v>
      </c>
      <c r="P984" s="93" t="s">
        <v>105</v>
      </c>
      <c r="Q984" s="24">
        <f>uurtarief75</f>
        <v>0</v>
      </c>
      <c r="R984" s="95" t="e">
        <f>IF(ISBLANK(N984),0,M984/ROUND(N984,4))</f>
        <v>#DIV/0!</v>
      </c>
      <c r="S984" s="95" t="e">
        <f>IF(ISBLANK(N984),0,R984*ROUND(O984,2))</f>
        <v>#DIV/0!</v>
      </c>
      <c r="T984" s="24" t="e">
        <f>ROUND(Q984,2)*R984</f>
        <v>#DIV/0!</v>
      </c>
      <c r="U984" s="95" t="e">
        <f>R984*dagenperjaar1</f>
        <v>#DIV/0!</v>
      </c>
      <c r="V984" s="25" t="e">
        <f>U984*ROUND(Q984,2)</f>
        <v>#DIV/0!</v>
      </c>
    </row>
    <row r="985" spans="1:22" x14ac:dyDescent="0.2">
      <c r="A985" s="92" t="s">
        <v>912</v>
      </c>
      <c r="B985" s="93" t="s">
        <v>47</v>
      </c>
      <c r="C985" s="93" t="s">
        <v>394</v>
      </c>
      <c r="D985" s="93" t="s">
        <v>562</v>
      </c>
      <c r="E985" s="94" t="s">
        <v>714</v>
      </c>
      <c r="F985" s="93" t="s">
        <v>808</v>
      </c>
      <c r="G985" s="93" t="s">
        <v>314</v>
      </c>
      <c r="H985" s="93" t="s">
        <v>10</v>
      </c>
      <c r="I985" s="93" t="s">
        <v>255</v>
      </c>
      <c r="J985" s="93" t="s">
        <v>47</v>
      </c>
      <c r="K985" s="93"/>
      <c r="L985" s="95">
        <v>6.5</v>
      </c>
      <c r="M985" s="95">
        <f>L985*VLOOKUP(H985,dagsoorttabel1,2,FALSE)</f>
        <v>6.5</v>
      </c>
      <c r="N985" s="96">
        <f>prodnorm89</f>
        <v>0</v>
      </c>
      <c r="O985" s="37">
        <f>dagwerk89</f>
        <v>0</v>
      </c>
      <c r="P985" s="93" t="s">
        <v>105</v>
      </c>
      <c r="Q985" s="24">
        <f>uurtarief89</f>
        <v>0</v>
      </c>
      <c r="R985" s="95" t="e">
        <f>IF(ISBLANK(N985),0,M985/ROUND(N985,4))</f>
        <v>#DIV/0!</v>
      </c>
      <c r="S985" s="95" t="e">
        <f>IF(ISBLANK(N985),0,R985*ROUND(O985,2))</f>
        <v>#DIV/0!</v>
      </c>
      <c r="T985" s="24" t="e">
        <f>ROUND(Q985,2)*R985</f>
        <v>#DIV/0!</v>
      </c>
      <c r="U985" s="95" t="e">
        <f>R985*dagenperjaar1</f>
        <v>#DIV/0!</v>
      </c>
      <c r="V985" s="25" t="e">
        <f>U985*ROUND(Q985,2)</f>
        <v>#DIV/0!</v>
      </c>
    </row>
    <row r="986" spans="1:22" x14ac:dyDescent="0.2">
      <c r="A986" s="92" t="s">
        <v>912</v>
      </c>
      <c r="B986" s="93" t="s">
        <v>47</v>
      </c>
      <c r="C986" s="93" t="s">
        <v>394</v>
      </c>
      <c r="D986" s="93" t="s">
        <v>679</v>
      </c>
      <c r="E986" s="94" t="s">
        <v>922</v>
      </c>
      <c r="F986" s="93" t="s">
        <v>808</v>
      </c>
      <c r="G986" s="93" t="s">
        <v>259</v>
      </c>
      <c r="H986" s="93" t="s">
        <v>10</v>
      </c>
      <c r="I986" s="93" t="s">
        <v>255</v>
      </c>
      <c r="J986" s="93" t="s">
        <v>47</v>
      </c>
      <c r="K986" s="93"/>
      <c r="L986" s="95">
        <v>13.7</v>
      </c>
      <c r="M986" s="95">
        <f>L986*VLOOKUP(H986,dagsoorttabel1,2,FALSE)</f>
        <v>13.7</v>
      </c>
      <c r="N986" s="96">
        <f>prodnorm32</f>
        <v>0</v>
      </c>
      <c r="O986" s="37">
        <f>dagwerk32</f>
        <v>0</v>
      </c>
      <c r="P986" s="93" t="s">
        <v>105</v>
      </c>
      <c r="Q986" s="24">
        <f>uurtarief32</f>
        <v>0</v>
      </c>
      <c r="R986" s="95" t="e">
        <f>IF(ISBLANK(N986),0,M986/ROUND(N986,4))</f>
        <v>#DIV/0!</v>
      </c>
      <c r="S986" s="95" t="e">
        <f>IF(ISBLANK(N986),0,R986*ROUND(O986,2))</f>
        <v>#DIV/0!</v>
      </c>
      <c r="T986" s="24" t="e">
        <f>ROUND(Q986,2)*R986</f>
        <v>#DIV/0!</v>
      </c>
      <c r="U986" s="95" t="e">
        <f>R986*dagenperjaar1</f>
        <v>#DIV/0!</v>
      </c>
      <c r="V986" s="25" t="e">
        <f>U986*ROUND(Q986,2)</f>
        <v>#DIV/0!</v>
      </c>
    </row>
    <row r="987" spans="1:22" x14ac:dyDescent="0.2">
      <c r="A987" s="97" t="s">
        <v>912</v>
      </c>
      <c r="B987" s="98" t="s">
        <v>47</v>
      </c>
      <c r="C987" s="98" t="s">
        <v>394</v>
      </c>
      <c r="D987" s="98" t="s">
        <v>923</v>
      </c>
      <c r="E987" s="99" t="s">
        <v>922</v>
      </c>
      <c r="F987" s="98" t="s">
        <v>808</v>
      </c>
      <c r="G987" s="98" t="s">
        <v>259</v>
      </c>
      <c r="H987" s="98" t="s">
        <v>10</v>
      </c>
      <c r="I987" s="98" t="s">
        <v>255</v>
      </c>
      <c r="J987" s="98" t="s">
        <v>47</v>
      </c>
      <c r="K987" s="98"/>
      <c r="L987" s="100">
        <v>13.7</v>
      </c>
      <c r="M987" s="100">
        <f>L987*VLOOKUP(H987,dagsoorttabel1,2,FALSE)</f>
        <v>13.7</v>
      </c>
      <c r="N987" s="101">
        <f>prodnorm32</f>
        <v>0</v>
      </c>
      <c r="O987" s="102">
        <f>dagwerk32</f>
        <v>0</v>
      </c>
      <c r="P987" s="98" t="s">
        <v>105</v>
      </c>
      <c r="Q987" s="34">
        <f>uurtarief32</f>
        <v>0</v>
      </c>
      <c r="R987" s="100" t="e">
        <f>IF(ISBLANK(N987),0,M987/ROUND(N987,4))</f>
        <v>#DIV/0!</v>
      </c>
      <c r="S987" s="100" t="e">
        <f>IF(ISBLANK(N987),0,R987*ROUND(O987,2))</f>
        <v>#DIV/0!</v>
      </c>
      <c r="T987" s="34" t="e">
        <f>ROUND(Q987,2)*R987</f>
        <v>#DIV/0!</v>
      </c>
      <c r="U987" s="100" t="e">
        <f>R987*dagenperjaar1</f>
        <v>#DIV/0!</v>
      </c>
      <c r="V987" s="35" t="e">
        <f>U987*ROUND(Q987,2)</f>
        <v>#DIV/0!</v>
      </c>
    </row>
    <row r="988" spans="1:22" x14ac:dyDescent="0.2">
      <c r="A988" s="103" t="s">
        <v>436</v>
      </c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5" t="e">
        <f>IF(_xlfn.SINGLE(object25_urenjaar1)&gt;0,_xlfn.SINGLE(object25_prijsjaar1)/_xlfn.SINGLE(object25_urenjaar1),0)</f>
        <v>#DIV/0!</v>
      </c>
      <c r="R988" s="74" t="e">
        <f>SUM(R964:R987)</f>
        <v>#DIV/0!</v>
      </c>
      <c r="S988" s="74" t="e">
        <f>SUM(S964:S987)</f>
        <v>#DIV/0!</v>
      </c>
      <c r="T988" s="75" t="e">
        <f>SUM(T964:T987)</f>
        <v>#DIV/0!</v>
      </c>
      <c r="U988" s="74" t="e">
        <f>SUM(U964:U987)</f>
        <v>#DIV/0!</v>
      </c>
      <c r="V988" s="76" t="e">
        <f>SUM(V964:V987)</f>
        <v>#DIV/0!</v>
      </c>
    </row>
    <row r="989" spans="1:22" x14ac:dyDescent="0.2">
      <c r="A989" s="83" t="s">
        <v>924</v>
      </c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71"/>
    </row>
    <row r="990" spans="1:22" x14ac:dyDescent="0.2">
      <c r="A990" s="84" t="s">
        <v>925</v>
      </c>
      <c r="B990" s="85" t="s">
        <v>47</v>
      </c>
      <c r="C990" s="85" t="s">
        <v>394</v>
      </c>
      <c r="D990" s="85" t="s">
        <v>395</v>
      </c>
      <c r="E990" s="86" t="s">
        <v>926</v>
      </c>
      <c r="F990" s="85" t="s">
        <v>442</v>
      </c>
      <c r="G990" s="85" t="s">
        <v>284</v>
      </c>
      <c r="H990" s="85" t="s">
        <v>10</v>
      </c>
      <c r="I990" s="85" t="s">
        <v>255</v>
      </c>
      <c r="J990" s="85" t="s">
        <v>47</v>
      </c>
      <c r="K990" s="85"/>
      <c r="L990" s="87">
        <v>26.84</v>
      </c>
      <c r="M990" s="87">
        <f>L990*VLOOKUP(H990,dagsoorttabel1,2,FALSE)</f>
        <v>26.84</v>
      </c>
      <c r="N990" s="88">
        <f>prodnorm59</f>
        <v>0</v>
      </c>
      <c r="O990" s="89">
        <f>dagwerk59</f>
        <v>0</v>
      </c>
      <c r="P990" s="85" t="s">
        <v>105</v>
      </c>
      <c r="Q990" s="90">
        <f>uurtarief59</f>
        <v>0</v>
      </c>
      <c r="R990" s="87" t="e">
        <f>IF(ISBLANK(N990),0,M990/ROUND(N990,4))</f>
        <v>#DIV/0!</v>
      </c>
      <c r="S990" s="87" t="e">
        <f>IF(ISBLANK(N990),0,R990*ROUND(O990,2))</f>
        <v>#DIV/0!</v>
      </c>
      <c r="T990" s="90" t="e">
        <f>ROUND(Q990,2)*R990</f>
        <v>#DIV/0!</v>
      </c>
      <c r="U990" s="87" t="e">
        <f>R990*dagenperjaar1</f>
        <v>#DIV/0!</v>
      </c>
      <c r="V990" s="91" t="e">
        <f>U990*ROUND(Q990,2)</f>
        <v>#DIV/0!</v>
      </c>
    </row>
    <row r="991" spans="1:22" x14ac:dyDescent="0.2">
      <c r="A991" s="92" t="s">
        <v>925</v>
      </c>
      <c r="B991" s="93" t="s">
        <v>47</v>
      </c>
      <c r="C991" s="93" t="s">
        <v>394</v>
      </c>
      <c r="D991" s="93" t="s">
        <v>398</v>
      </c>
      <c r="E991" s="94" t="s">
        <v>926</v>
      </c>
      <c r="F991" s="93" t="s">
        <v>442</v>
      </c>
      <c r="G991" s="93" t="s">
        <v>284</v>
      </c>
      <c r="H991" s="93" t="s">
        <v>10</v>
      </c>
      <c r="I991" s="93" t="s">
        <v>255</v>
      </c>
      <c r="J991" s="93" t="s">
        <v>47</v>
      </c>
      <c r="K991" s="93"/>
      <c r="L991" s="95">
        <v>26.84</v>
      </c>
      <c r="M991" s="95">
        <f>L991*VLOOKUP(H991,dagsoorttabel1,2,FALSE)</f>
        <v>26.84</v>
      </c>
      <c r="N991" s="96">
        <f>prodnorm59</f>
        <v>0</v>
      </c>
      <c r="O991" s="37">
        <f>dagwerk59</f>
        <v>0</v>
      </c>
      <c r="P991" s="93" t="s">
        <v>105</v>
      </c>
      <c r="Q991" s="24">
        <f>uurtarief59</f>
        <v>0</v>
      </c>
      <c r="R991" s="95" t="e">
        <f>IF(ISBLANK(N991),0,M991/ROUND(N991,4))</f>
        <v>#DIV/0!</v>
      </c>
      <c r="S991" s="95" t="e">
        <f>IF(ISBLANK(N991),0,R991*ROUND(O991,2))</f>
        <v>#DIV/0!</v>
      </c>
      <c r="T991" s="24" t="e">
        <f>ROUND(Q991,2)*R991</f>
        <v>#DIV/0!</v>
      </c>
      <c r="U991" s="95" t="e">
        <f>R991*dagenperjaar1</f>
        <v>#DIV/0!</v>
      </c>
      <c r="V991" s="25" t="e">
        <f>U991*ROUND(Q991,2)</f>
        <v>#DIV/0!</v>
      </c>
    </row>
    <row r="992" spans="1:22" x14ac:dyDescent="0.2">
      <c r="A992" s="92" t="s">
        <v>925</v>
      </c>
      <c r="B992" s="93" t="s">
        <v>47</v>
      </c>
      <c r="C992" s="93" t="s">
        <v>394</v>
      </c>
      <c r="D992" s="93" t="s">
        <v>400</v>
      </c>
      <c r="E992" s="94" t="s">
        <v>926</v>
      </c>
      <c r="F992" s="93" t="s">
        <v>442</v>
      </c>
      <c r="G992" s="93" t="s">
        <v>284</v>
      </c>
      <c r="H992" s="93" t="s">
        <v>10</v>
      </c>
      <c r="I992" s="93" t="s">
        <v>255</v>
      </c>
      <c r="J992" s="93" t="s">
        <v>47</v>
      </c>
      <c r="K992" s="93"/>
      <c r="L992" s="95">
        <v>25.38</v>
      </c>
      <c r="M992" s="95">
        <f>L992*VLOOKUP(H992,dagsoorttabel1,2,FALSE)</f>
        <v>25.38</v>
      </c>
      <c r="N992" s="96">
        <f>prodnorm59</f>
        <v>0</v>
      </c>
      <c r="O992" s="37">
        <f>dagwerk59</f>
        <v>0</v>
      </c>
      <c r="P992" s="93" t="s">
        <v>105</v>
      </c>
      <c r="Q992" s="24">
        <f>uurtarief59</f>
        <v>0</v>
      </c>
      <c r="R992" s="95" t="e">
        <f>IF(ISBLANK(N992),0,M992/ROUND(N992,4))</f>
        <v>#DIV/0!</v>
      </c>
      <c r="S992" s="95" t="e">
        <f>IF(ISBLANK(N992),0,R992*ROUND(O992,2))</f>
        <v>#DIV/0!</v>
      </c>
      <c r="T992" s="24" t="e">
        <f>ROUND(Q992,2)*R992</f>
        <v>#DIV/0!</v>
      </c>
      <c r="U992" s="95" t="e">
        <f>R992*dagenperjaar1</f>
        <v>#DIV/0!</v>
      </c>
      <c r="V992" s="25" t="e">
        <f>U992*ROUND(Q992,2)</f>
        <v>#DIV/0!</v>
      </c>
    </row>
    <row r="993" spans="1:22" x14ac:dyDescent="0.2">
      <c r="A993" s="92" t="s">
        <v>925</v>
      </c>
      <c r="B993" s="93" t="s">
        <v>47</v>
      </c>
      <c r="C993" s="93" t="s">
        <v>394</v>
      </c>
      <c r="D993" s="93" t="s">
        <v>402</v>
      </c>
      <c r="E993" s="94" t="s">
        <v>926</v>
      </c>
      <c r="F993" s="93" t="s">
        <v>442</v>
      </c>
      <c r="G993" s="93" t="s">
        <v>284</v>
      </c>
      <c r="H993" s="93" t="s">
        <v>10</v>
      </c>
      <c r="I993" s="93" t="s">
        <v>255</v>
      </c>
      <c r="J993" s="93" t="s">
        <v>47</v>
      </c>
      <c r="K993" s="93"/>
      <c r="L993" s="95">
        <v>25.38</v>
      </c>
      <c r="M993" s="95">
        <f>L993*VLOOKUP(H993,dagsoorttabel1,2,FALSE)</f>
        <v>25.38</v>
      </c>
      <c r="N993" s="96">
        <f>prodnorm59</f>
        <v>0</v>
      </c>
      <c r="O993" s="37">
        <f>dagwerk59</f>
        <v>0</v>
      </c>
      <c r="P993" s="93" t="s">
        <v>105</v>
      </c>
      <c r="Q993" s="24">
        <f>uurtarief59</f>
        <v>0</v>
      </c>
      <c r="R993" s="95" t="e">
        <f>IF(ISBLANK(N993),0,M993/ROUND(N993,4))</f>
        <v>#DIV/0!</v>
      </c>
      <c r="S993" s="95" t="e">
        <f>IF(ISBLANK(N993),0,R993*ROUND(O993,2))</f>
        <v>#DIV/0!</v>
      </c>
      <c r="T993" s="24" t="e">
        <f>ROUND(Q993,2)*R993</f>
        <v>#DIV/0!</v>
      </c>
      <c r="U993" s="95" t="e">
        <f>R993*dagenperjaar1</f>
        <v>#DIV/0!</v>
      </c>
      <c r="V993" s="25" t="e">
        <f>U993*ROUND(Q993,2)</f>
        <v>#DIV/0!</v>
      </c>
    </row>
    <row r="994" spans="1:22" x14ac:dyDescent="0.2">
      <c r="A994" s="92" t="s">
        <v>925</v>
      </c>
      <c r="B994" s="93" t="s">
        <v>47</v>
      </c>
      <c r="C994" s="93" t="s">
        <v>394</v>
      </c>
      <c r="D994" s="93" t="s">
        <v>404</v>
      </c>
      <c r="E994" s="94" t="s">
        <v>650</v>
      </c>
      <c r="F994" s="93" t="s">
        <v>442</v>
      </c>
      <c r="G994" s="93" t="s">
        <v>314</v>
      </c>
      <c r="H994" s="93" t="s">
        <v>10</v>
      </c>
      <c r="I994" s="93" t="s">
        <v>255</v>
      </c>
      <c r="J994" s="93" t="s">
        <v>47</v>
      </c>
      <c r="K994" s="93"/>
      <c r="L994" s="95">
        <v>20.93</v>
      </c>
      <c r="M994" s="95">
        <f>L994*VLOOKUP(H994,dagsoorttabel1,2,FALSE)</f>
        <v>20.93</v>
      </c>
      <c r="N994" s="96">
        <f>prodnorm89</f>
        <v>0</v>
      </c>
      <c r="O994" s="37">
        <f>dagwerk89</f>
        <v>0</v>
      </c>
      <c r="P994" s="93" t="s">
        <v>105</v>
      </c>
      <c r="Q994" s="24">
        <f>uurtarief89</f>
        <v>0</v>
      </c>
      <c r="R994" s="95" t="e">
        <f>IF(ISBLANK(N994),0,M994/ROUND(N994,4))</f>
        <v>#DIV/0!</v>
      </c>
      <c r="S994" s="95" t="e">
        <f>IF(ISBLANK(N994),0,R994*ROUND(O994,2))</f>
        <v>#DIV/0!</v>
      </c>
      <c r="T994" s="24" t="e">
        <f>ROUND(Q994,2)*R994</f>
        <v>#DIV/0!</v>
      </c>
      <c r="U994" s="95" t="e">
        <f>R994*dagenperjaar1</f>
        <v>#DIV/0!</v>
      </c>
      <c r="V994" s="25" t="e">
        <f>U994*ROUND(Q994,2)</f>
        <v>#DIV/0!</v>
      </c>
    </row>
    <row r="995" spans="1:22" x14ac:dyDescent="0.2">
      <c r="A995" s="92" t="s">
        <v>925</v>
      </c>
      <c r="B995" s="93" t="s">
        <v>47</v>
      </c>
      <c r="C995" s="93" t="s">
        <v>394</v>
      </c>
      <c r="D995" s="93" t="s">
        <v>406</v>
      </c>
      <c r="E995" s="94" t="s">
        <v>746</v>
      </c>
      <c r="F995" s="93" t="s">
        <v>442</v>
      </c>
      <c r="G995" s="93" t="s">
        <v>266</v>
      </c>
      <c r="H995" s="93" t="s">
        <v>10</v>
      </c>
      <c r="I995" s="93" t="s">
        <v>255</v>
      </c>
      <c r="J995" s="93" t="s">
        <v>47</v>
      </c>
      <c r="K995" s="93"/>
      <c r="L995" s="95">
        <v>13.139999999999999</v>
      </c>
      <c r="M995" s="95">
        <f>L995*VLOOKUP(H995,dagsoorttabel1,2,FALSE)</f>
        <v>13.139999999999999</v>
      </c>
      <c r="N995" s="96">
        <f>prodnorm41</f>
        <v>0</v>
      </c>
      <c r="O995" s="37">
        <f>dagwerk41</f>
        <v>0</v>
      </c>
      <c r="P995" s="93" t="s">
        <v>105</v>
      </c>
      <c r="Q995" s="24">
        <f>uurtarief41</f>
        <v>0</v>
      </c>
      <c r="R995" s="95" t="e">
        <f>IF(ISBLANK(N995),0,M995/ROUND(N995,4))</f>
        <v>#DIV/0!</v>
      </c>
      <c r="S995" s="95" t="e">
        <f>IF(ISBLANK(N995),0,R995*ROUND(O995,2))</f>
        <v>#DIV/0!</v>
      </c>
      <c r="T995" s="24" t="e">
        <f>ROUND(Q995,2)*R995</f>
        <v>#DIV/0!</v>
      </c>
      <c r="U995" s="95" t="e">
        <f>R995*dagenperjaar1</f>
        <v>#DIV/0!</v>
      </c>
      <c r="V995" s="25" t="e">
        <f>U995*ROUND(Q995,2)</f>
        <v>#DIV/0!</v>
      </c>
    </row>
    <row r="996" spans="1:22" x14ac:dyDescent="0.2">
      <c r="A996" s="92" t="s">
        <v>925</v>
      </c>
      <c r="B996" s="93" t="s">
        <v>47</v>
      </c>
      <c r="C996" s="93" t="s">
        <v>394</v>
      </c>
      <c r="D996" s="93" t="s">
        <v>409</v>
      </c>
      <c r="E996" s="94" t="s">
        <v>746</v>
      </c>
      <c r="F996" s="93" t="s">
        <v>442</v>
      </c>
      <c r="G996" s="93" t="s">
        <v>266</v>
      </c>
      <c r="H996" s="93" t="s">
        <v>10</v>
      </c>
      <c r="I996" s="93" t="s">
        <v>255</v>
      </c>
      <c r="J996" s="93" t="s">
        <v>47</v>
      </c>
      <c r="K996" s="93"/>
      <c r="L996" s="95">
        <v>13.139999999999999</v>
      </c>
      <c r="M996" s="95">
        <f>L996*VLOOKUP(H996,dagsoorttabel1,2,FALSE)</f>
        <v>13.139999999999999</v>
      </c>
      <c r="N996" s="96">
        <f>prodnorm41</f>
        <v>0</v>
      </c>
      <c r="O996" s="37">
        <f>dagwerk41</f>
        <v>0</v>
      </c>
      <c r="P996" s="93" t="s">
        <v>105</v>
      </c>
      <c r="Q996" s="24">
        <f>uurtarief41</f>
        <v>0</v>
      </c>
      <c r="R996" s="95" t="e">
        <f>IF(ISBLANK(N996),0,M996/ROUND(N996,4))</f>
        <v>#DIV/0!</v>
      </c>
      <c r="S996" s="95" t="e">
        <f>IF(ISBLANK(N996),0,R996*ROUND(O996,2))</f>
        <v>#DIV/0!</v>
      </c>
      <c r="T996" s="24" t="e">
        <f>ROUND(Q996,2)*R996</f>
        <v>#DIV/0!</v>
      </c>
      <c r="U996" s="95" t="e">
        <f>R996*dagenperjaar1</f>
        <v>#DIV/0!</v>
      </c>
      <c r="V996" s="25" t="e">
        <f>U996*ROUND(Q996,2)</f>
        <v>#DIV/0!</v>
      </c>
    </row>
    <row r="997" spans="1:22" x14ac:dyDescent="0.2">
      <c r="A997" s="92" t="s">
        <v>925</v>
      </c>
      <c r="B997" s="93" t="s">
        <v>47</v>
      </c>
      <c r="C997" s="93" t="s">
        <v>394</v>
      </c>
      <c r="D997" s="93" t="s">
        <v>411</v>
      </c>
      <c r="E997" s="94" t="s">
        <v>927</v>
      </c>
      <c r="F997" s="93" t="s">
        <v>442</v>
      </c>
      <c r="G997" s="93" t="s">
        <v>304</v>
      </c>
      <c r="H997" s="93" t="s">
        <v>10</v>
      </c>
      <c r="I997" s="93" t="s">
        <v>255</v>
      </c>
      <c r="J997" s="93" t="s">
        <v>47</v>
      </c>
      <c r="K997" s="93"/>
      <c r="L997" s="95">
        <v>6.48</v>
      </c>
      <c r="M997" s="95">
        <f>L997*VLOOKUP(H997,dagsoorttabel1,2,FALSE)</f>
        <v>6.48</v>
      </c>
      <c r="N997" s="96">
        <f>prodnorm75</f>
        <v>0</v>
      </c>
      <c r="O997" s="37">
        <f>dagwerk75</f>
        <v>0</v>
      </c>
      <c r="P997" s="93" t="s">
        <v>105</v>
      </c>
      <c r="Q997" s="24">
        <f>uurtarief75</f>
        <v>0</v>
      </c>
      <c r="R997" s="95" t="e">
        <f>IF(ISBLANK(N997),0,M997/ROUND(N997,4))</f>
        <v>#DIV/0!</v>
      </c>
      <c r="S997" s="95" t="e">
        <f>IF(ISBLANK(N997),0,R997*ROUND(O997,2))</f>
        <v>#DIV/0!</v>
      </c>
      <c r="T997" s="24" t="e">
        <f>ROUND(Q997,2)*R997</f>
        <v>#DIV/0!</v>
      </c>
      <c r="U997" s="95" t="e">
        <f>R997*dagenperjaar1</f>
        <v>#DIV/0!</v>
      </c>
      <c r="V997" s="25" t="e">
        <f>U997*ROUND(Q997,2)</f>
        <v>#DIV/0!</v>
      </c>
    </row>
    <row r="998" spans="1:22" x14ac:dyDescent="0.2">
      <c r="A998" s="92" t="s">
        <v>925</v>
      </c>
      <c r="B998" s="93" t="s">
        <v>47</v>
      </c>
      <c r="C998" s="93" t="s">
        <v>394</v>
      </c>
      <c r="D998" s="93" t="s">
        <v>413</v>
      </c>
      <c r="E998" s="94" t="s">
        <v>928</v>
      </c>
      <c r="F998" s="93" t="s">
        <v>442</v>
      </c>
      <c r="G998" s="93" t="s">
        <v>304</v>
      </c>
      <c r="H998" s="93" t="s">
        <v>10</v>
      </c>
      <c r="I998" s="93" t="s">
        <v>255</v>
      </c>
      <c r="J998" s="93" t="s">
        <v>47</v>
      </c>
      <c r="K998" s="93"/>
      <c r="L998" s="95">
        <v>5.8</v>
      </c>
      <c r="M998" s="95">
        <f>L998*VLOOKUP(H998,dagsoorttabel1,2,FALSE)</f>
        <v>5.8</v>
      </c>
      <c r="N998" s="96">
        <f>prodnorm75</f>
        <v>0</v>
      </c>
      <c r="O998" s="37">
        <f>dagwerk75</f>
        <v>0</v>
      </c>
      <c r="P998" s="93" t="s">
        <v>105</v>
      </c>
      <c r="Q998" s="24">
        <f>uurtarief75</f>
        <v>0</v>
      </c>
      <c r="R998" s="95" t="e">
        <f>IF(ISBLANK(N998),0,M998/ROUND(N998,4))</f>
        <v>#DIV/0!</v>
      </c>
      <c r="S998" s="95" t="e">
        <f>IF(ISBLANK(N998),0,R998*ROUND(O998,2))</f>
        <v>#DIV/0!</v>
      </c>
      <c r="T998" s="24" t="e">
        <f>ROUND(Q998,2)*R998</f>
        <v>#DIV/0!</v>
      </c>
      <c r="U998" s="95" t="e">
        <f>R998*dagenperjaar1</f>
        <v>#DIV/0!</v>
      </c>
      <c r="V998" s="25" t="e">
        <f>U998*ROUND(Q998,2)</f>
        <v>#DIV/0!</v>
      </c>
    </row>
    <row r="999" spans="1:22" x14ac:dyDescent="0.2">
      <c r="A999" s="92" t="s">
        <v>925</v>
      </c>
      <c r="B999" s="93" t="s">
        <v>47</v>
      </c>
      <c r="C999" s="93" t="s">
        <v>394</v>
      </c>
      <c r="D999" s="93" t="s">
        <v>415</v>
      </c>
      <c r="E999" s="94" t="s">
        <v>929</v>
      </c>
      <c r="F999" s="93" t="s">
        <v>442</v>
      </c>
      <c r="G999" s="93" t="s">
        <v>304</v>
      </c>
      <c r="H999" s="93" t="s">
        <v>10</v>
      </c>
      <c r="I999" s="93" t="s">
        <v>255</v>
      </c>
      <c r="J999" s="93" t="s">
        <v>47</v>
      </c>
      <c r="K999" s="93"/>
      <c r="L999" s="95">
        <v>5.92</v>
      </c>
      <c r="M999" s="95">
        <f>L999*VLOOKUP(H999,dagsoorttabel1,2,FALSE)</f>
        <v>5.92</v>
      </c>
      <c r="N999" s="96">
        <f>prodnorm75</f>
        <v>0</v>
      </c>
      <c r="O999" s="37">
        <f>dagwerk75</f>
        <v>0</v>
      </c>
      <c r="P999" s="93" t="s">
        <v>105</v>
      </c>
      <c r="Q999" s="24">
        <f>uurtarief75</f>
        <v>0</v>
      </c>
      <c r="R999" s="95" t="e">
        <f>IF(ISBLANK(N999),0,M999/ROUND(N999,4))</f>
        <v>#DIV/0!</v>
      </c>
      <c r="S999" s="95" t="e">
        <f>IF(ISBLANK(N999),0,R999*ROUND(O999,2))</f>
        <v>#DIV/0!</v>
      </c>
      <c r="T999" s="24" t="e">
        <f>ROUND(Q999,2)*R999</f>
        <v>#DIV/0!</v>
      </c>
      <c r="U999" s="95" t="e">
        <f>R999*dagenperjaar1</f>
        <v>#DIV/0!</v>
      </c>
      <c r="V999" s="25" t="e">
        <f>U999*ROUND(Q999,2)</f>
        <v>#DIV/0!</v>
      </c>
    </row>
    <row r="1000" spans="1:22" x14ac:dyDescent="0.2">
      <c r="A1000" s="97" t="s">
        <v>925</v>
      </c>
      <c r="B1000" s="98" t="s">
        <v>47</v>
      </c>
      <c r="C1000" s="98" t="s">
        <v>394</v>
      </c>
      <c r="D1000" s="98" t="s">
        <v>416</v>
      </c>
      <c r="E1000" s="99" t="s">
        <v>643</v>
      </c>
      <c r="F1000" s="98" t="s">
        <v>476</v>
      </c>
      <c r="G1000" s="98" t="s">
        <v>274</v>
      </c>
      <c r="H1000" s="98" t="s">
        <v>10</v>
      </c>
      <c r="I1000" s="98" t="s">
        <v>255</v>
      </c>
      <c r="J1000" s="98" t="s">
        <v>47</v>
      </c>
      <c r="K1000" s="98"/>
      <c r="L1000" s="100">
        <v>6.1099999999999994</v>
      </c>
      <c r="M1000" s="100">
        <f>L1000*VLOOKUP(H1000,dagsoorttabel1,2,FALSE)</f>
        <v>6.1099999999999994</v>
      </c>
      <c r="N1000" s="101">
        <f>prodnorm48</f>
        <v>0</v>
      </c>
      <c r="O1000" s="102">
        <f>dagwerk48</f>
        <v>0</v>
      </c>
      <c r="P1000" s="98" t="s">
        <v>105</v>
      </c>
      <c r="Q1000" s="34">
        <f>uurtarief48</f>
        <v>0</v>
      </c>
      <c r="R1000" s="100" t="e">
        <f>IF(ISBLANK(N1000),0,M1000/ROUND(N1000,4))</f>
        <v>#DIV/0!</v>
      </c>
      <c r="S1000" s="100" t="e">
        <f>IF(ISBLANK(N1000),0,R1000*ROUND(O1000,2))</f>
        <v>#DIV/0!</v>
      </c>
      <c r="T1000" s="34" t="e">
        <f>ROUND(Q1000,2)*R1000</f>
        <v>#DIV/0!</v>
      </c>
      <c r="U1000" s="100" t="e">
        <f>R1000*dagenperjaar1</f>
        <v>#DIV/0!</v>
      </c>
      <c r="V1000" s="35" t="e">
        <f>U1000*ROUND(Q1000,2)</f>
        <v>#DIV/0!</v>
      </c>
    </row>
    <row r="1001" spans="1:22" x14ac:dyDescent="0.2">
      <c r="A1001" s="103" t="s">
        <v>436</v>
      </c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5" t="e">
        <f>IF(_xlfn.SINGLE(object26_urenjaar1)&gt;0,_xlfn.SINGLE(object26_prijsjaar1)/_xlfn.SINGLE(object26_urenjaar1),0)</f>
        <v>#DIV/0!</v>
      </c>
      <c r="R1001" s="74" t="e">
        <f>SUM(R990:R1000)</f>
        <v>#DIV/0!</v>
      </c>
      <c r="S1001" s="74" t="e">
        <f>SUM(S990:S1000)</f>
        <v>#DIV/0!</v>
      </c>
      <c r="T1001" s="75" t="e">
        <f>SUM(T990:T1000)</f>
        <v>#DIV/0!</v>
      </c>
      <c r="U1001" s="74" t="e">
        <f>SUM(U990:U1000)</f>
        <v>#DIV/0!</v>
      </c>
      <c r="V1001" s="76" t="e">
        <f>SUM(V990:V1000)</f>
        <v>#DIV/0!</v>
      </c>
    </row>
    <row r="1002" spans="1:22" x14ac:dyDescent="0.2">
      <c r="A1002" s="83" t="s">
        <v>930</v>
      </c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71"/>
    </row>
    <row r="1003" spans="1:22" x14ac:dyDescent="0.2">
      <c r="A1003" s="84" t="s">
        <v>931</v>
      </c>
      <c r="B1003" s="85" t="s">
        <v>47</v>
      </c>
      <c r="C1003" s="85" t="s">
        <v>932</v>
      </c>
      <c r="D1003" s="85" t="s">
        <v>395</v>
      </c>
      <c r="E1003" s="86" t="s">
        <v>525</v>
      </c>
      <c r="F1003" s="85" t="s">
        <v>476</v>
      </c>
      <c r="G1003" s="85" t="s">
        <v>274</v>
      </c>
      <c r="H1003" s="85" t="s">
        <v>10</v>
      </c>
      <c r="I1003" s="85" t="s">
        <v>255</v>
      </c>
      <c r="J1003" s="85" t="s">
        <v>47</v>
      </c>
      <c r="K1003" s="85"/>
      <c r="L1003" s="87">
        <v>4.5999999999999996</v>
      </c>
      <c r="M1003" s="87">
        <f>L1003*VLOOKUP(H1003,dagsoorttabel1,2,FALSE)</f>
        <v>4.5999999999999996</v>
      </c>
      <c r="N1003" s="88">
        <f>prodnorm48</f>
        <v>0</v>
      </c>
      <c r="O1003" s="89">
        <f>dagwerk48</f>
        <v>0</v>
      </c>
      <c r="P1003" s="85" t="s">
        <v>105</v>
      </c>
      <c r="Q1003" s="90">
        <f>uurtarief48</f>
        <v>0</v>
      </c>
      <c r="R1003" s="87" t="e">
        <f>IF(ISBLANK(N1003),0,M1003/ROUND(N1003,4))</f>
        <v>#DIV/0!</v>
      </c>
      <c r="S1003" s="87" t="e">
        <f>IF(ISBLANK(N1003),0,R1003*ROUND(O1003,2))</f>
        <v>#DIV/0!</v>
      </c>
      <c r="T1003" s="90" t="e">
        <f>ROUND(Q1003,2)*R1003</f>
        <v>#DIV/0!</v>
      </c>
      <c r="U1003" s="87" t="e">
        <f>R1003*dagenperjaar1</f>
        <v>#DIV/0!</v>
      </c>
      <c r="V1003" s="91" t="e">
        <f>U1003*ROUND(Q1003,2)</f>
        <v>#DIV/0!</v>
      </c>
    </row>
    <row r="1004" spans="1:22" x14ac:dyDescent="0.2">
      <c r="A1004" s="92" t="s">
        <v>931</v>
      </c>
      <c r="B1004" s="93" t="s">
        <v>47</v>
      </c>
      <c r="C1004" s="93" t="s">
        <v>932</v>
      </c>
      <c r="D1004" s="93" t="s">
        <v>398</v>
      </c>
      <c r="E1004" s="94" t="s">
        <v>532</v>
      </c>
      <c r="F1004" s="93" t="s">
        <v>441</v>
      </c>
      <c r="G1004" s="93" t="s">
        <v>259</v>
      </c>
      <c r="H1004" s="93" t="s">
        <v>10</v>
      </c>
      <c r="I1004" s="93" t="s">
        <v>255</v>
      </c>
      <c r="J1004" s="93" t="s">
        <v>47</v>
      </c>
      <c r="K1004" s="93"/>
      <c r="L1004" s="95">
        <v>76.900000000000006</v>
      </c>
      <c r="M1004" s="95">
        <f>L1004*VLOOKUP(H1004,dagsoorttabel1,2,FALSE)</f>
        <v>76.900000000000006</v>
      </c>
      <c r="N1004" s="96">
        <f>prodnorm32</f>
        <v>0</v>
      </c>
      <c r="O1004" s="37">
        <f>dagwerk32</f>
        <v>0</v>
      </c>
      <c r="P1004" s="93" t="s">
        <v>105</v>
      </c>
      <c r="Q1004" s="24">
        <f>uurtarief32</f>
        <v>0</v>
      </c>
      <c r="R1004" s="95" t="e">
        <f>IF(ISBLANK(N1004),0,M1004/ROUND(N1004,4))</f>
        <v>#DIV/0!</v>
      </c>
      <c r="S1004" s="95" t="e">
        <f>IF(ISBLANK(N1004),0,R1004*ROUND(O1004,2))</f>
        <v>#DIV/0!</v>
      </c>
      <c r="T1004" s="24" t="e">
        <f>ROUND(Q1004,2)*R1004</f>
        <v>#DIV/0!</v>
      </c>
      <c r="U1004" s="95" t="e">
        <f>R1004*dagenperjaar1</f>
        <v>#DIV/0!</v>
      </c>
      <c r="V1004" s="25" t="e">
        <f>U1004*ROUND(Q1004,2)</f>
        <v>#DIV/0!</v>
      </c>
    </row>
    <row r="1005" spans="1:22" x14ac:dyDescent="0.2">
      <c r="A1005" s="92" t="s">
        <v>931</v>
      </c>
      <c r="B1005" s="93" t="s">
        <v>47</v>
      </c>
      <c r="C1005" s="93" t="s">
        <v>932</v>
      </c>
      <c r="D1005" s="93" t="s">
        <v>642</v>
      </c>
      <c r="E1005" s="94" t="s">
        <v>933</v>
      </c>
      <c r="F1005" s="93" t="s">
        <v>476</v>
      </c>
      <c r="G1005" s="93" t="s">
        <v>263</v>
      </c>
      <c r="H1005" s="93" t="s">
        <v>10</v>
      </c>
      <c r="I1005" s="93" t="s">
        <v>255</v>
      </c>
      <c r="J1005" s="93" t="s">
        <v>47</v>
      </c>
      <c r="K1005" s="93"/>
      <c r="L1005" s="95">
        <v>1.4</v>
      </c>
      <c r="M1005" s="95">
        <f>L1005*VLOOKUP(H1005,dagsoorttabel1,2,FALSE)</f>
        <v>1.4</v>
      </c>
      <c r="N1005" s="96">
        <f>prodnorm37</f>
        <v>0</v>
      </c>
      <c r="O1005" s="37">
        <f>dagwerk37</f>
        <v>0</v>
      </c>
      <c r="P1005" s="93" t="s">
        <v>105</v>
      </c>
      <c r="Q1005" s="24">
        <f>uurtarief37</f>
        <v>0</v>
      </c>
      <c r="R1005" s="95" t="e">
        <f>IF(ISBLANK(N1005),0,M1005/ROUND(N1005,4))</f>
        <v>#DIV/0!</v>
      </c>
      <c r="S1005" s="95" t="e">
        <f>IF(ISBLANK(N1005),0,R1005*ROUND(O1005,2))</f>
        <v>#DIV/0!</v>
      </c>
      <c r="T1005" s="24" t="e">
        <f>ROUND(Q1005,2)*R1005</f>
        <v>#DIV/0!</v>
      </c>
      <c r="U1005" s="95" t="e">
        <f>R1005*dagenperjaar1</f>
        <v>#DIV/0!</v>
      </c>
      <c r="V1005" s="25" t="e">
        <f>U1005*ROUND(Q1005,2)</f>
        <v>#DIV/0!</v>
      </c>
    </row>
    <row r="1006" spans="1:22" x14ac:dyDescent="0.2">
      <c r="A1006" s="92" t="s">
        <v>931</v>
      </c>
      <c r="B1006" s="93" t="s">
        <v>47</v>
      </c>
      <c r="C1006" s="93" t="s">
        <v>932</v>
      </c>
      <c r="D1006" s="93" t="s">
        <v>400</v>
      </c>
      <c r="E1006" s="94" t="s">
        <v>423</v>
      </c>
      <c r="F1006" s="93" t="s">
        <v>859</v>
      </c>
      <c r="G1006" s="93" t="s">
        <v>304</v>
      </c>
      <c r="H1006" s="93" t="s">
        <v>10</v>
      </c>
      <c r="I1006" s="93" t="s">
        <v>255</v>
      </c>
      <c r="J1006" s="93" t="s">
        <v>47</v>
      </c>
      <c r="K1006" s="93"/>
      <c r="L1006" s="95">
        <v>1.5</v>
      </c>
      <c r="M1006" s="95">
        <f>L1006*VLOOKUP(H1006,dagsoorttabel1,2,FALSE)</f>
        <v>1.5</v>
      </c>
      <c r="N1006" s="96">
        <f>prodnorm75</f>
        <v>0</v>
      </c>
      <c r="O1006" s="37">
        <f>dagwerk75</f>
        <v>0</v>
      </c>
      <c r="P1006" s="93" t="s">
        <v>105</v>
      </c>
      <c r="Q1006" s="24">
        <f>uurtarief75</f>
        <v>0</v>
      </c>
      <c r="R1006" s="95" t="e">
        <f>IF(ISBLANK(N1006),0,M1006/ROUND(N1006,4))</f>
        <v>#DIV/0!</v>
      </c>
      <c r="S1006" s="95" t="e">
        <f>IF(ISBLANK(N1006),0,R1006*ROUND(O1006,2))</f>
        <v>#DIV/0!</v>
      </c>
      <c r="T1006" s="24" t="e">
        <f>ROUND(Q1006,2)*R1006</f>
        <v>#DIV/0!</v>
      </c>
      <c r="U1006" s="95" t="e">
        <f>R1006*dagenperjaar1</f>
        <v>#DIV/0!</v>
      </c>
      <c r="V1006" s="25" t="e">
        <f>U1006*ROUND(Q1006,2)</f>
        <v>#DIV/0!</v>
      </c>
    </row>
    <row r="1007" spans="1:22" x14ac:dyDescent="0.2">
      <c r="A1007" s="92" t="s">
        <v>931</v>
      </c>
      <c r="B1007" s="93" t="s">
        <v>47</v>
      </c>
      <c r="C1007" s="93" t="s">
        <v>932</v>
      </c>
      <c r="D1007" s="93" t="s">
        <v>402</v>
      </c>
      <c r="E1007" s="94" t="s">
        <v>544</v>
      </c>
      <c r="F1007" s="93" t="s">
        <v>859</v>
      </c>
      <c r="G1007" s="93" t="s">
        <v>294</v>
      </c>
      <c r="H1007" s="93" t="s">
        <v>10</v>
      </c>
      <c r="I1007" s="93" t="s">
        <v>255</v>
      </c>
      <c r="J1007" s="93" t="s">
        <v>47</v>
      </c>
      <c r="K1007" s="93"/>
      <c r="L1007" s="95">
        <v>5.5</v>
      </c>
      <c r="M1007" s="95">
        <f>L1007*VLOOKUP(H1007,dagsoorttabel1,2,FALSE)</f>
        <v>5.5</v>
      </c>
      <c r="N1007" s="96">
        <f>prodnorm67</f>
        <v>0</v>
      </c>
      <c r="O1007" s="37">
        <f>dagwerk67</f>
        <v>0</v>
      </c>
      <c r="P1007" s="93" t="s">
        <v>105</v>
      </c>
      <c r="Q1007" s="24">
        <f>uurtarief67</f>
        <v>0</v>
      </c>
      <c r="R1007" s="95" t="e">
        <f>IF(ISBLANK(N1007),0,M1007/ROUND(N1007,4))</f>
        <v>#DIV/0!</v>
      </c>
      <c r="S1007" s="95" t="e">
        <f>IF(ISBLANK(N1007),0,R1007*ROUND(O1007,2))</f>
        <v>#DIV/0!</v>
      </c>
      <c r="T1007" s="24" t="e">
        <f>ROUND(Q1007,2)*R1007</f>
        <v>#DIV/0!</v>
      </c>
      <c r="U1007" s="95" t="e">
        <f>R1007*dagenperjaar1</f>
        <v>#DIV/0!</v>
      </c>
      <c r="V1007" s="25" t="e">
        <f>U1007*ROUND(Q1007,2)</f>
        <v>#DIV/0!</v>
      </c>
    </row>
    <row r="1008" spans="1:22" x14ac:dyDescent="0.2">
      <c r="A1008" s="92" t="s">
        <v>931</v>
      </c>
      <c r="B1008" s="93" t="s">
        <v>47</v>
      </c>
      <c r="C1008" s="93" t="s">
        <v>932</v>
      </c>
      <c r="D1008" s="93" t="s">
        <v>404</v>
      </c>
      <c r="E1008" s="94" t="s">
        <v>934</v>
      </c>
      <c r="F1008" s="93" t="s">
        <v>456</v>
      </c>
      <c r="G1008" s="93" t="s">
        <v>254</v>
      </c>
      <c r="H1008" s="93" t="s">
        <v>24</v>
      </c>
      <c r="I1008" s="93" t="s">
        <v>255</v>
      </c>
      <c r="J1008" s="93" t="s">
        <v>47</v>
      </c>
      <c r="K1008" s="93"/>
      <c r="L1008" s="95">
        <v>5.9</v>
      </c>
      <c r="M1008" s="95">
        <f>L1008*VLOOKUP(H1008,dagsoorttabel1,2,FALSE)</f>
        <v>0.27764705882352941</v>
      </c>
      <c r="N1008" s="96">
        <f>prodnorm25</f>
        <v>0</v>
      </c>
      <c r="O1008" s="37">
        <f>dagwerk25</f>
        <v>0</v>
      </c>
      <c r="P1008" s="93" t="s">
        <v>105</v>
      </c>
      <c r="Q1008" s="24">
        <f>uurtarief25</f>
        <v>0</v>
      </c>
      <c r="R1008" s="95" t="e">
        <f>IF(ISBLANK(N1008),0,M1008/ROUND(N1008,4))</f>
        <v>#DIV/0!</v>
      </c>
      <c r="S1008" s="95" t="e">
        <f>IF(ISBLANK(N1008),0,R1008*ROUND(O1008,2))</f>
        <v>#DIV/0!</v>
      </c>
      <c r="T1008" s="24" t="e">
        <f>ROUND(Q1008,2)*R1008</f>
        <v>#DIV/0!</v>
      </c>
      <c r="U1008" s="95" t="e">
        <f>R1008*dagenperjaar1</f>
        <v>#DIV/0!</v>
      </c>
      <c r="V1008" s="25" t="e">
        <f>U1008*ROUND(Q1008,2)</f>
        <v>#DIV/0!</v>
      </c>
    </row>
    <row r="1009" spans="1:22" x14ac:dyDescent="0.2">
      <c r="A1009" s="97" t="s">
        <v>931</v>
      </c>
      <c r="B1009" s="98" t="s">
        <v>47</v>
      </c>
      <c r="C1009" s="98" t="s">
        <v>932</v>
      </c>
      <c r="D1009" s="98" t="s">
        <v>406</v>
      </c>
      <c r="E1009" s="99" t="s">
        <v>544</v>
      </c>
      <c r="F1009" s="98" t="s">
        <v>859</v>
      </c>
      <c r="G1009" s="98" t="s">
        <v>294</v>
      </c>
      <c r="H1009" s="98" t="s">
        <v>10</v>
      </c>
      <c r="I1009" s="98" t="s">
        <v>255</v>
      </c>
      <c r="J1009" s="98" t="s">
        <v>47</v>
      </c>
      <c r="K1009" s="98"/>
      <c r="L1009" s="100">
        <v>2.2999999999999998</v>
      </c>
      <c r="M1009" s="100">
        <f>L1009*VLOOKUP(H1009,dagsoorttabel1,2,FALSE)</f>
        <v>2.2999999999999998</v>
      </c>
      <c r="N1009" s="101">
        <f>prodnorm67</f>
        <v>0</v>
      </c>
      <c r="O1009" s="102">
        <f>dagwerk67</f>
        <v>0</v>
      </c>
      <c r="P1009" s="98" t="s">
        <v>105</v>
      </c>
      <c r="Q1009" s="34">
        <f>uurtarief67</f>
        <v>0</v>
      </c>
      <c r="R1009" s="100" t="e">
        <f>IF(ISBLANK(N1009),0,M1009/ROUND(N1009,4))</f>
        <v>#DIV/0!</v>
      </c>
      <c r="S1009" s="100" t="e">
        <f>IF(ISBLANK(N1009),0,R1009*ROUND(O1009,2))</f>
        <v>#DIV/0!</v>
      </c>
      <c r="T1009" s="34" t="e">
        <f>ROUND(Q1009,2)*R1009</f>
        <v>#DIV/0!</v>
      </c>
      <c r="U1009" s="100" t="e">
        <f>R1009*dagenperjaar1</f>
        <v>#DIV/0!</v>
      </c>
      <c r="V1009" s="35" t="e">
        <f>U1009*ROUND(Q1009,2)</f>
        <v>#DIV/0!</v>
      </c>
    </row>
    <row r="1010" spans="1:22" x14ac:dyDescent="0.2">
      <c r="A1010" s="103" t="s">
        <v>436</v>
      </c>
      <c r="B1010" s="73"/>
      <c r="C1010" s="73"/>
      <c r="D1010" s="73"/>
      <c r="E1010" s="73"/>
      <c r="F1010" s="73"/>
      <c r="G1010" s="73"/>
      <c r="H1010" s="73"/>
      <c r="I1010" s="73"/>
      <c r="J1010" s="73"/>
      <c r="K1010" s="73"/>
      <c r="L1010" s="73"/>
      <c r="M1010" s="73"/>
      <c r="N1010" s="73"/>
      <c r="O1010" s="73"/>
      <c r="P1010" s="73"/>
      <c r="Q1010" s="75" t="e">
        <f>IF(_xlfn.SINGLE(object27_urenjaar1)&gt;0,_xlfn.SINGLE(object27_prijsjaar1)/_xlfn.SINGLE(object27_urenjaar1),0)</f>
        <v>#DIV/0!</v>
      </c>
      <c r="R1010" s="74" t="e">
        <f>SUM(R1003:R1009)</f>
        <v>#DIV/0!</v>
      </c>
      <c r="S1010" s="74" t="e">
        <f>SUM(S1003:S1009)</f>
        <v>#DIV/0!</v>
      </c>
      <c r="T1010" s="75" t="e">
        <f>SUM(T1003:T1009)</f>
        <v>#DIV/0!</v>
      </c>
      <c r="U1010" s="74" t="e">
        <f>SUM(U1003:U1009)</f>
        <v>#DIV/0!</v>
      </c>
      <c r="V1010" s="76" t="e">
        <f>SUM(V1003:V1009)</f>
        <v>#DIV/0!</v>
      </c>
    </row>
    <row r="1011" spans="1:22" x14ac:dyDescent="0.2">
      <c r="A1011" s="83" t="s">
        <v>935</v>
      </c>
      <c r="B1011" s="45"/>
      <c r="C1011" s="45"/>
      <c r="D1011" s="45"/>
      <c r="E1011" s="45"/>
      <c r="F1011" s="45"/>
      <c r="G1011" s="45"/>
      <c r="H1011" s="45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71"/>
    </row>
    <row r="1012" spans="1:22" x14ac:dyDescent="0.2">
      <c r="A1012" s="84" t="s">
        <v>936</v>
      </c>
      <c r="B1012" s="85" t="s">
        <v>47</v>
      </c>
      <c r="C1012" s="85" t="s">
        <v>394</v>
      </c>
      <c r="D1012" s="85" t="s">
        <v>395</v>
      </c>
      <c r="E1012" s="86" t="s">
        <v>525</v>
      </c>
      <c r="F1012" s="85" t="s">
        <v>476</v>
      </c>
      <c r="G1012" s="85" t="s">
        <v>274</v>
      </c>
      <c r="H1012" s="85" t="s">
        <v>10</v>
      </c>
      <c r="I1012" s="85" t="s">
        <v>255</v>
      </c>
      <c r="J1012" s="85" t="s">
        <v>47</v>
      </c>
      <c r="K1012" s="85"/>
      <c r="L1012" s="87">
        <v>2.2999999999999998</v>
      </c>
      <c r="M1012" s="87">
        <f>L1012*VLOOKUP(H1012,dagsoorttabel1,2,FALSE)</f>
        <v>2.2999999999999998</v>
      </c>
      <c r="N1012" s="88">
        <f>prodnorm48</f>
        <v>0</v>
      </c>
      <c r="O1012" s="89">
        <f>dagwerk48</f>
        <v>0</v>
      </c>
      <c r="P1012" s="85" t="s">
        <v>105</v>
      </c>
      <c r="Q1012" s="90">
        <f>uurtarief48</f>
        <v>0</v>
      </c>
      <c r="R1012" s="87" t="e">
        <f>IF(ISBLANK(N1012),0,M1012/ROUND(N1012,4))</f>
        <v>#DIV/0!</v>
      </c>
      <c r="S1012" s="87" t="e">
        <f>IF(ISBLANK(N1012),0,R1012*ROUND(O1012,2))</f>
        <v>#DIV/0!</v>
      </c>
      <c r="T1012" s="90" t="e">
        <f>ROUND(Q1012,2)*R1012</f>
        <v>#DIV/0!</v>
      </c>
      <c r="U1012" s="87" t="e">
        <f>R1012*dagenperjaar1</f>
        <v>#DIV/0!</v>
      </c>
      <c r="V1012" s="91" t="e">
        <f>U1012*ROUND(Q1012,2)</f>
        <v>#DIV/0!</v>
      </c>
    </row>
    <row r="1013" spans="1:22" x14ac:dyDescent="0.2">
      <c r="A1013" s="92" t="s">
        <v>936</v>
      </c>
      <c r="B1013" s="93" t="s">
        <v>47</v>
      </c>
      <c r="C1013" s="93" t="s">
        <v>394</v>
      </c>
      <c r="D1013" s="93" t="s">
        <v>398</v>
      </c>
      <c r="E1013" s="94" t="s">
        <v>531</v>
      </c>
      <c r="F1013" s="93" t="s">
        <v>431</v>
      </c>
      <c r="G1013" s="93" t="s">
        <v>308</v>
      </c>
      <c r="H1013" s="93" t="s">
        <v>10</v>
      </c>
      <c r="I1013" s="93" t="s">
        <v>255</v>
      </c>
      <c r="J1013" s="93" t="s">
        <v>47</v>
      </c>
      <c r="K1013" s="93"/>
      <c r="L1013" s="95">
        <v>2.9</v>
      </c>
      <c r="M1013" s="95">
        <f>L1013*VLOOKUP(H1013,dagsoorttabel1,2,FALSE)</f>
        <v>2.9</v>
      </c>
      <c r="N1013" s="96">
        <f>prodnorm82</f>
        <v>0</v>
      </c>
      <c r="O1013" s="37">
        <f>dagwerk82</f>
        <v>0</v>
      </c>
      <c r="P1013" s="93" t="s">
        <v>105</v>
      </c>
      <c r="Q1013" s="24">
        <f>uurtarief82</f>
        <v>0</v>
      </c>
      <c r="R1013" s="95" t="e">
        <f>IF(ISBLANK(N1013),0,M1013/ROUND(N1013,4))</f>
        <v>#DIV/0!</v>
      </c>
      <c r="S1013" s="95" t="e">
        <f>IF(ISBLANK(N1013),0,R1013*ROUND(O1013,2))</f>
        <v>#DIV/0!</v>
      </c>
      <c r="T1013" s="24" t="e">
        <f>ROUND(Q1013,2)*R1013</f>
        <v>#DIV/0!</v>
      </c>
      <c r="U1013" s="95" t="e">
        <f>R1013*dagenperjaar1</f>
        <v>#DIV/0!</v>
      </c>
      <c r="V1013" s="25" t="e">
        <f>U1013*ROUND(Q1013,2)</f>
        <v>#DIV/0!</v>
      </c>
    </row>
    <row r="1014" spans="1:22" x14ac:dyDescent="0.2">
      <c r="A1014" s="92" t="s">
        <v>936</v>
      </c>
      <c r="B1014" s="93" t="s">
        <v>47</v>
      </c>
      <c r="C1014" s="93" t="s">
        <v>558</v>
      </c>
      <c r="D1014" s="93" t="s">
        <v>937</v>
      </c>
      <c r="E1014" s="94" t="s">
        <v>681</v>
      </c>
      <c r="F1014" s="93" t="s">
        <v>441</v>
      </c>
      <c r="G1014" s="93" t="s">
        <v>259</v>
      </c>
      <c r="H1014" s="93" t="s">
        <v>10</v>
      </c>
      <c r="I1014" s="93" t="s">
        <v>255</v>
      </c>
      <c r="J1014" s="93" t="s">
        <v>47</v>
      </c>
      <c r="K1014" s="93"/>
      <c r="L1014" s="95">
        <v>28.4</v>
      </c>
      <c r="M1014" s="95">
        <f>L1014*VLOOKUP(H1014,dagsoorttabel1,2,FALSE)</f>
        <v>28.4</v>
      </c>
      <c r="N1014" s="96">
        <f>prodnorm32</f>
        <v>0</v>
      </c>
      <c r="O1014" s="37">
        <f>dagwerk32</f>
        <v>0</v>
      </c>
      <c r="P1014" s="93" t="s">
        <v>105</v>
      </c>
      <c r="Q1014" s="24">
        <f>uurtarief32</f>
        <v>0</v>
      </c>
      <c r="R1014" s="95" t="e">
        <f>IF(ISBLANK(N1014),0,M1014/ROUND(N1014,4))</f>
        <v>#DIV/0!</v>
      </c>
      <c r="S1014" s="95" t="e">
        <f>IF(ISBLANK(N1014),0,R1014*ROUND(O1014,2))</f>
        <v>#DIV/0!</v>
      </c>
      <c r="T1014" s="24" t="e">
        <f>ROUND(Q1014,2)*R1014</f>
        <v>#DIV/0!</v>
      </c>
      <c r="U1014" s="95" t="e">
        <f>R1014*dagenperjaar1</f>
        <v>#DIV/0!</v>
      </c>
      <c r="V1014" s="25" t="e">
        <f>U1014*ROUND(Q1014,2)</f>
        <v>#DIV/0!</v>
      </c>
    </row>
    <row r="1015" spans="1:22" x14ac:dyDescent="0.2">
      <c r="A1015" s="92" t="s">
        <v>936</v>
      </c>
      <c r="B1015" s="93" t="s">
        <v>47</v>
      </c>
      <c r="C1015" s="93" t="s">
        <v>558</v>
      </c>
      <c r="D1015" s="93" t="s">
        <v>560</v>
      </c>
      <c r="E1015" s="94" t="s">
        <v>532</v>
      </c>
      <c r="F1015" s="93" t="s">
        <v>441</v>
      </c>
      <c r="G1015" s="93" t="s">
        <v>259</v>
      </c>
      <c r="H1015" s="93" t="s">
        <v>10</v>
      </c>
      <c r="I1015" s="93" t="s">
        <v>255</v>
      </c>
      <c r="J1015" s="93" t="s">
        <v>47</v>
      </c>
      <c r="K1015" s="93"/>
      <c r="L1015" s="95">
        <v>23.8</v>
      </c>
      <c r="M1015" s="95">
        <f>L1015*VLOOKUP(H1015,dagsoorttabel1,2,FALSE)</f>
        <v>23.8</v>
      </c>
      <c r="N1015" s="96">
        <f>prodnorm32</f>
        <v>0</v>
      </c>
      <c r="O1015" s="37">
        <f>dagwerk32</f>
        <v>0</v>
      </c>
      <c r="P1015" s="93" t="s">
        <v>105</v>
      </c>
      <c r="Q1015" s="24">
        <f>uurtarief32</f>
        <v>0</v>
      </c>
      <c r="R1015" s="95" t="e">
        <f>IF(ISBLANK(N1015),0,M1015/ROUND(N1015,4))</f>
        <v>#DIV/0!</v>
      </c>
      <c r="S1015" s="95" t="e">
        <f>IF(ISBLANK(N1015),0,R1015*ROUND(O1015,2))</f>
        <v>#DIV/0!</v>
      </c>
      <c r="T1015" s="24" t="e">
        <f>ROUND(Q1015,2)*R1015</f>
        <v>#DIV/0!</v>
      </c>
      <c r="U1015" s="95" t="e">
        <f>R1015*dagenperjaar1</f>
        <v>#DIV/0!</v>
      </c>
      <c r="V1015" s="25" t="e">
        <f>U1015*ROUND(Q1015,2)</f>
        <v>#DIV/0!</v>
      </c>
    </row>
    <row r="1016" spans="1:22" x14ac:dyDescent="0.2">
      <c r="A1016" s="92" t="s">
        <v>936</v>
      </c>
      <c r="B1016" s="93" t="s">
        <v>47</v>
      </c>
      <c r="C1016" s="93" t="s">
        <v>558</v>
      </c>
      <c r="D1016" s="93" t="s">
        <v>561</v>
      </c>
      <c r="E1016" s="94" t="s">
        <v>934</v>
      </c>
      <c r="F1016" s="93" t="s">
        <v>456</v>
      </c>
      <c r="G1016" s="93" t="s">
        <v>254</v>
      </c>
      <c r="H1016" s="93" t="s">
        <v>24</v>
      </c>
      <c r="I1016" s="93" t="s">
        <v>255</v>
      </c>
      <c r="J1016" s="93" t="s">
        <v>47</v>
      </c>
      <c r="K1016" s="93"/>
      <c r="L1016" s="95">
        <v>3.2</v>
      </c>
      <c r="M1016" s="95">
        <f>L1016*VLOOKUP(H1016,dagsoorttabel1,2,FALSE)</f>
        <v>0.15058823529411766</v>
      </c>
      <c r="N1016" s="96">
        <f>prodnorm25</f>
        <v>0</v>
      </c>
      <c r="O1016" s="37">
        <f>dagwerk25</f>
        <v>0</v>
      </c>
      <c r="P1016" s="93" t="s">
        <v>105</v>
      </c>
      <c r="Q1016" s="24">
        <f>uurtarief25</f>
        <v>0</v>
      </c>
      <c r="R1016" s="95" t="e">
        <f>IF(ISBLANK(N1016),0,M1016/ROUND(N1016,4))</f>
        <v>#DIV/0!</v>
      </c>
      <c r="S1016" s="95" t="e">
        <f>IF(ISBLANK(N1016),0,R1016*ROUND(O1016,2))</f>
        <v>#DIV/0!</v>
      </c>
      <c r="T1016" s="24" t="e">
        <f>ROUND(Q1016,2)*R1016</f>
        <v>#DIV/0!</v>
      </c>
      <c r="U1016" s="95" t="e">
        <f>R1016*dagenperjaar1</f>
        <v>#DIV/0!</v>
      </c>
      <c r="V1016" s="25" t="e">
        <f>U1016*ROUND(Q1016,2)</f>
        <v>#DIV/0!</v>
      </c>
    </row>
    <row r="1017" spans="1:22" x14ac:dyDescent="0.2">
      <c r="A1017" s="92" t="s">
        <v>936</v>
      </c>
      <c r="B1017" s="93" t="s">
        <v>47</v>
      </c>
      <c r="C1017" s="93" t="s">
        <v>558</v>
      </c>
      <c r="D1017" s="93" t="s">
        <v>563</v>
      </c>
      <c r="E1017" s="94" t="s">
        <v>532</v>
      </c>
      <c r="F1017" s="93" t="s">
        <v>441</v>
      </c>
      <c r="G1017" s="93" t="s">
        <v>259</v>
      </c>
      <c r="H1017" s="93" t="s">
        <v>10</v>
      </c>
      <c r="I1017" s="93" t="s">
        <v>255</v>
      </c>
      <c r="J1017" s="93" t="s">
        <v>47</v>
      </c>
      <c r="K1017" s="93"/>
      <c r="L1017" s="95">
        <v>47.2</v>
      </c>
      <c r="M1017" s="95">
        <f>L1017*VLOOKUP(H1017,dagsoorttabel1,2,FALSE)</f>
        <v>47.2</v>
      </c>
      <c r="N1017" s="96">
        <f>prodnorm32</f>
        <v>0</v>
      </c>
      <c r="O1017" s="37">
        <f>dagwerk32</f>
        <v>0</v>
      </c>
      <c r="P1017" s="93" t="s">
        <v>105</v>
      </c>
      <c r="Q1017" s="24">
        <f>uurtarief32</f>
        <v>0</v>
      </c>
      <c r="R1017" s="95" t="e">
        <f>IF(ISBLANK(N1017),0,M1017/ROUND(N1017,4))</f>
        <v>#DIV/0!</v>
      </c>
      <c r="S1017" s="95" t="e">
        <f>IF(ISBLANK(N1017),0,R1017*ROUND(O1017,2))</f>
        <v>#DIV/0!</v>
      </c>
      <c r="T1017" s="24" t="e">
        <f>ROUND(Q1017,2)*R1017</f>
        <v>#DIV/0!</v>
      </c>
      <c r="U1017" s="95" t="e">
        <f>R1017*dagenperjaar1</f>
        <v>#DIV/0!</v>
      </c>
      <c r="V1017" s="25" t="e">
        <f>U1017*ROUND(Q1017,2)</f>
        <v>#DIV/0!</v>
      </c>
    </row>
    <row r="1018" spans="1:22" x14ac:dyDescent="0.2">
      <c r="A1018" s="92" t="s">
        <v>936</v>
      </c>
      <c r="B1018" s="93" t="s">
        <v>47</v>
      </c>
      <c r="C1018" s="93" t="s">
        <v>558</v>
      </c>
      <c r="D1018" s="93" t="s">
        <v>564</v>
      </c>
      <c r="E1018" s="94" t="s">
        <v>532</v>
      </c>
      <c r="F1018" s="93" t="s">
        <v>441</v>
      </c>
      <c r="G1018" s="93" t="s">
        <v>259</v>
      </c>
      <c r="H1018" s="93" t="s">
        <v>10</v>
      </c>
      <c r="I1018" s="93" t="s">
        <v>255</v>
      </c>
      <c r="J1018" s="93" t="s">
        <v>47</v>
      </c>
      <c r="K1018" s="93"/>
      <c r="L1018" s="95">
        <v>27.7</v>
      </c>
      <c r="M1018" s="95">
        <f>L1018*VLOOKUP(H1018,dagsoorttabel1,2,FALSE)</f>
        <v>27.7</v>
      </c>
      <c r="N1018" s="96">
        <f>prodnorm32</f>
        <v>0</v>
      </c>
      <c r="O1018" s="37">
        <f>dagwerk32</f>
        <v>0</v>
      </c>
      <c r="P1018" s="93" t="s">
        <v>105</v>
      </c>
      <c r="Q1018" s="24">
        <f>uurtarief32</f>
        <v>0</v>
      </c>
      <c r="R1018" s="95" t="e">
        <f>IF(ISBLANK(N1018),0,M1018/ROUND(N1018,4))</f>
        <v>#DIV/0!</v>
      </c>
      <c r="S1018" s="95" t="e">
        <f>IF(ISBLANK(N1018),0,R1018*ROUND(O1018,2))</f>
        <v>#DIV/0!</v>
      </c>
      <c r="T1018" s="24" t="e">
        <f>ROUND(Q1018,2)*R1018</f>
        <v>#DIV/0!</v>
      </c>
      <c r="U1018" s="95" t="e">
        <f>R1018*dagenperjaar1</f>
        <v>#DIV/0!</v>
      </c>
      <c r="V1018" s="25" t="e">
        <f>U1018*ROUND(Q1018,2)</f>
        <v>#DIV/0!</v>
      </c>
    </row>
    <row r="1019" spans="1:22" x14ac:dyDescent="0.2">
      <c r="A1019" s="92" t="s">
        <v>936</v>
      </c>
      <c r="B1019" s="93" t="s">
        <v>47</v>
      </c>
      <c r="C1019" s="93" t="s">
        <v>558</v>
      </c>
      <c r="D1019" s="93" t="s">
        <v>565</v>
      </c>
      <c r="E1019" s="94" t="s">
        <v>532</v>
      </c>
      <c r="F1019" s="93" t="s">
        <v>441</v>
      </c>
      <c r="G1019" s="93" t="s">
        <v>259</v>
      </c>
      <c r="H1019" s="93" t="s">
        <v>10</v>
      </c>
      <c r="I1019" s="93" t="s">
        <v>255</v>
      </c>
      <c r="J1019" s="93" t="s">
        <v>47</v>
      </c>
      <c r="K1019" s="93"/>
      <c r="L1019" s="95">
        <v>7.6</v>
      </c>
      <c r="M1019" s="95">
        <f>L1019*VLOOKUP(H1019,dagsoorttabel1,2,FALSE)</f>
        <v>7.6</v>
      </c>
      <c r="N1019" s="96">
        <f>prodnorm32</f>
        <v>0</v>
      </c>
      <c r="O1019" s="37">
        <f>dagwerk32</f>
        <v>0</v>
      </c>
      <c r="P1019" s="93" t="s">
        <v>105</v>
      </c>
      <c r="Q1019" s="24">
        <f>uurtarief32</f>
        <v>0</v>
      </c>
      <c r="R1019" s="95" t="e">
        <f>IF(ISBLANK(N1019),0,M1019/ROUND(N1019,4))</f>
        <v>#DIV/0!</v>
      </c>
      <c r="S1019" s="95" t="e">
        <f>IF(ISBLANK(N1019),0,R1019*ROUND(O1019,2))</f>
        <v>#DIV/0!</v>
      </c>
      <c r="T1019" s="24" t="e">
        <f>ROUND(Q1019,2)*R1019</f>
        <v>#DIV/0!</v>
      </c>
      <c r="U1019" s="95" t="e">
        <f>R1019*dagenperjaar1</f>
        <v>#DIV/0!</v>
      </c>
      <c r="V1019" s="25" t="e">
        <f>U1019*ROUND(Q1019,2)</f>
        <v>#DIV/0!</v>
      </c>
    </row>
    <row r="1020" spans="1:22" x14ac:dyDescent="0.2">
      <c r="A1020" s="92" t="s">
        <v>936</v>
      </c>
      <c r="B1020" s="93" t="s">
        <v>47</v>
      </c>
      <c r="C1020" s="93" t="s">
        <v>558</v>
      </c>
      <c r="D1020" s="93" t="s">
        <v>566</v>
      </c>
      <c r="E1020" s="94" t="s">
        <v>918</v>
      </c>
      <c r="F1020" s="93" t="s">
        <v>441</v>
      </c>
      <c r="G1020" s="93" t="s">
        <v>314</v>
      </c>
      <c r="H1020" s="93" t="s">
        <v>10</v>
      </c>
      <c r="I1020" s="93" t="s">
        <v>255</v>
      </c>
      <c r="J1020" s="93" t="s">
        <v>47</v>
      </c>
      <c r="K1020" s="93"/>
      <c r="L1020" s="95">
        <v>11.9</v>
      </c>
      <c r="M1020" s="95">
        <f>L1020*VLOOKUP(H1020,dagsoorttabel1,2,FALSE)</f>
        <v>11.9</v>
      </c>
      <c r="N1020" s="96">
        <f>prodnorm89</f>
        <v>0</v>
      </c>
      <c r="O1020" s="37">
        <f>dagwerk89</f>
        <v>0</v>
      </c>
      <c r="P1020" s="93" t="s">
        <v>105</v>
      </c>
      <c r="Q1020" s="24">
        <f>uurtarief89</f>
        <v>0</v>
      </c>
      <c r="R1020" s="95" t="e">
        <f>IF(ISBLANK(N1020),0,M1020/ROUND(N1020,4))</f>
        <v>#DIV/0!</v>
      </c>
      <c r="S1020" s="95" t="e">
        <f>IF(ISBLANK(N1020),0,R1020*ROUND(O1020,2))</f>
        <v>#DIV/0!</v>
      </c>
      <c r="T1020" s="24" t="e">
        <f>ROUND(Q1020,2)*R1020</f>
        <v>#DIV/0!</v>
      </c>
      <c r="U1020" s="95" t="e">
        <f>R1020*dagenperjaar1</f>
        <v>#DIV/0!</v>
      </c>
      <c r="V1020" s="25" t="e">
        <f>U1020*ROUND(Q1020,2)</f>
        <v>#DIV/0!</v>
      </c>
    </row>
    <row r="1021" spans="1:22" x14ac:dyDescent="0.2">
      <c r="A1021" s="92" t="s">
        <v>936</v>
      </c>
      <c r="B1021" s="93" t="s">
        <v>47</v>
      </c>
      <c r="C1021" s="93" t="s">
        <v>558</v>
      </c>
      <c r="D1021" s="93" t="s">
        <v>567</v>
      </c>
      <c r="E1021" s="94" t="s">
        <v>544</v>
      </c>
      <c r="F1021" s="93" t="s">
        <v>441</v>
      </c>
      <c r="G1021" s="93" t="s">
        <v>294</v>
      </c>
      <c r="H1021" s="93" t="s">
        <v>10</v>
      </c>
      <c r="I1021" s="93" t="s">
        <v>255</v>
      </c>
      <c r="J1021" s="93" t="s">
        <v>47</v>
      </c>
      <c r="K1021" s="93"/>
      <c r="L1021" s="95">
        <v>9.6999999999999993</v>
      </c>
      <c r="M1021" s="95">
        <f>L1021*VLOOKUP(H1021,dagsoorttabel1,2,FALSE)</f>
        <v>9.6999999999999993</v>
      </c>
      <c r="N1021" s="96">
        <f>prodnorm67</f>
        <v>0</v>
      </c>
      <c r="O1021" s="37">
        <f>dagwerk67</f>
        <v>0</v>
      </c>
      <c r="P1021" s="93" t="s">
        <v>105</v>
      </c>
      <c r="Q1021" s="24">
        <f>uurtarief67</f>
        <v>0</v>
      </c>
      <c r="R1021" s="95" t="e">
        <f>IF(ISBLANK(N1021),0,M1021/ROUND(N1021,4))</f>
        <v>#DIV/0!</v>
      </c>
      <c r="S1021" s="95" t="e">
        <f>IF(ISBLANK(N1021),0,R1021*ROUND(O1021,2))</f>
        <v>#DIV/0!</v>
      </c>
      <c r="T1021" s="24" t="e">
        <f>ROUND(Q1021,2)*R1021</f>
        <v>#DIV/0!</v>
      </c>
      <c r="U1021" s="95" t="e">
        <f>R1021*dagenperjaar1</f>
        <v>#DIV/0!</v>
      </c>
      <c r="V1021" s="25" t="e">
        <f>U1021*ROUND(Q1021,2)</f>
        <v>#DIV/0!</v>
      </c>
    </row>
    <row r="1022" spans="1:22" x14ac:dyDescent="0.2">
      <c r="A1022" s="92" t="s">
        <v>936</v>
      </c>
      <c r="B1022" s="93" t="s">
        <v>47</v>
      </c>
      <c r="C1022" s="93" t="s">
        <v>558</v>
      </c>
      <c r="D1022" s="93" t="s">
        <v>568</v>
      </c>
      <c r="E1022" s="94" t="s">
        <v>532</v>
      </c>
      <c r="F1022" s="93" t="s">
        <v>441</v>
      </c>
      <c r="G1022" s="93" t="s">
        <v>259</v>
      </c>
      <c r="H1022" s="93" t="s">
        <v>10</v>
      </c>
      <c r="I1022" s="93" t="s">
        <v>255</v>
      </c>
      <c r="J1022" s="93" t="s">
        <v>47</v>
      </c>
      <c r="K1022" s="93"/>
      <c r="L1022" s="95">
        <v>17.650000000000002</v>
      </c>
      <c r="M1022" s="95">
        <f>L1022*VLOOKUP(H1022,dagsoorttabel1,2,FALSE)</f>
        <v>17.650000000000002</v>
      </c>
      <c r="N1022" s="96">
        <f>prodnorm32</f>
        <v>0</v>
      </c>
      <c r="O1022" s="37">
        <f>dagwerk32</f>
        <v>0</v>
      </c>
      <c r="P1022" s="93" t="s">
        <v>105</v>
      </c>
      <c r="Q1022" s="24">
        <f>uurtarief32</f>
        <v>0</v>
      </c>
      <c r="R1022" s="95" t="e">
        <f>IF(ISBLANK(N1022),0,M1022/ROUND(N1022,4))</f>
        <v>#DIV/0!</v>
      </c>
      <c r="S1022" s="95" t="e">
        <f>IF(ISBLANK(N1022),0,R1022*ROUND(O1022,2))</f>
        <v>#DIV/0!</v>
      </c>
      <c r="T1022" s="24" t="e">
        <f>ROUND(Q1022,2)*R1022</f>
        <v>#DIV/0!</v>
      </c>
      <c r="U1022" s="95" t="e">
        <f>R1022*dagenperjaar1</f>
        <v>#DIV/0!</v>
      </c>
      <c r="V1022" s="25" t="e">
        <f>U1022*ROUND(Q1022,2)</f>
        <v>#DIV/0!</v>
      </c>
    </row>
    <row r="1023" spans="1:22" x14ac:dyDescent="0.2">
      <c r="A1023" s="97" t="s">
        <v>936</v>
      </c>
      <c r="B1023" s="98" t="s">
        <v>47</v>
      </c>
      <c r="C1023" s="98" t="s">
        <v>558</v>
      </c>
      <c r="D1023" s="98" t="s">
        <v>569</v>
      </c>
      <c r="E1023" s="99" t="s">
        <v>938</v>
      </c>
      <c r="F1023" s="98" t="s">
        <v>859</v>
      </c>
      <c r="G1023" s="98" t="s">
        <v>304</v>
      </c>
      <c r="H1023" s="98" t="s">
        <v>10</v>
      </c>
      <c r="I1023" s="98" t="s">
        <v>255</v>
      </c>
      <c r="J1023" s="98" t="s">
        <v>47</v>
      </c>
      <c r="K1023" s="98"/>
      <c r="L1023" s="100">
        <v>4.8</v>
      </c>
      <c r="M1023" s="100">
        <f>L1023*VLOOKUP(H1023,dagsoorttabel1,2,FALSE)</f>
        <v>4.8</v>
      </c>
      <c r="N1023" s="101">
        <f>prodnorm75</f>
        <v>0</v>
      </c>
      <c r="O1023" s="102">
        <f>dagwerk75</f>
        <v>0</v>
      </c>
      <c r="P1023" s="98" t="s">
        <v>105</v>
      </c>
      <c r="Q1023" s="34">
        <f>uurtarief75</f>
        <v>0</v>
      </c>
      <c r="R1023" s="100" t="e">
        <f>IF(ISBLANK(N1023),0,M1023/ROUND(N1023,4))</f>
        <v>#DIV/0!</v>
      </c>
      <c r="S1023" s="100" t="e">
        <f>IF(ISBLANK(N1023),0,R1023*ROUND(O1023,2))</f>
        <v>#DIV/0!</v>
      </c>
      <c r="T1023" s="34" t="e">
        <f>ROUND(Q1023,2)*R1023</f>
        <v>#DIV/0!</v>
      </c>
      <c r="U1023" s="100" t="e">
        <f>R1023*dagenperjaar1</f>
        <v>#DIV/0!</v>
      </c>
      <c r="V1023" s="35" t="e">
        <f>U1023*ROUND(Q1023,2)</f>
        <v>#DIV/0!</v>
      </c>
    </row>
    <row r="1024" spans="1:22" x14ac:dyDescent="0.2">
      <c r="A1024" s="103" t="s">
        <v>436</v>
      </c>
      <c r="B1024" s="73"/>
      <c r="C1024" s="73"/>
      <c r="D1024" s="73"/>
      <c r="E1024" s="73"/>
      <c r="F1024" s="73"/>
      <c r="G1024" s="73"/>
      <c r="H1024" s="73"/>
      <c r="I1024" s="73"/>
      <c r="J1024" s="73"/>
      <c r="K1024" s="73"/>
      <c r="L1024" s="73"/>
      <c r="M1024" s="73"/>
      <c r="N1024" s="73"/>
      <c r="O1024" s="73"/>
      <c r="P1024" s="73"/>
      <c r="Q1024" s="75" t="e">
        <f>IF(_xlfn.SINGLE(object28_urenjaar1)&gt;0,_xlfn.SINGLE(object28_prijsjaar1)/_xlfn.SINGLE(object28_urenjaar1),0)</f>
        <v>#DIV/0!</v>
      </c>
      <c r="R1024" s="74" t="e">
        <f>SUM(R1012:R1023)</f>
        <v>#DIV/0!</v>
      </c>
      <c r="S1024" s="74" t="e">
        <f>SUM(S1012:S1023)</f>
        <v>#DIV/0!</v>
      </c>
      <c r="T1024" s="75" t="e">
        <f>SUM(T1012:T1023)</f>
        <v>#DIV/0!</v>
      </c>
      <c r="U1024" s="74" t="e">
        <f>SUM(U1012:U1023)</f>
        <v>#DIV/0!</v>
      </c>
      <c r="V1024" s="76" t="e">
        <f>SUM(V1012:V1023)</f>
        <v>#DIV/0!</v>
      </c>
    </row>
    <row r="1025" spans="1:22" x14ac:dyDescent="0.2">
      <c r="A1025" s="83" t="s">
        <v>939</v>
      </c>
      <c r="B1025" s="45"/>
      <c r="C1025" s="45"/>
      <c r="D1025" s="45"/>
      <c r="E1025" s="45"/>
      <c r="F1025" s="45"/>
      <c r="G1025" s="45"/>
      <c r="H1025" s="45"/>
      <c r="I1025" s="45"/>
      <c r="J1025" s="45"/>
      <c r="K1025" s="45"/>
      <c r="L1025" s="45"/>
      <c r="M1025" s="45"/>
      <c r="N1025" s="45"/>
      <c r="O1025" s="45"/>
      <c r="P1025" s="45"/>
      <c r="Q1025" s="45"/>
      <c r="R1025" s="45"/>
      <c r="S1025" s="45"/>
      <c r="T1025" s="45"/>
      <c r="U1025" s="45"/>
      <c r="V1025" s="71"/>
    </row>
    <row r="1026" spans="1:22" x14ac:dyDescent="0.2">
      <c r="A1026" s="84" t="s">
        <v>940</v>
      </c>
      <c r="B1026" s="85" t="s">
        <v>47</v>
      </c>
      <c r="C1026" s="85" t="s">
        <v>394</v>
      </c>
      <c r="D1026" s="85" t="s">
        <v>395</v>
      </c>
      <c r="E1026" s="86" t="s">
        <v>525</v>
      </c>
      <c r="F1026" s="85" t="s">
        <v>476</v>
      </c>
      <c r="G1026" s="85" t="s">
        <v>274</v>
      </c>
      <c r="H1026" s="85" t="s">
        <v>10</v>
      </c>
      <c r="I1026" s="85" t="s">
        <v>255</v>
      </c>
      <c r="J1026" s="85" t="s">
        <v>47</v>
      </c>
      <c r="K1026" s="85"/>
      <c r="L1026" s="87">
        <v>5.4300000000000006</v>
      </c>
      <c r="M1026" s="87">
        <f>L1026*VLOOKUP(H1026,dagsoorttabel1,2,FALSE)</f>
        <v>5.4300000000000006</v>
      </c>
      <c r="N1026" s="88">
        <f>prodnorm48</f>
        <v>0</v>
      </c>
      <c r="O1026" s="89">
        <f>dagwerk48</f>
        <v>0</v>
      </c>
      <c r="P1026" s="85" t="s">
        <v>105</v>
      </c>
      <c r="Q1026" s="90">
        <f>uurtarief48</f>
        <v>0</v>
      </c>
      <c r="R1026" s="87" t="e">
        <f>IF(ISBLANK(N1026),0,M1026/ROUND(N1026,4))</f>
        <v>#DIV/0!</v>
      </c>
      <c r="S1026" s="87" t="e">
        <f>IF(ISBLANK(N1026),0,R1026*ROUND(O1026,2))</f>
        <v>#DIV/0!</v>
      </c>
      <c r="T1026" s="90" t="e">
        <f>ROUND(Q1026,2)*R1026</f>
        <v>#DIV/0!</v>
      </c>
      <c r="U1026" s="87" t="e">
        <f>R1026*dagenperjaar1</f>
        <v>#DIV/0!</v>
      </c>
      <c r="V1026" s="91" t="e">
        <f>U1026*ROUND(Q1026,2)</f>
        <v>#DIV/0!</v>
      </c>
    </row>
    <row r="1027" spans="1:22" x14ac:dyDescent="0.2">
      <c r="A1027" s="92" t="s">
        <v>940</v>
      </c>
      <c r="B1027" s="93" t="s">
        <v>47</v>
      </c>
      <c r="C1027" s="93" t="s">
        <v>394</v>
      </c>
      <c r="D1027" s="93" t="s">
        <v>398</v>
      </c>
      <c r="E1027" s="94" t="s">
        <v>918</v>
      </c>
      <c r="F1027" s="93" t="s">
        <v>808</v>
      </c>
      <c r="G1027" s="93" t="s">
        <v>314</v>
      </c>
      <c r="H1027" s="93" t="s">
        <v>10</v>
      </c>
      <c r="I1027" s="93" t="s">
        <v>255</v>
      </c>
      <c r="J1027" s="93" t="s">
        <v>47</v>
      </c>
      <c r="K1027" s="93"/>
      <c r="L1027" s="95">
        <v>32.720000000000006</v>
      </c>
      <c r="M1027" s="95">
        <f>L1027*VLOOKUP(H1027,dagsoorttabel1,2,FALSE)</f>
        <v>32.720000000000006</v>
      </c>
      <c r="N1027" s="96">
        <f>prodnorm89</f>
        <v>0</v>
      </c>
      <c r="O1027" s="37">
        <f>dagwerk89</f>
        <v>0</v>
      </c>
      <c r="P1027" s="93" t="s">
        <v>105</v>
      </c>
      <c r="Q1027" s="24">
        <f>uurtarief89</f>
        <v>0</v>
      </c>
      <c r="R1027" s="95" t="e">
        <f>IF(ISBLANK(N1027),0,M1027/ROUND(N1027,4))</f>
        <v>#DIV/0!</v>
      </c>
      <c r="S1027" s="95" t="e">
        <f>IF(ISBLANK(N1027),0,R1027*ROUND(O1027,2))</f>
        <v>#DIV/0!</v>
      </c>
      <c r="T1027" s="24" t="e">
        <f>ROUND(Q1027,2)*R1027</f>
        <v>#DIV/0!</v>
      </c>
      <c r="U1027" s="95" t="e">
        <f>R1027*dagenperjaar1</f>
        <v>#DIV/0!</v>
      </c>
      <c r="V1027" s="25" t="e">
        <f>U1027*ROUND(Q1027,2)</f>
        <v>#DIV/0!</v>
      </c>
    </row>
    <row r="1028" spans="1:22" x14ac:dyDescent="0.2">
      <c r="A1028" s="92" t="s">
        <v>940</v>
      </c>
      <c r="B1028" s="93" t="s">
        <v>47</v>
      </c>
      <c r="C1028" s="93" t="s">
        <v>394</v>
      </c>
      <c r="D1028" s="93" t="s">
        <v>400</v>
      </c>
      <c r="E1028" s="94" t="s">
        <v>941</v>
      </c>
      <c r="F1028" s="93" t="s">
        <v>859</v>
      </c>
      <c r="G1028" s="93" t="s">
        <v>304</v>
      </c>
      <c r="H1028" s="93" t="s">
        <v>10</v>
      </c>
      <c r="I1028" s="93" t="s">
        <v>255</v>
      </c>
      <c r="J1028" s="93" t="s">
        <v>47</v>
      </c>
      <c r="K1028" s="93"/>
      <c r="L1028" s="95">
        <v>4.3199999999999994</v>
      </c>
      <c r="M1028" s="95">
        <f>L1028*VLOOKUP(H1028,dagsoorttabel1,2,FALSE)</f>
        <v>4.3199999999999994</v>
      </c>
      <c r="N1028" s="96">
        <f>prodnorm75</f>
        <v>0</v>
      </c>
      <c r="O1028" s="37">
        <f>dagwerk75</f>
        <v>0</v>
      </c>
      <c r="P1028" s="93" t="s">
        <v>105</v>
      </c>
      <c r="Q1028" s="24">
        <f>uurtarief75</f>
        <v>0</v>
      </c>
      <c r="R1028" s="95" t="e">
        <f>IF(ISBLANK(N1028),0,M1028/ROUND(N1028,4))</f>
        <v>#DIV/0!</v>
      </c>
      <c r="S1028" s="95" t="e">
        <f>IF(ISBLANK(N1028),0,R1028*ROUND(O1028,2))</f>
        <v>#DIV/0!</v>
      </c>
      <c r="T1028" s="24" t="e">
        <f>ROUND(Q1028,2)*R1028</f>
        <v>#DIV/0!</v>
      </c>
      <c r="U1028" s="95" t="e">
        <f>R1028*dagenperjaar1</f>
        <v>#DIV/0!</v>
      </c>
      <c r="V1028" s="25" t="e">
        <f>U1028*ROUND(Q1028,2)</f>
        <v>#DIV/0!</v>
      </c>
    </row>
    <row r="1029" spans="1:22" x14ac:dyDescent="0.2">
      <c r="A1029" s="92" t="s">
        <v>940</v>
      </c>
      <c r="B1029" s="93" t="s">
        <v>47</v>
      </c>
      <c r="C1029" s="93" t="s">
        <v>394</v>
      </c>
      <c r="D1029" s="93" t="s">
        <v>402</v>
      </c>
      <c r="E1029" s="94" t="s">
        <v>942</v>
      </c>
      <c r="F1029" s="93" t="s">
        <v>859</v>
      </c>
      <c r="G1029" s="93" t="s">
        <v>304</v>
      </c>
      <c r="H1029" s="93" t="s">
        <v>10</v>
      </c>
      <c r="I1029" s="93" t="s">
        <v>255</v>
      </c>
      <c r="J1029" s="93" t="s">
        <v>47</v>
      </c>
      <c r="K1029" s="93"/>
      <c r="L1029" s="95">
        <v>4.08</v>
      </c>
      <c r="M1029" s="95">
        <f>L1029*VLOOKUP(H1029,dagsoorttabel1,2,FALSE)</f>
        <v>4.08</v>
      </c>
      <c r="N1029" s="96">
        <f>prodnorm75</f>
        <v>0</v>
      </c>
      <c r="O1029" s="37">
        <f>dagwerk75</f>
        <v>0</v>
      </c>
      <c r="P1029" s="93" t="s">
        <v>105</v>
      </c>
      <c r="Q1029" s="24">
        <f>uurtarief75</f>
        <v>0</v>
      </c>
      <c r="R1029" s="95" t="e">
        <f>IF(ISBLANK(N1029),0,M1029/ROUND(N1029,4))</f>
        <v>#DIV/0!</v>
      </c>
      <c r="S1029" s="95" t="e">
        <f>IF(ISBLANK(N1029),0,R1029*ROUND(O1029,2))</f>
        <v>#DIV/0!</v>
      </c>
      <c r="T1029" s="24" t="e">
        <f>ROUND(Q1029,2)*R1029</f>
        <v>#DIV/0!</v>
      </c>
      <c r="U1029" s="95" t="e">
        <f>R1029*dagenperjaar1</f>
        <v>#DIV/0!</v>
      </c>
      <c r="V1029" s="25" t="e">
        <f>U1029*ROUND(Q1029,2)</f>
        <v>#DIV/0!</v>
      </c>
    </row>
    <row r="1030" spans="1:22" x14ac:dyDescent="0.2">
      <c r="A1030" s="92" t="s">
        <v>940</v>
      </c>
      <c r="B1030" s="93" t="s">
        <v>47</v>
      </c>
      <c r="C1030" s="93" t="s">
        <v>394</v>
      </c>
      <c r="D1030" s="93" t="s">
        <v>406</v>
      </c>
      <c r="E1030" s="94" t="s">
        <v>423</v>
      </c>
      <c r="F1030" s="93" t="s">
        <v>859</v>
      </c>
      <c r="G1030" s="93" t="s">
        <v>304</v>
      </c>
      <c r="H1030" s="93" t="s">
        <v>10</v>
      </c>
      <c r="I1030" s="93" t="s">
        <v>255</v>
      </c>
      <c r="J1030" s="93" t="s">
        <v>47</v>
      </c>
      <c r="K1030" s="93"/>
      <c r="L1030" s="95">
        <v>3.48</v>
      </c>
      <c r="M1030" s="95">
        <f>L1030*VLOOKUP(H1030,dagsoorttabel1,2,FALSE)</f>
        <v>3.48</v>
      </c>
      <c r="N1030" s="96">
        <f>prodnorm75</f>
        <v>0</v>
      </c>
      <c r="O1030" s="37">
        <f>dagwerk75</f>
        <v>0</v>
      </c>
      <c r="P1030" s="93" t="s">
        <v>105</v>
      </c>
      <c r="Q1030" s="24">
        <f>uurtarief75</f>
        <v>0</v>
      </c>
      <c r="R1030" s="95" t="e">
        <f>IF(ISBLANK(N1030),0,M1030/ROUND(N1030,4))</f>
        <v>#DIV/0!</v>
      </c>
      <c r="S1030" s="95" t="e">
        <f>IF(ISBLANK(N1030),0,R1030*ROUND(O1030,2))</f>
        <v>#DIV/0!</v>
      </c>
      <c r="T1030" s="24" t="e">
        <f>ROUND(Q1030,2)*R1030</f>
        <v>#DIV/0!</v>
      </c>
      <c r="U1030" s="95" t="e">
        <f>R1030*dagenperjaar1</f>
        <v>#DIV/0!</v>
      </c>
      <c r="V1030" s="25" t="e">
        <f>U1030*ROUND(Q1030,2)</f>
        <v>#DIV/0!</v>
      </c>
    </row>
    <row r="1031" spans="1:22" x14ac:dyDescent="0.2">
      <c r="A1031" s="92" t="s">
        <v>940</v>
      </c>
      <c r="B1031" s="93" t="s">
        <v>47</v>
      </c>
      <c r="C1031" s="93" t="s">
        <v>394</v>
      </c>
      <c r="D1031" s="93" t="s">
        <v>409</v>
      </c>
      <c r="E1031" s="94" t="s">
        <v>423</v>
      </c>
      <c r="F1031" s="93" t="s">
        <v>859</v>
      </c>
      <c r="G1031" s="93" t="s">
        <v>304</v>
      </c>
      <c r="H1031" s="93" t="s">
        <v>10</v>
      </c>
      <c r="I1031" s="93" t="s">
        <v>255</v>
      </c>
      <c r="J1031" s="93" t="s">
        <v>47</v>
      </c>
      <c r="K1031" s="93"/>
      <c r="L1031" s="95">
        <v>3.23</v>
      </c>
      <c r="M1031" s="95">
        <f>L1031*VLOOKUP(H1031,dagsoorttabel1,2,FALSE)</f>
        <v>3.23</v>
      </c>
      <c r="N1031" s="96">
        <f>prodnorm75</f>
        <v>0</v>
      </c>
      <c r="O1031" s="37">
        <f>dagwerk75</f>
        <v>0</v>
      </c>
      <c r="P1031" s="93" t="s">
        <v>105</v>
      </c>
      <c r="Q1031" s="24">
        <f>uurtarief75</f>
        <v>0</v>
      </c>
      <c r="R1031" s="95" t="e">
        <f>IF(ISBLANK(N1031),0,M1031/ROUND(N1031,4))</f>
        <v>#DIV/0!</v>
      </c>
      <c r="S1031" s="95" t="e">
        <f>IF(ISBLANK(N1031),0,R1031*ROUND(O1031,2))</f>
        <v>#DIV/0!</v>
      </c>
      <c r="T1031" s="24" t="e">
        <f>ROUND(Q1031,2)*R1031</f>
        <v>#DIV/0!</v>
      </c>
      <c r="U1031" s="95" t="e">
        <f>R1031*dagenperjaar1</f>
        <v>#DIV/0!</v>
      </c>
      <c r="V1031" s="25" t="e">
        <f>U1031*ROUND(Q1031,2)</f>
        <v>#DIV/0!</v>
      </c>
    </row>
    <row r="1032" spans="1:22" x14ac:dyDescent="0.2">
      <c r="A1032" s="92" t="s">
        <v>940</v>
      </c>
      <c r="B1032" s="93" t="s">
        <v>47</v>
      </c>
      <c r="C1032" s="93" t="s">
        <v>394</v>
      </c>
      <c r="D1032" s="93" t="s">
        <v>411</v>
      </c>
      <c r="E1032" s="94" t="s">
        <v>943</v>
      </c>
      <c r="F1032" s="93" t="s">
        <v>441</v>
      </c>
      <c r="G1032" s="93" t="s">
        <v>259</v>
      </c>
      <c r="H1032" s="93" t="s">
        <v>10</v>
      </c>
      <c r="I1032" s="93" t="s">
        <v>255</v>
      </c>
      <c r="J1032" s="93" t="s">
        <v>47</v>
      </c>
      <c r="K1032" s="93"/>
      <c r="L1032" s="95">
        <v>12.07</v>
      </c>
      <c r="M1032" s="95">
        <f>L1032*VLOOKUP(H1032,dagsoorttabel1,2,FALSE)</f>
        <v>12.07</v>
      </c>
      <c r="N1032" s="96">
        <f>prodnorm32</f>
        <v>0</v>
      </c>
      <c r="O1032" s="37">
        <f>dagwerk32</f>
        <v>0</v>
      </c>
      <c r="P1032" s="93" t="s">
        <v>105</v>
      </c>
      <c r="Q1032" s="24">
        <f>uurtarief32</f>
        <v>0</v>
      </c>
      <c r="R1032" s="95" t="e">
        <f>IF(ISBLANK(N1032),0,M1032/ROUND(N1032,4))</f>
        <v>#DIV/0!</v>
      </c>
      <c r="S1032" s="95" t="e">
        <f>IF(ISBLANK(N1032),0,R1032*ROUND(O1032,2))</f>
        <v>#DIV/0!</v>
      </c>
      <c r="T1032" s="24" t="e">
        <f>ROUND(Q1032,2)*R1032</f>
        <v>#DIV/0!</v>
      </c>
      <c r="U1032" s="95" t="e">
        <f>R1032*dagenperjaar1</f>
        <v>#DIV/0!</v>
      </c>
      <c r="V1032" s="25" t="e">
        <f>U1032*ROUND(Q1032,2)</f>
        <v>#DIV/0!</v>
      </c>
    </row>
    <row r="1033" spans="1:22" x14ac:dyDescent="0.2">
      <c r="A1033" s="92" t="s">
        <v>940</v>
      </c>
      <c r="B1033" s="93" t="s">
        <v>47</v>
      </c>
      <c r="C1033" s="93" t="s">
        <v>394</v>
      </c>
      <c r="D1033" s="93" t="s">
        <v>413</v>
      </c>
      <c r="E1033" s="94" t="s">
        <v>544</v>
      </c>
      <c r="F1033" s="93" t="s">
        <v>441</v>
      </c>
      <c r="G1033" s="93" t="s">
        <v>294</v>
      </c>
      <c r="H1033" s="93" t="s">
        <v>10</v>
      </c>
      <c r="I1033" s="93" t="s">
        <v>255</v>
      </c>
      <c r="J1033" s="93" t="s">
        <v>47</v>
      </c>
      <c r="K1033" s="93"/>
      <c r="L1033" s="95">
        <v>2.2000000000000002</v>
      </c>
      <c r="M1033" s="95">
        <f>L1033*VLOOKUP(H1033,dagsoorttabel1,2,FALSE)</f>
        <v>2.2000000000000002</v>
      </c>
      <c r="N1033" s="96">
        <f>prodnorm67</f>
        <v>0</v>
      </c>
      <c r="O1033" s="37">
        <f>dagwerk67</f>
        <v>0</v>
      </c>
      <c r="P1033" s="93" t="s">
        <v>105</v>
      </c>
      <c r="Q1033" s="24">
        <f>uurtarief67</f>
        <v>0</v>
      </c>
      <c r="R1033" s="95" t="e">
        <f>IF(ISBLANK(N1033),0,M1033/ROUND(N1033,4))</f>
        <v>#DIV/0!</v>
      </c>
      <c r="S1033" s="95" t="e">
        <f>IF(ISBLANK(N1033),0,R1033*ROUND(O1033,2))</f>
        <v>#DIV/0!</v>
      </c>
      <c r="T1033" s="24" t="e">
        <f>ROUND(Q1033,2)*R1033</f>
        <v>#DIV/0!</v>
      </c>
      <c r="U1033" s="95" t="e">
        <f>R1033*dagenperjaar1</f>
        <v>#DIV/0!</v>
      </c>
      <c r="V1033" s="25" t="e">
        <f>U1033*ROUND(Q1033,2)</f>
        <v>#DIV/0!</v>
      </c>
    </row>
    <row r="1034" spans="1:22" x14ac:dyDescent="0.2">
      <c r="A1034" s="92" t="s">
        <v>940</v>
      </c>
      <c r="B1034" s="93" t="s">
        <v>47</v>
      </c>
      <c r="C1034" s="93" t="s">
        <v>394</v>
      </c>
      <c r="D1034" s="93" t="s">
        <v>415</v>
      </c>
      <c r="E1034" s="94" t="s">
        <v>922</v>
      </c>
      <c r="F1034" s="93" t="s">
        <v>441</v>
      </c>
      <c r="G1034" s="93" t="s">
        <v>259</v>
      </c>
      <c r="H1034" s="93" t="s">
        <v>10</v>
      </c>
      <c r="I1034" s="93" t="s">
        <v>255</v>
      </c>
      <c r="J1034" s="93" t="s">
        <v>47</v>
      </c>
      <c r="K1034" s="93"/>
      <c r="L1034" s="95">
        <v>37.86</v>
      </c>
      <c r="M1034" s="95">
        <f>L1034*VLOOKUP(H1034,dagsoorttabel1,2,FALSE)</f>
        <v>37.86</v>
      </c>
      <c r="N1034" s="96">
        <f>prodnorm32</f>
        <v>0</v>
      </c>
      <c r="O1034" s="37">
        <f>dagwerk32</f>
        <v>0</v>
      </c>
      <c r="P1034" s="93" t="s">
        <v>105</v>
      </c>
      <c r="Q1034" s="24">
        <f>uurtarief32</f>
        <v>0</v>
      </c>
      <c r="R1034" s="95" t="e">
        <f>IF(ISBLANK(N1034),0,M1034/ROUND(N1034,4))</f>
        <v>#DIV/0!</v>
      </c>
      <c r="S1034" s="95" t="e">
        <f>IF(ISBLANK(N1034),0,R1034*ROUND(O1034,2))</f>
        <v>#DIV/0!</v>
      </c>
      <c r="T1034" s="24" t="e">
        <f>ROUND(Q1034,2)*R1034</f>
        <v>#DIV/0!</v>
      </c>
      <c r="U1034" s="95" t="e">
        <f>R1034*dagenperjaar1</f>
        <v>#DIV/0!</v>
      </c>
      <c r="V1034" s="25" t="e">
        <f>U1034*ROUND(Q1034,2)</f>
        <v>#DIV/0!</v>
      </c>
    </row>
    <row r="1035" spans="1:22" x14ac:dyDescent="0.2">
      <c r="A1035" s="92" t="s">
        <v>940</v>
      </c>
      <c r="B1035" s="93" t="s">
        <v>47</v>
      </c>
      <c r="C1035" s="93" t="s">
        <v>394</v>
      </c>
      <c r="D1035" s="93" t="s">
        <v>944</v>
      </c>
      <c r="E1035" s="94" t="s">
        <v>922</v>
      </c>
      <c r="F1035" s="93" t="s">
        <v>441</v>
      </c>
      <c r="G1035" s="93" t="s">
        <v>294</v>
      </c>
      <c r="H1035" s="93" t="s">
        <v>10</v>
      </c>
      <c r="I1035" s="93" t="s">
        <v>255</v>
      </c>
      <c r="J1035" s="93" t="s">
        <v>47</v>
      </c>
      <c r="K1035" s="93"/>
      <c r="L1035" s="95">
        <v>2.54</v>
      </c>
      <c r="M1035" s="95">
        <f>L1035*VLOOKUP(H1035,dagsoorttabel1,2,FALSE)</f>
        <v>2.54</v>
      </c>
      <c r="N1035" s="96">
        <f>prodnorm67</f>
        <v>0</v>
      </c>
      <c r="O1035" s="37">
        <f>dagwerk67</f>
        <v>0</v>
      </c>
      <c r="P1035" s="93" t="s">
        <v>105</v>
      </c>
      <c r="Q1035" s="24">
        <f>uurtarief67</f>
        <v>0</v>
      </c>
      <c r="R1035" s="95" t="e">
        <f>IF(ISBLANK(N1035),0,M1035/ROUND(N1035,4))</f>
        <v>#DIV/0!</v>
      </c>
      <c r="S1035" s="95" t="e">
        <f>IF(ISBLANK(N1035),0,R1035*ROUND(O1035,2))</f>
        <v>#DIV/0!</v>
      </c>
      <c r="T1035" s="24" t="e">
        <f>ROUND(Q1035,2)*R1035</f>
        <v>#DIV/0!</v>
      </c>
      <c r="U1035" s="95" t="e">
        <f>R1035*dagenperjaar1</f>
        <v>#DIV/0!</v>
      </c>
      <c r="V1035" s="25" t="e">
        <f>U1035*ROUND(Q1035,2)</f>
        <v>#DIV/0!</v>
      </c>
    </row>
    <row r="1036" spans="1:22" x14ac:dyDescent="0.2">
      <c r="A1036" s="97" t="s">
        <v>940</v>
      </c>
      <c r="B1036" s="98" t="s">
        <v>47</v>
      </c>
      <c r="C1036" s="98" t="s">
        <v>394</v>
      </c>
      <c r="D1036" s="98" t="s">
        <v>416</v>
      </c>
      <c r="E1036" s="99" t="s">
        <v>532</v>
      </c>
      <c r="F1036" s="98" t="s">
        <v>441</v>
      </c>
      <c r="G1036" s="98" t="s">
        <v>259</v>
      </c>
      <c r="H1036" s="98" t="s">
        <v>10</v>
      </c>
      <c r="I1036" s="98" t="s">
        <v>255</v>
      </c>
      <c r="J1036" s="98" t="s">
        <v>47</v>
      </c>
      <c r="K1036" s="98"/>
      <c r="L1036" s="100">
        <v>30.03</v>
      </c>
      <c r="M1036" s="100">
        <f>L1036*VLOOKUP(H1036,dagsoorttabel1,2,FALSE)</f>
        <v>30.03</v>
      </c>
      <c r="N1036" s="101">
        <f>prodnorm32</f>
        <v>0</v>
      </c>
      <c r="O1036" s="102">
        <f>dagwerk32</f>
        <v>0</v>
      </c>
      <c r="P1036" s="98" t="s">
        <v>105</v>
      </c>
      <c r="Q1036" s="34">
        <f>uurtarief32</f>
        <v>0</v>
      </c>
      <c r="R1036" s="100" t="e">
        <f>IF(ISBLANK(N1036),0,M1036/ROUND(N1036,4))</f>
        <v>#DIV/0!</v>
      </c>
      <c r="S1036" s="100" t="e">
        <f>IF(ISBLANK(N1036),0,R1036*ROUND(O1036,2))</f>
        <v>#DIV/0!</v>
      </c>
      <c r="T1036" s="34" t="e">
        <f>ROUND(Q1036,2)*R1036</f>
        <v>#DIV/0!</v>
      </c>
      <c r="U1036" s="100" t="e">
        <f>R1036*dagenperjaar1</f>
        <v>#DIV/0!</v>
      </c>
      <c r="V1036" s="35" t="e">
        <f>U1036*ROUND(Q1036,2)</f>
        <v>#DIV/0!</v>
      </c>
    </row>
    <row r="1037" spans="1:22" x14ac:dyDescent="0.2">
      <c r="A1037" s="103" t="s">
        <v>436</v>
      </c>
      <c r="B1037" s="73"/>
      <c r="C1037" s="73"/>
      <c r="D1037" s="73"/>
      <c r="E1037" s="73"/>
      <c r="F1037" s="73"/>
      <c r="G1037" s="73"/>
      <c r="H1037" s="73"/>
      <c r="I1037" s="73"/>
      <c r="J1037" s="73"/>
      <c r="K1037" s="73"/>
      <c r="L1037" s="73"/>
      <c r="M1037" s="73"/>
      <c r="N1037" s="73"/>
      <c r="O1037" s="73"/>
      <c r="P1037" s="73"/>
      <c r="Q1037" s="75" t="e">
        <f>IF(_xlfn.SINGLE(object29_urenjaar1)&gt;0,_xlfn.SINGLE(object29_prijsjaar1)/_xlfn.SINGLE(object29_urenjaar1),0)</f>
        <v>#DIV/0!</v>
      </c>
      <c r="R1037" s="74" t="e">
        <f>SUM(R1026:R1036)</f>
        <v>#DIV/0!</v>
      </c>
      <c r="S1037" s="74" t="e">
        <f>SUM(S1026:S1036)</f>
        <v>#DIV/0!</v>
      </c>
      <c r="T1037" s="75" t="e">
        <f>SUM(T1026:T1036)</f>
        <v>#DIV/0!</v>
      </c>
      <c r="U1037" s="74" t="e">
        <f>SUM(U1026:U1036)</f>
        <v>#DIV/0!</v>
      </c>
      <c r="V1037" s="76" t="e">
        <f>SUM(V1026:V1036)</f>
        <v>#DIV/0!</v>
      </c>
    </row>
    <row r="1038" spans="1:22" x14ac:dyDescent="0.2">
      <c r="A1038" s="83" t="s">
        <v>945</v>
      </c>
      <c r="B1038" s="45"/>
      <c r="C1038" s="45"/>
      <c r="D1038" s="45"/>
      <c r="E1038" s="45"/>
      <c r="F1038" s="45"/>
      <c r="G1038" s="45"/>
      <c r="H1038" s="45"/>
      <c r="I1038" s="45"/>
      <c r="J1038" s="45"/>
      <c r="K1038" s="45"/>
      <c r="L1038" s="45"/>
      <c r="M1038" s="45"/>
      <c r="N1038" s="45"/>
      <c r="O1038" s="45"/>
      <c r="P1038" s="45"/>
      <c r="Q1038" s="45"/>
      <c r="R1038" s="45"/>
      <c r="S1038" s="45"/>
      <c r="T1038" s="45"/>
      <c r="U1038" s="45"/>
      <c r="V1038" s="71"/>
    </row>
    <row r="1039" spans="1:22" x14ac:dyDescent="0.2">
      <c r="A1039" s="84" t="s">
        <v>946</v>
      </c>
      <c r="B1039" s="85" t="s">
        <v>47</v>
      </c>
      <c r="C1039" s="85" t="s">
        <v>394</v>
      </c>
      <c r="D1039" s="85" t="s">
        <v>947</v>
      </c>
      <c r="E1039" s="86" t="s">
        <v>948</v>
      </c>
      <c r="F1039" s="85" t="s">
        <v>476</v>
      </c>
      <c r="G1039" s="85" t="s">
        <v>318</v>
      </c>
      <c r="H1039" s="85" t="s">
        <v>10</v>
      </c>
      <c r="I1039" s="85" t="s">
        <v>255</v>
      </c>
      <c r="J1039" s="85" t="s">
        <v>47</v>
      </c>
      <c r="K1039" s="85"/>
      <c r="L1039" s="87">
        <v>25.32</v>
      </c>
      <c r="M1039" s="87">
        <f>L1039*VLOOKUP(H1039,dagsoorttabel1,2,FALSE)</f>
        <v>25.32</v>
      </c>
      <c r="N1039" s="88">
        <f>prodnorm94</f>
        <v>0</v>
      </c>
      <c r="O1039" s="89">
        <f>dagwerk94</f>
        <v>0</v>
      </c>
      <c r="P1039" s="85" t="s">
        <v>105</v>
      </c>
      <c r="Q1039" s="90">
        <f>uurtarief94</f>
        <v>0</v>
      </c>
      <c r="R1039" s="87" t="e">
        <f>IF(ISBLANK(N1039),0,M1039/ROUND(N1039,4))</f>
        <v>#DIV/0!</v>
      </c>
      <c r="S1039" s="87" t="e">
        <f>IF(ISBLANK(N1039),0,R1039*ROUND(O1039,2))</f>
        <v>#DIV/0!</v>
      </c>
      <c r="T1039" s="90" t="e">
        <f>ROUND(Q1039,2)*R1039</f>
        <v>#DIV/0!</v>
      </c>
      <c r="U1039" s="87" t="e">
        <f>R1039*dagenperjaar1</f>
        <v>#DIV/0!</v>
      </c>
      <c r="V1039" s="91" t="e">
        <f>U1039*ROUND(Q1039,2)</f>
        <v>#DIV/0!</v>
      </c>
    </row>
    <row r="1040" spans="1:22" x14ac:dyDescent="0.2">
      <c r="A1040" s="92" t="s">
        <v>946</v>
      </c>
      <c r="B1040" s="93" t="s">
        <v>47</v>
      </c>
      <c r="C1040" s="93" t="s">
        <v>394</v>
      </c>
      <c r="D1040" s="93" t="s">
        <v>949</v>
      </c>
      <c r="E1040" s="94" t="s">
        <v>950</v>
      </c>
      <c r="F1040" s="93" t="s">
        <v>442</v>
      </c>
      <c r="G1040" s="93" t="s">
        <v>270</v>
      </c>
      <c r="H1040" s="93" t="s">
        <v>10</v>
      </c>
      <c r="I1040" s="93" t="s">
        <v>255</v>
      </c>
      <c r="J1040" s="93" t="s">
        <v>47</v>
      </c>
      <c r="K1040" s="93"/>
      <c r="L1040" s="95">
        <v>176.46</v>
      </c>
      <c r="M1040" s="95">
        <f>L1040*VLOOKUP(H1040,dagsoorttabel1,2,FALSE)</f>
        <v>176.46</v>
      </c>
      <c r="N1040" s="96">
        <f>prodnorm44</f>
        <v>0</v>
      </c>
      <c r="O1040" s="37">
        <f>dagwerk44</f>
        <v>0</v>
      </c>
      <c r="P1040" s="93" t="s">
        <v>105</v>
      </c>
      <c r="Q1040" s="24">
        <f>uurtarief44</f>
        <v>0</v>
      </c>
      <c r="R1040" s="95" t="e">
        <f>IF(ISBLANK(N1040),0,M1040/ROUND(N1040,4))</f>
        <v>#DIV/0!</v>
      </c>
      <c r="S1040" s="95" t="e">
        <f>IF(ISBLANK(N1040),0,R1040*ROUND(O1040,2))</f>
        <v>#DIV/0!</v>
      </c>
      <c r="T1040" s="24" t="e">
        <f>ROUND(Q1040,2)*R1040</f>
        <v>#DIV/0!</v>
      </c>
      <c r="U1040" s="95" t="e">
        <f>R1040*dagenperjaar1</f>
        <v>#DIV/0!</v>
      </c>
      <c r="V1040" s="25" t="e">
        <f>U1040*ROUND(Q1040,2)</f>
        <v>#DIV/0!</v>
      </c>
    </row>
    <row r="1041" spans="1:22" x14ac:dyDescent="0.2">
      <c r="A1041" s="92" t="s">
        <v>946</v>
      </c>
      <c r="B1041" s="93" t="s">
        <v>47</v>
      </c>
      <c r="C1041" s="93" t="s">
        <v>394</v>
      </c>
      <c r="D1041" s="93" t="s">
        <v>949</v>
      </c>
      <c r="E1041" s="94" t="s">
        <v>950</v>
      </c>
      <c r="F1041" s="93" t="s">
        <v>442</v>
      </c>
      <c r="G1041" s="93" t="s">
        <v>272</v>
      </c>
      <c r="H1041" s="93" t="s">
        <v>10</v>
      </c>
      <c r="I1041" s="93" t="s">
        <v>255</v>
      </c>
      <c r="J1041" s="93" t="s">
        <v>47</v>
      </c>
      <c r="K1041" s="93"/>
      <c r="L1041" s="95">
        <v>176.46</v>
      </c>
      <c r="M1041" s="95">
        <f>L1041*VLOOKUP(H1041,dagsoorttabel1,2,FALSE)</f>
        <v>176.46</v>
      </c>
      <c r="N1041" s="96">
        <f>prodnorm46</f>
        <v>0</v>
      </c>
      <c r="O1041" s="37">
        <f>dagwerk46</f>
        <v>0</v>
      </c>
      <c r="P1041" s="93" t="s">
        <v>105</v>
      </c>
      <c r="Q1041" s="24">
        <f>uurtarief46</f>
        <v>0</v>
      </c>
      <c r="R1041" s="95" t="e">
        <f>IF(ISBLANK(N1041),0,M1041/ROUND(N1041,4))</f>
        <v>#DIV/0!</v>
      </c>
      <c r="S1041" s="95" t="e">
        <f>IF(ISBLANK(N1041),0,R1041*ROUND(O1041,2))</f>
        <v>#DIV/0!</v>
      </c>
      <c r="T1041" s="24" t="e">
        <f>ROUND(Q1041,2)*R1041</f>
        <v>#DIV/0!</v>
      </c>
      <c r="U1041" s="95" t="e">
        <f>R1041*dagenperjaar1</f>
        <v>#DIV/0!</v>
      </c>
      <c r="V1041" s="25" t="e">
        <f>U1041*ROUND(Q1041,2)</f>
        <v>#DIV/0!</v>
      </c>
    </row>
    <row r="1042" spans="1:22" x14ac:dyDescent="0.2">
      <c r="A1042" s="92" t="s">
        <v>946</v>
      </c>
      <c r="B1042" s="93" t="s">
        <v>47</v>
      </c>
      <c r="C1042" s="93" t="s">
        <v>394</v>
      </c>
      <c r="D1042" s="93" t="s">
        <v>951</v>
      </c>
      <c r="E1042" s="94" t="s">
        <v>952</v>
      </c>
      <c r="F1042" s="93" t="s">
        <v>397</v>
      </c>
      <c r="G1042" s="93" t="s">
        <v>259</v>
      </c>
      <c r="H1042" s="93" t="s">
        <v>21</v>
      </c>
      <c r="I1042" s="93" t="s">
        <v>255</v>
      </c>
      <c r="J1042" s="93" t="s">
        <v>47</v>
      </c>
      <c r="K1042" s="93"/>
      <c r="L1042" s="95">
        <v>10.39</v>
      </c>
      <c r="M1042" s="95">
        <f>L1042*VLOOKUP(H1042,dagsoorttabel1,2,FALSE)</f>
        <v>2.0780000000000003</v>
      </c>
      <c r="N1042" s="96">
        <f>prodnorm33</f>
        <v>0</v>
      </c>
      <c r="O1042" s="37">
        <f>dagwerk33</f>
        <v>0</v>
      </c>
      <c r="P1042" s="93" t="s">
        <v>105</v>
      </c>
      <c r="Q1042" s="24">
        <f>uurtarief33</f>
        <v>0</v>
      </c>
      <c r="R1042" s="95" t="e">
        <f>IF(ISBLANK(N1042),0,M1042/ROUND(N1042,4))</f>
        <v>#DIV/0!</v>
      </c>
      <c r="S1042" s="95" t="e">
        <f>IF(ISBLANK(N1042),0,R1042*ROUND(O1042,2))</f>
        <v>#DIV/0!</v>
      </c>
      <c r="T1042" s="24" t="e">
        <f>ROUND(Q1042,2)*R1042</f>
        <v>#DIV/0!</v>
      </c>
      <c r="U1042" s="95" t="e">
        <f>R1042*dagenperjaar1</f>
        <v>#DIV/0!</v>
      </c>
      <c r="V1042" s="25" t="e">
        <f>U1042*ROUND(Q1042,2)</f>
        <v>#DIV/0!</v>
      </c>
    </row>
    <row r="1043" spans="1:22" x14ac:dyDescent="0.2">
      <c r="A1043" s="92" t="s">
        <v>946</v>
      </c>
      <c r="B1043" s="93" t="s">
        <v>47</v>
      </c>
      <c r="C1043" s="93" t="s">
        <v>394</v>
      </c>
      <c r="D1043" s="93" t="s">
        <v>953</v>
      </c>
      <c r="E1043" s="94" t="s">
        <v>954</v>
      </c>
      <c r="F1043" s="93" t="s">
        <v>397</v>
      </c>
      <c r="G1043" s="93" t="s">
        <v>304</v>
      </c>
      <c r="H1043" s="93" t="s">
        <v>10</v>
      </c>
      <c r="I1043" s="93" t="s">
        <v>255</v>
      </c>
      <c r="J1043" s="93" t="s">
        <v>47</v>
      </c>
      <c r="K1043" s="93"/>
      <c r="L1043" s="95">
        <v>15.93</v>
      </c>
      <c r="M1043" s="95">
        <f>L1043*VLOOKUP(H1043,dagsoorttabel1,2,FALSE)</f>
        <v>15.93</v>
      </c>
      <c r="N1043" s="96">
        <f>prodnorm75</f>
        <v>0</v>
      </c>
      <c r="O1043" s="37">
        <f>dagwerk75</f>
        <v>0</v>
      </c>
      <c r="P1043" s="93" t="s">
        <v>105</v>
      </c>
      <c r="Q1043" s="24">
        <f>uurtarief75</f>
        <v>0</v>
      </c>
      <c r="R1043" s="95" t="e">
        <f>IF(ISBLANK(N1043),0,M1043/ROUND(N1043,4))</f>
        <v>#DIV/0!</v>
      </c>
      <c r="S1043" s="95" t="e">
        <f>IF(ISBLANK(N1043),0,R1043*ROUND(O1043,2))</f>
        <v>#DIV/0!</v>
      </c>
      <c r="T1043" s="24" t="e">
        <f>ROUND(Q1043,2)*R1043</f>
        <v>#DIV/0!</v>
      </c>
      <c r="U1043" s="95" t="e">
        <f>R1043*dagenperjaar1</f>
        <v>#DIV/0!</v>
      </c>
      <c r="V1043" s="25" t="e">
        <f>U1043*ROUND(Q1043,2)</f>
        <v>#DIV/0!</v>
      </c>
    </row>
    <row r="1044" spans="1:22" x14ac:dyDescent="0.2">
      <c r="A1044" s="92" t="s">
        <v>946</v>
      </c>
      <c r="B1044" s="93" t="s">
        <v>47</v>
      </c>
      <c r="C1044" s="93" t="s">
        <v>394</v>
      </c>
      <c r="D1044" s="93" t="s">
        <v>953</v>
      </c>
      <c r="E1044" s="94" t="s">
        <v>954</v>
      </c>
      <c r="F1044" s="93" t="s">
        <v>397</v>
      </c>
      <c r="G1044" s="93" t="s">
        <v>306</v>
      </c>
      <c r="H1044" s="93" t="s">
        <v>10</v>
      </c>
      <c r="I1044" s="93" t="s">
        <v>255</v>
      </c>
      <c r="J1044" s="93" t="s">
        <v>47</v>
      </c>
      <c r="K1044" s="93"/>
      <c r="L1044" s="95">
        <v>15.93</v>
      </c>
      <c r="M1044" s="95">
        <f>L1044*VLOOKUP(H1044,dagsoorttabel1,2,FALSE)</f>
        <v>15.93</v>
      </c>
      <c r="N1044" s="96">
        <f>prodnorm79</f>
        <v>0</v>
      </c>
      <c r="O1044" s="37">
        <f>dagwerk79</f>
        <v>0</v>
      </c>
      <c r="P1044" s="93" t="s">
        <v>105</v>
      </c>
      <c r="Q1044" s="24">
        <f>uurtarief79</f>
        <v>0</v>
      </c>
      <c r="R1044" s="95" t="e">
        <f>IF(ISBLANK(N1044),0,M1044/ROUND(N1044,4))</f>
        <v>#DIV/0!</v>
      </c>
      <c r="S1044" s="95" t="e">
        <f>IF(ISBLANK(N1044),0,R1044*ROUND(O1044,2))</f>
        <v>#DIV/0!</v>
      </c>
      <c r="T1044" s="24" t="e">
        <f>ROUND(Q1044,2)*R1044</f>
        <v>#DIV/0!</v>
      </c>
      <c r="U1044" s="95" t="e">
        <f>R1044*dagenperjaar1</f>
        <v>#DIV/0!</v>
      </c>
      <c r="V1044" s="25" t="e">
        <f>U1044*ROUND(Q1044,2)</f>
        <v>#DIV/0!</v>
      </c>
    </row>
    <row r="1045" spans="1:22" x14ac:dyDescent="0.2">
      <c r="A1045" s="92" t="s">
        <v>946</v>
      </c>
      <c r="B1045" s="93" t="s">
        <v>47</v>
      </c>
      <c r="C1045" s="93" t="s">
        <v>394</v>
      </c>
      <c r="D1045" s="93" t="s">
        <v>955</v>
      </c>
      <c r="E1045" s="94" t="s">
        <v>956</v>
      </c>
      <c r="F1045" s="93" t="s">
        <v>397</v>
      </c>
      <c r="G1045" s="93" t="s">
        <v>304</v>
      </c>
      <c r="H1045" s="93" t="s">
        <v>10</v>
      </c>
      <c r="I1045" s="93" t="s">
        <v>255</v>
      </c>
      <c r="J1045" s="93" t="s">
        <v>47</v>
      </c>
      <c r="K1045" s="93"/>
      <c r="L1045" s="95">
        <v>19.850000000000001</v>
      </c>
      <c r="M1045" s="95">
        <f>L1045*VLOOKUP(H1045,dagsoorttabel1,2,FALSE)</f>
        <v>19.850000000000001</v>
      </c>
      <c r="N1045" s="96">
        <f>prodnorm75</f>
        <v>0</v>
      </c>
      <c r="O1045" s="37">
        <f>dagwerk75</f>
        <v>0</v>
      </c>
      <c r="P1045" s="93" t="s">
        <v>105</v>
      </c>
      <c r="Q1045" s="24">
        <f>uurtarief75</f>
        <v>0</v>
      </c>
      <c r="R1045" s="95" t="e">
        <f>IF(ISBLANK(N1045),0,M1045/ROUND(N1045,4))</f>
        <v>#DIV/0!</v>
      </c>
      <c r="S1045" s="95" t="e">
        <f>IF(ISBLANK(N1045),0,R1045*ROUND(O1045,2))</f>
        <v>#DIV/0!</v>
      </c>
      <c r="T1045" s="24" t="e">
        <f>ROUND(Q1045,2)*R1045</f>
        <v>#DIV/0!</v>
      </c>
      <c r="U1045" s="95" t="e">
        <f>R1045*dagenperjaar1</f>
        <v>#DIV/0!</v>
      </c>
      <c r="V1045" s="25" t="e">
        <f>U1045*ROUND(Q1045,2)</f>
        <v>#DIV/0!</v>
      </c>
    </row>
    <row r="1046" spans="1:22" x14ac:dyDescent="0.2">
      <c r="A1046" s="92" t="s">
        <v>946</v>
      </c>
      <c r="B1046" s="93" t="s">
        <v>47</v>
      </c>
      <c r="C1046" s="93" t="s">
        <v>394</v>
      </c>
      <c r="D1046" s="93" t="s">
        <v>955</v>
      </c>
      <c r="E1046" s="94" t="s">
        <v>956</v>
      </c>
      <c r="F1046" s="93" t="s">
        <v>397</v>
      </c>
      <c r="G1046" s="93" t="s">
        <v>306</v>
      </c>
      <c r="H1046" s="93" t="s">
        <v>10</v>
      </c>
      <c r="I1046" s="93" t="s">
        <v>255</v>
      </c>
      <c r="J1046" s="93" t="s">
        <v>47</v>
      </c>
      <c r="K1046" s="93"/>
      <c r="L1046" s="95">
        <v>19.850000000000001</v>
      </c>
      <c r="M1046" s="95">
        <f>L1046*VLOOKUP(H1046,dagsoorttabel1,2,FALSE)</f>
        <v>19.850000000000001</v>
      </c>
      <c r="N1046" s="96">
        <f>prodnorm79</f>
        <v>0</v>
      </c>
      <c r="O1046" s="37">
        <f>dagwerk79</f>
        <v>0</v>
      </c>
      <c r="P1046" s="93" t="s">
        <v>105</v>
      </c>
      <c r="Q1046" s="24">
        <f>uurtarief79</f>
        <v>0</v>
      </c>
      <c r="R1046" s="95" t="e">
        <f>IF(ISBLANK(N1046),0,M1046/ROUND(N1046,4))</f>
        <v>#DIV/0!</v>
      </c>
      <c r="S1046" s="95" t="e">
        <f>IF(ISBLANK(N1046),0,R1046*ROUND(O1046,2))</f>
        <v>#DIV/0!</v>
      </c>
      <c r="T1046" s="24" t="e">
        <f>ROUND(Q1046,2)*R1046</f>
        <v>#DIV/0!</v>
      </c>
      <c r="U1046" s="95" t="e">
        <f>R1046*dagenperjaar1</f>
        <v>#DIV/0!</v>
      </c>
      <c r="V1046" s="25" t="e">
        <f>U1046*ROUND(Q1046,2)</f>
        <v>#DIV/0!</v>
      </c>
    </row>
    <row r="1047" spans="1:22" x14ac:dyDescent="0.2">
      <c r="A1047" s="92" t="s">
        <v>946</v>
      </c>
      <c r="B1047" s="93" t="s">
        <v>47</v>
      </c>
      <c r="C1047" s="93" t="s">
        <v>394</v>
      </c>
      <c r="D1047" s="93" t="s">
        <v>957</v>
      </c>
      <c r="E1047" s="94" t="s">
        <v>958</v>
      </c>
      <c r="F1047" s="93" t="s">
        <v>397</v>
      </c>
      <c r="G1047" s="93" t="s">
        <v>304</v>
      </c>
      <c r="H1047" s="93" t="s">
        <v>10</v>
      </c>
      <c r="I1047" s="93" t="s">
        <v>255</v>
      </c>
      <c r="J1047" s="93" t="s">
        <v>47</v>
      </c>
      <c r="K1047" s="93"/>
      <c r="L1047" s="95">
        <v>3.77</v>
      </c>
      <c r="M1047" s="95">
        <f>L1047*VLOOKUP(H1047,dagsoorttabel1,2,FALSE)</f>
        <v>3.77</v>
      </c>
      <c r="N1047" s="96">
        <f>prodnorm75</f>
        <v>0</v>
      </c>
      <c r="O1047" s="37">
        <f>dagwerk75</f>
        <v>0</v>
      </c>
      <c r="P1047" s="93" t="s">
        <v>105</v>
      </c>
      <c r="Q1047" s="24">
        <f>uurtarief75</f>
        <v>0</v>
      </c>
      <c r="R1047" s="95" t="e">
        <f>IF(ISBLANK(N1047),0,M1047/ROUND(N1047,4))</f>
        <v>#DIV/0!</v>
      </c>
      <c r="S1047" s="95" t="e">
        <f>IF(ISBLANK(N1047),0,R1047*ROUND(O1047,2))</f>
        <v>#DIV/0!</v>
      </c>
      <c r="T1047" s="24" t="e">
        <f>ROUND(Q1047,2)*R1047</f>
        <v>#DIV/0!</v>
      </c>
      <c r="U1047" s="95" t="e">
        <f>R1047*dagenperjaar1</f>
        <v>#DIV/0!</v>
      </c>
      <c r="V1047" s="25" t="e">
        <f>U1047*ROUND(Q1047,2)</f>
        <v>#DIV/0!</v>
      </c>
    </row>
    <row r="1048" spans="1:22" x14ac:dyDescent="0.2">
      <c r="A1048" s="92" t="s">
        <v>946</v>
      </c>
      <c r="B1048" s="93" t="s">
        <v>47</v>
      </c>
      <c r="C1048" s="93" t="s">
        <v>394</v>
      </c>
      <c r="D1048" s="93" t="s">
        <v>959</v>
      </c>
      <c r="E1048" s="94" t="s">
        <v>703</v>
      </c>
      <c r="F1048" s="93" t="s">
        <v>442</v>
      </c>
      <c r="G1048" s="93" t="s">
        <v>308</v>
      </c>
      <c r="H1048" s="93" t="s">
        <v>10</v>
      </c>
      <c r="I1048" s="93" t="s">
        <v>255</v>
      </c>
      <c r="J1048" s="93" t="s">
        <v>47</v>
      </c>
      <c r="K1048" s="93"/>
      <c r="L1048" s="95">
        <v>18.02</v>
      </c>
      <c r="M1048" s="95">
        <f>L1048*VLOOKUP(H1048,dagsoorttabel1,2,FALSE)</f>
        <v>18.02</v>
      </c>
      <c r="N1048" s="96">
        <f>prodnorm82</f>
        <v>0</v>
      </c>
      <c r="O1048" s="37">
        <f>dagwerk82</f>
        <v>0</v>
      </c>
      <c r="P1048" s="93" t="s">
        <v>105</v>
      </c>
      <c r="Q1048" s="24">
        <f>uurtarief82</f>
        <v>0</v>
      </c>
      <c r="R1048" s="95" t="e">
        <f>IF(ISBLANK(N1048),0,M1048/ROUND(N1048,4))</f>
        <v>#DIV/0!</v>
      </c>
      <c r="S1048" s="95" t="e">
        <f>IF(ISBLANK(N1048),0,R1048*ROUND(O1048,2))</f>
        <v>#DIV/0!</v>
      </c>
      <c r="T1048" s="24" t="e">
        <f>ROUND(Q1048,2)*R1048</f>
        <v>#DIV/0!</v>
      </c>
      <c r="U1048" s="95" t="e">
        <f>R1048*dagenperjaar1</f>
        <v>#DIV/0!</v>
      </c>
      <c r="V1048" s="25" t="e">
        <f>U1048*ROUND(Q1048,2)</f>
        <v>#DIV/0!</v>
      </c>
    </row>
    <row r="1049" spans="1:22" x14ac:dyDescent="0.2">
      <c r="A1049" s="92" t="s">
        <v>946</v>
      </c>
      <c r="B1049" s="93" t="s">
        <v>47</v>
      </c>
      <c r="C1049" s="93" t="s">
        <v>394</v>
      </c>
      <c r="D1049" s="93" t="s">
        <v>960</v>
      </c>
      <c r="E1049" s="94" t="s">
        <v>961</v>
      </c>
      <c r="F1049" s="93" t="s">
        <v>496</v>
      </c>
      <c r="G1049" s="93" t="s">
        <v>263</v>
      </c>
      <c r="H1049" s="93" t="s">
        <v>21</v>
      </c>
      <c r="I1049" s="93" t="s">
        <v>255</v>
      </c>
      <c r="J1049" s="93" t="s">
        <v>47</v>
      </c>
      <c r="K1049" s="93"/>
      <c r="L1049" s="95">
        <v>20.2</v>
      </c>
      <c r="M1049" s="95">
        <f>L1049*VLOOKUP(H1049,dagsoorttabel1,2,FALSE)</f>
        <v>4.04</v>
      </c>
      <c r="N1049" s="96">
        <f>prodnorm39</f>
        <v>0</v>
      </c>
      <c r="O1049" s="37">
        <f>dagwerk39</f>
        <v>0</v>
      </c>
      <c r="P1049" s="93" t="s">
        <v>105</v>
      </c>
      <c r="Q1049" s="24">
        <f>uurtarief39</f>
        <v>0</v>
      </c>
      <c r="R1049" s="95" t="e">
        <f>IF(ISBLANK(N1049),0,M1049/ROUND(N1049,4))</f>
        <v>#DIV/0!</v>
      </c>
      <c r="S1049" s="95" t="e">
        <f>IF(ISBLANK(N1049),0,R1049*ROUND(O1049,2))</f>
        <v>#DIV/0!</v>
      </c>
      <c r="T1049" s="24" t="e">
        <f>ROUND(Q1049,2)*R1049</f>
        <v>#DIV/0!</v>
      </c>
      <c r="U1049" s="95" t="e">
        <f>R1049*dagenperjaar1</f>
        <v>#DIV/0!</v>
      </c>
      <c r="V1049" s="25" t="e">
        <f>U1049*ROUND(Q1049,2)</f>
        <v>#DIV/0!</v>
      </c>
    </row>
    <row r="1050" spans="1:22" x14ac:dyDescent="0.2">
      <c r="A1050" s="92" t="s">
        <v>946</v>
      </c>
      <c r="B1050" s="93" t="s">
        <v>47</v>
      </c>
      <c r="C1050" s="93" t="s">
        <v>394</v>
      </c>
      <c r="D1050" s="93" t="s">
        <v>962</v>
      </c>
      <c r="E1050" s="94" t="s">
        <v>963</v>
      </c>
      <c r="F1050" s="93" t="s">
        <v>496</v>
      </c>
      <c r="G1050" s="93" t="s">
        <v>263</v>
      </c>
      <c r="H1050" s="93" t="s">
        <v>21</v>
      </c>
      <c r="I1050" s="93" t="s">
        <v>255</v>
      </c>
      <c r="J1050" s="93" t="s">
        <v>47</v>
      </c>
      <c r="K1050" s="93"/>
      <c r="L1050" s="95">
        <v>20.059999999999999</v>
      </c>
      <c r="M1050" s="95">
        <f>L1050*VLOOKUP(H1050,dagsoorttabel1,2,FALSE)</f>
        <v>4.0119999999999996</v>
      </c>
      <c r="N1050" s="96">
        <f>prodnorm39</f>
        <v>0</v>
      </c>
      <c r="O1050" s="37">
        <f>dagwerk39</f>
        <v>0</v>
      </c>
      <c r="P1050" s="93" t="s">
        <v>105</v>
      </c>
      <c r="Q1050" s="24">
        <f>uurtarief39</f>
        <v>0</v>
      </c>
      <c r="R1050" s="95" t="e">
        <f>IF(ISBLANK(N1050),0,M1050/ROUND(N1050,4))</f>
        <v>#DIV/0!</v>
      </c>
      <c r="S1050" s="95" t="e">
        <f>IF(ISBLANK(N1050),0,R1050*ROUND(O1050,2))</f>
        <v>#DIV/0!</v>
      </c>
      <c r="T1050" s="24" t="e">
        <f>ROUND(Q1050,2)*R1050</f>
        <v>#DIV/0!</v>
      </c>
      <c r="U1050" s="95" t="e">
        <f>R1050*dagenperjaar1</f>
        <v>#DIV/0!</v>
      </c>
      <c r="V1050" s="25" t="e">
        <f>U1050*ROUND(Q1050,2)</f>
        <v>#DIV/0!</v>
      </c>
    </row>
    <row r="1051" spans="1:22" x14ac:dyDescent="0.2">
      <c r="A1051" s="92" t="s">
        <v>946</v>
      </c>
      <c r="B1051" s="93" t="s">
        <v>47</v>
      </c>
      <c r="C1051" s="93" t="s">
        <v>394</v>
      </c>
      <c r="D1051" s="93" t="s">
        <v>964</v>
      </c>
      <c r="E1051" s="94" t="s">
        <v>965</v>
      </c>
      <c r="F1051" s="93" t="s">
        <v>397</v>
      </c>
      <c r="G1051" s="93" t="s">
        <v>330</v>
      </c>
      <c r="H1051" s="93" t="s">
        <v>18</v>
      </c>
      <c r="I1051" s="93" t="s">
        <v>255</v>
      </c>
      <c r="J1051" s="93" t="s">
        <v>47</v>
      </c>
      <c r="K1051" s="93"/>
      <c r="L1051" s="95">
        <v>25.02</v>
      </c>
      <c r="M1051" s="95">
        <f>L1051*VLOOKUP(H1051,dagsoorttabel1,2,FALSE)</f>
        <v>10.008000000000001</v>
      </c>
      <c r="N1051" s="96">
        <f>prodnorm101</f>
        <v>0</v>
      </c>
      <c r="O1051" s="37">
        <f>dagwerk101</f>
        <v>0</v>
      </c>
      <c r="P1051" s="93" t="s">
        <v>105</v>
      </c>
      <c r="Q1051" s="24">
        <f>uurtarief101</f>
        <v>0</v>
      </c>
      <c r="R1051" s="95" t="e">
        <f>IF(ISBLANK(N1051),0,M1051/ROUND(N1051,4))</f>
        <v>#DIV/0!</v>
      </c>
      <c r="S1051" s="95" t="e">
        <f>IF(ISBLANK(N1051),0,R1051*ROUND(O1051,2))</f>
        <v>#DIV/0!</v>
      </c>
      <c r="T1051" s="24" t="e">
        <f>ROUND(Q1051,2)*R1051</f>
        <v>#DIV/0!</v>
      </c>
      <c r="U1051" s="95" t="e">
        <f>R1051*dagenperjaar1</f>
        <v>#DIV/0!</v>
      </c>
      <c r="V1051" s="25" t="e">
        <f>U1051*ROUND(Q1051,2)</f>
        <v>#DIV/0!</v>
      </c>
    </row>
    <row r="1052" spans="1:22" x14ac:dyDescent="0.2">
      <c r="A1052" s="92" t="s">
        <v>946</v>
      </c>
      <c r="B1052" s="93" t="s">
        <v>47</v>
      </c>
      <c r="C1052" s="93" t="s">
        <v>394</v>
      </c>
      <c r="D1052" s="93" t="s">
        <v>966</v>
      </c>
      <c r="E1052" s="94" t="s">
        <v>746</v>
      </c>
      <c r="F1052" s="93" t="s">
        <v>397</v>
      </c>
      <c r="G1052" s="93" t="s">
        <v>266</v>
      </c>
      <c r="H1052" s="93" t="s">
        <v>13</v>
      </c>
      <c r="I1052" s="93" t="s">
        <v>255</v>
      </c>
      <c r="J1052" s="93" t="s">
        <v>47</v>
      </c>
      <c r="K1052" s="93"/>
      <c r="L1052" s="95">
        <v>1.9600000000000002</v>
      </c>
      <c r="M1052" s="95">
        <f>L1052*VLOOKUP(H1052,dagsoorttabel1,2,FALSE)</f>
        <v>1.5372549019607844</v>
      </c>
      <c r="N1052" s="96">
        <f>prodnorm40</f>
        <v>0</v>
      </c>
      <c r="O1052" s="37">
        <f>dagwerk40</f>
        <v>0</v>
      </c>
      <c r="P1052" s="93" t="s">
        <v>105</v>
      </c>
      <c r="Q1052" s="24">
        <f>uurtarief40</f>
        <v>0</v>
      </c>
      <c r="R1052" s="95" t="e">
        <f>IF(ISBLANK(N1052),0,M1052/ROUND(N1052,4))</f>
        <v>#DIV/0!</v>
      </c>
      <c r="S1052" s="95" t="e">
        <f>IF(ISBLANK(N1052),0,R1052*ROUND(O1052,2))</f>
        <v>#DIV/0!</v>
      </c>
      <c r="T1052" s="24" t="e">
        <f>ROUND(Q1052,2)*R1052</f>
        <v>#DIV/0!</v>
      </c>
      <c r="U1052" s="95" t="e">
        <f>R1052*dagenperjaar1</f>
        <v>#DIV/0!</v>
      </c>
      <c r="V1052" s="25" t="e">
        <f>U1052*ROUND(Q1052,2)</f>
        <v>#DIV/0!</v>
      </c>
    </row>
    <row r="1053" spans="1:22" x14ac:dyDescent="0.2">
      <c r="A1053" s="92" t="s">
        <v>946</v>
      </c>
      <c r="B1053" s="93" t="s">
        <v>47</v>
      </c>
      <c r="C1053" s="93" t="s">
        <v>394</v>
      </c>
      <c r="D1053" s="93" t="s">
        <v>967</v>
      </c>
      <c r="E1053" s="94" t="s">
        <v>968</v>
      </c>
      <c r="F1053" s="93" t="s">
        <v>397</v>
      </c>
      <c r="G1053" s="93" t="s">
        <v>284</v>
      </c>
      <c r="H1053" s="93" t="s">
        <v>18</v>
      </c>
      <c r="I1053" s="93" t="s">
        <v>255</v>
      </c>
      <c r="J1053" s="93" t="s">
        <v>47</v>
      </c>
      <c r="K1053" s="93"/>
      <c r="L1053" s="95">
        <v>25.1</v>
      </c>
      <c r="M1053" s="95">
        <f>L1053*VLOOKUP(H1053,dagsoorttabel1,2,FALSE)</f>
        <v>10.040000000000001</v>
      </c>
      <c r="N1053" s="96">
        <f>prodnorm57</f>
        <v>0</v>
      </c>
      <c r="O1053" s="37">
        <f>dagwerk57</f>
        <v>0</v>
      </c>
      <c r="P1053" s="93" t="s">
        <v>105</v>
      </c>
      <c r="Q1053" s="24">
        <f>uurtarief57</f>
        <v>0</v>
      </c>
      <c r="R1053" s="95" t="e">
        <f>IF(ISBLANK(N1053),0,M1053/ROUND(N1053,4))</f>
        <v>#DIV/0!</v>
      </c>
      <c r="S1053" s="95" t="e">
        <f>IF(ISBLANK(N1053),0,R1053*ROUND(O1053,2))</f>
        <v>#DIV/0!</v>
      </c>
      <c r="T1053" s="24" t="e">
        <f>ROUND(Q1053,2)*R1053</f>
        <v>#DIV/0!</v>
      </c>
      <c r="U1053" s="95" t="e">
        <f>R1053*dagenperjaar1</f>
        <v>#DIV/0!</v>
      </c>
      <c r="V1053" s="25" t="e">
        <f>U1053*ROUND(Q1053,2)</f>
        <v>#DIV/0!</v>
      </c>
    </row>
    <row r="1054" spans="1:22" x14ac:dyDescent="0.2">
      <c r="A1054" s="92" t="s">
        <v>946</v>
      </c>
      <c r="B1054" s="93" t="s">
        <v>47</v>
      </c>
      <c r="C1054" s="93" t="s">
        <v>394</v>
      </c>
      <c r="D1054" s="93" t="s">
        <v>969</v>
      </c>
      <c r="E1054" s="94" t="s">
        <v>746</v>
      </c>
      <c r="F1054" s="93" t="s">
        <v>397</v>
      </c>
      <c r="G1054" s="93" t="s">
        <v>266</v>
      </c>
      <c r="H1054" s="93" t="s">
        <v>13</v>
      </c>
      <c r="I1054" s="93" t="s">
        <v>255</v>
      </c>
      <c r="J1054" s="93" t="s">
        <v>47</v>
      </c>
      <c r="K1054" s="93"/>
      <c r="L1054" s="95">
        <v>1.9600000000000002</v>
      </c>
      <c r="M1054" s="95">
        <f>L1054*VLOOKUP(H1054,dagsoorttabel1,2,FALSE)</f>
        <v>1.5372549019607844</v>
      </c>
      <c r="N1054" s="96">
        <f>prodnorm40</f>
        <v>0</v>
      </c>
      <c r="O1054" s="37">
        <f>dagwerk40</f>
        <v>0</v>
      </c>
      <c r="P1054" s="93" t="s">
        <v>105</v>
      </c>
      <c r="Q1054" s="24">
        <f>uurtarief40</f>
        <v>0</v>
      </c>
      <c r="R1054" s="95" t="e">
        <f>IF(ISBLANK(N1054),0,M1054/ROUND(N1054,4))</f>
        <v>#DIV/0!</v>
      </c>
      <c r="S1054" s="95" t="e">
        <f>IF(ISBLANK(N1054),0,R1054*ROUND(O1054,2))</f>
        <v>#DIV/0!</v>
      </c>
      <c r="T1054" s="24" t="e">
        <f>ROUND(Q1054,2)*R1054</f>
        <v>#DIV/0!</v>
      </c>
      <c r="U1054" s="95" t="e">
        <f>R1054*dagenperjaar1</f>
        <v>#DIV/0!</v>
      </c>
      <c r="V1054" s="25" t="e">
        <f>U1054*ROUND(Q1054,2)</f>
        <v>#DIV/0!</v>
      </c>
    </row>
    <row r="1055" spans="1:22" x14ac:dyDescent="0.2">
      <c r="A1055" s="92" t="s">
        <v>946</v>
      </c>
      <c r="B1055" s="93" t="s">
        <v>47</v>
      </c>
      <c r="C1055" s="93" t="s">
        <v>394</v>
      </c>
      <c r="D1055" s="93" t="s">
        <v>970</v>
      </c>
      <c r="E1055" s="94" t="s">
        <v>956</v>
      </c>
      <c r="F1055" s="93" t="s">
        <v>397</v>
      </c>
      <c r="G1055" s="93" t="s">
        <v>304</v>
      </c>
      <c r="H1055" s="93" t="s">
        <v>10</v>
      </c>
      <c r="I1055" s="93" t="s">
        <v>255</v>
      </c>
      <c r="J1055" s="93" t="s">
        <v>47</v>
      </c>
      <c r="K1055" s="93"/>
      <c r="L1055" s="95">
        <v>6.1599999999999993</v>
      </c>
      <c r="M1055" s="95">
        <f>L1055*VLOOKUP(H1055,dagsoorttabel1,2,FALSE)</f>
        <v>6.1599999999999993</v>
      </c>
      <c r="N1055" s="96">
        <f>prodnorm75</f>
        <v>0</v>
      </c>
      <c r="O1055" s="37">
        <f>dagwerk75</f>
        <v>0</v>
      </c>
      <c r="P1055" s="93" t="s">
        <v>105</v>
      </c>
      <c r="Q1055" s="24">
        <f>uurtarief75</f>
        <v>0</v>
      </c>
      <c r="R1055" s="95" t="e">
        <f>IF(ISBLANK(N1055),0,M1055/ROUND(N1055,4))</f>
        <v>#DIV/0!</v>
      </c>
      <c r="S1055" s="95" t="e">
        <f>IF(ISBLANK(N1055),0,R1055*ROUND(O1055,2))</f>
        <v>#DIV/0!</v>
      </c>
      <c r="T1055" s="24" t="e">
        <f>ROUND(Q1055,2)*R1055</f>
        <v>#DIV/0!</v>
      </c>
      <c r="U1055" s="95" t="e">
        <f>R1055*dagenperjaar1</f>
        <v>#DIV/0!</v>
      </c>
      <c r="V1055" s="25" t="e">
        <f>U1055*ROUND(Q1055,2)</f>
        <v>#DIV/0!</v>
      </c>
    </row>
    <row r="1056" spans="1:22" x14ac:dyDescent="0.2">
      <c r="A1056" s="92" t="s">
        <v>946</v>
      </c>
      <c r="B1056" s="93" t="s">
        <v>47</v>
      </c>
      <c r="C1056" s="93" t="s">
        <v>394</v>
      </c>
      <c r="D1056" s="93" t="s">
        <v>971</v>
      </c>
      <c r="E1056" s="94" t="s">
        <v>954</v>
      </c>
      <c r="F1056" s="93" t="s">
        <v>397</v>
      </c>
      <c r="G1056" s="93" t="s">
        <v>304</v>
      </c>
      <c r="H1056" s="93" t="s">
        <v>10</v>
      </c>
      <c r="I1056" s="93" t="s">
        <v>255</v>
      </c>
      <c r="J1056" s="93" t="s">
        <v>47</v>
      </c>
      <c r="K1056" s="93"/>
      <c r="L1056" s="95">
        <v>6.1599999999999993</v>
      </c>
      <c r="M1056" s="95">
        <f>L1056*VLOOKUP(H1056,dagsoorttabel1,2,FALSE)</f>
        <v>6.1599999999999993</v>
      </c>
      <c r="N1056" s="96">
        <f>prodnorm75</f>
        <v>0</v>
      </c>
      <c r="O1056" s="37">
        <f>dagwerk75</f>
        <v>0</v>
      </c>
      <c r="P1056" s="93" t="s">
        <v>105</v>
      </c>
      <c r="Q1056" s="24">
        <f>uurtarief75</f>
        <v>0</v>
      </c>
      <c r="R1056" s="95" t="e">
        <f>IF(ISBLANK(N1056),0,M1056/ROUND(N1056,4))</f>
        <v>#DIV/0!</v>
      </c>
      <c r="S1056" s="95" t="e">
        <f>IF(ISBLANK(N1056),0,R1056*ROUND(O1056,2))</f>
        <v>#DIV/0!</v>
      </c>
      <c r="T1056" s="24" t="e">
        <f>ROUND(Q1056,2)*R1056</f>
        <v>#DIV/0!</v>
      </c>
      <c r="U1056" s="95" t="e">
        <f>R1056*dagenperjaar1</f>
        <v>#DIV/0!</v>
      </c>
      <c r="V1056" s="25" t="e">
        <f>U1056*ROUND(Q1056,2)</f>
        <v>#DIV/0!</v>
      </c>
    </row>
    <row r="1057" spans="1:22" x14ac:dyDescent="0.2">
      <c r="A1057" s="92" t="s">
        <v>946</v>
      </c>
      <c r="B1057" s="93" t="s">
        <v>47</v>
      </c>
      <c r="C1057" s="93" t="s">
        <v>394</v>
      </c>
      <c r="D1057" s="93" t="s">
        <v>972</v>
      </c>
      <c r="E1057" s="94" t="s">
        <v>650</v>
      </c>
      <c r="F1057" s="93" t="s">
        <v>397</v>
      </c>
      <c r="G1057" s="93" t="s">
        <v>314</v>
      </c>
      <c r="H1057" s="93" t="s">
        <v>13</v>
      </c>
      <c r="I1057" s="93" t="s">
        <v>255</v>
      </c>
      <c r="J1057" s="93" t="s">
        <v>47</v>
      </c>
      <c r="K1057" s="93"/>
      <c r="L1057" s="95">
        <v>29.39</v>
      </c>
      <c r="M1057" s="95">
        <f>L1057*VLOOKUP(H1057,dagsoorttabel1,2,FALSE)</f>
        <v>23.050980392156863</v>
      </c>
      <c r="N1057" s="96">
        <f>prodnorm88</f>
        <v>0</v>
      </c>
      <c r="O1057" s="37">
        <f>dagwerk88</f>
        <v>0</v>
      </c>
      <c r="P1057" s="93" t="s">
        <v>105</v>
      </c>
      <c r="Q1057" s="24">
        <f>uurtarief88</f>
        <v>0</v>
      </c>
      <c r="R1057" s="95" t="e">
        <f>IF(ISBLANK(N1057),0,M1057/ROUND(N1057,4))</f>
        <v>#DIV/0!</v>
      </c>
      <c r="S1057" s="95" t="e">
        <f>IF(ISBLANK(N1057),0,R1057*ROUND(O1057,2))</f>
        <v>#DIV/0!</v>
      </c>
      <c r="T1057" s="24" t="e">
        <f>ROUND(Q1057,2)*R1057</f>
        <v>#DIV/0!</v>
      </c>
      <c r="U1057" s="95" t="e">
        <f>R1057*dagenperjaar1</f>
        <v>#DIV/0!</v>
      </c>
      <c r="V1057" s="25" t="e">
        <f>U1057*ROUND(Q1057,2)</f>
        <v>#DIV/0!</v>
      </c>
    </row>
    <row r="1058" spans="1:22" x14ac:dyDescent="0.2">
      <c r="A1058" s="92" t="s">
        <v>946</v>
      </c>
      <c r="B1058" s="93" t="s">
        <v>47</v>
      </c>
      <c r="C1058" s="93" t="s">
        <v>394</v>
      </c>
      <c r="D1058" s="93" t="s">
        <v>973</v>
      </c>
      <c r="E1058" s="94" t="s">
        <v>974</v>
      </c>
      <c r="F1058" s="93" t="s">
        <v>442</v>
      </c>
      <c r="G1058" s="93" t="s">
        <v>334</v>
      </c>
      <c r="H1058" s="93" t="s">
        <v>10</v>
      </c>
      <c r="I1058" s="93" t="s">
        <v>255</v>
      </c>
      <c r="J1058" s="93" t="s">
        <v>47</v>
      </c>
      <c r="K1058" s="93"/>
      <c r="L1058" s="95">
        <v>797.52</v>
      </c>
      <c r="M1058" s="95">
        <f>L1058*VLOOKUP(H1058,dagsoorttabel1,2,FALSE)</f>
        <v>797.52</v>
      </c>
      <c r="N1058" s="96">
        <f>prodnorm105</f>
        <v>0</v>
      </c>
      <c r="O1058" s="37">
        <f>dagwerk105</f>
        <v>0</v>
      </c>
      <c r="P1058" s="93" t="s">
        <v>105</v>
      </c>
      <c r="Q1058" s="24">
        <f>uurtarief105</f>
        <v>0</v>
      </c>
      <c r="R1058" s="95" t="e">
        <f>IF(ISBLANK(N1058),0,M1058/ROUND(N1058,4))</f>
        <v>#DIV/0!</v>
      </c>
      <c r="S1058" s="95" t="e">
        <f>IF(ISBLANK(N1058),0,R1058*ROUND(O1058,2))</f>
        <v>#DIV/0!</v>
      </c>
      <c r="T1058" s="24" t="e">
        <f>ROUND(Q1058,2)*R1058</f>
        <v>#DIV/0!</v>
      </c>
      <c r="U1058" s="95" t="e">
        <f>R1058*dagenperjaar1</f>
        <v>#DIV/0!</v>
      </c>
      <c r="V1058" s="25" t="e">
        <f>U1058*ROUND(Q1058,2)</f>
        <v>#DIV/0!</v>
      </c>
    </row>
    <row r="1059" spans="1:22" x14ac:dyDescent="0.2">
      <c r="A1059" s="92" t="s">
        <v>946</v>
      </c>
      <c r="B1059" s="93" t="s">
        <v>47</v>
      </c>
      <c r="C1059" s="93" t="s">
        <v>394</v>
      </c>
      <c r="D1059" s="93" t="s">
        <v>973</v>
      </c>
      <c r="E1059" s="94" t="s">
        <v>974</v>
      </c>
      <c r="F1059" s="93" t="s">
        <v>442</v>
      </c>
      <c r="G1059" s="93" t="s">
        <v>336</v>
      </c>
      <c r="H1059" s="93" t="s">
        <v>10</v>
      </c>
      <c r="I1059" s="93" t="s">
        <v>255</v>
      </c>
      <c r="J1059" s="93" t="s">
        <v>47</v>
      </c>
      <c r="K1059" s="93"/>
      <c r="L1059" s="95">
        <v>797.52</v>
      </c>
      <c r="M1059" s="95">
        <f>L1059*VLOOKUP(H1059,dagsoorttabel1,2,FALSE)</f>
        <v>797.52</v>
      </c>
      <c r="N1059" s="96">
        <f>prodnorm106</f>
        <v>0</v>
      </c>
      <c r="O1059" s="37">
        <f>dagwerk106</f>
        <v>0</v>
      </c>
      <c r="P1059" s="93" t="s">
        <v>105</v>
      </c>
      <c r="Q1059" s="24">
        <f>uurtarief106</f>
        <v>0</v>
      </c>
      <c r="R1059" s="95" t="e">
        <f>IF(ISBLANK(N1059),0,M1059/ROUND(N1059,4))</f>
        <v>#DIV/0!</v>
      </c>
      <c r="S1059" s="95" t="e">
        <f>IF(ISBLANK(N1059),0,R1059*ROUND(O1059,2))</f>
        <v>#DIV/0!</v>
      </c>
      <c r="T1059" s="24" t="e">
        <f>ROUND(Q1059,2)*R1059</f>
        <v>#DIV/0!</v>
      </c>
      <c r="U1059" s="95" t="e">
        <f>R1059*dagenperjaar1</f>
        <v>#DIV/0!</v>
      </c>
      <c r="V1059" s="25" t="e">
        <f>U1059*ROUND(Q1059,2)</f>
        <v>#DIV/0!</v>
      </c>
    </row>
    <row r="1060" spans="1:22" x14ac:dyDescent="0.2">
      <c r="A1060" s="92" t="s">
        <v>946</v>
      </c>
      <c r="B1060" s="93" t="s">
        <v>47</v>
      </c>
      <c r="C1060" s="93" t="s">
        <v>394</v>
      </c>
      <c r="D1060" s="93" t="s">
        <v>975</v>
      </c>
      <c r="E1060" s="94" t="s">
        <v>976</v>
      </c>
      <c r="F1060" s="93" t="s">
        <v>442</v>
      </c>
      <c r="G1060" s="93" t="s">
        <v>320</v>
      </c>
      <c r="H1060" s="93" t="s">
        <v>21</v>
      </c>
      <c r="I1060" s="93" t="s">
        <v>255</v>
      </c>
      <c r="J1060" s="93" t="s">
        <v>47</v>
      </c>
      <c r="K1060" s="93"/>
      <c r="L1060" s="95">
        <v>14.05</v>
      </c>
      <c r="M1060" s="95">
        <f>L1060*VLOOKUP(H1060,dagsoorttabel1,2,FALSE)</f>
        <v>2.8100000000000005</v>
      </c>
      <c r="N1060" s="96">
        <f>prodnorm95</f>
        <v>0</v>
      </c>
      <c r="O1060" s="37">
        <f>dagwerk95</f>
        <v>0</v>
      </c>
      <c r="P1060" s="93" t="s">
        <v>105</v>
      </c>
      <c r="Q1060" s="24">
        <f>uurtarief95</f>
        <v>0</v>
      </c>
      <c r="R1060" s="95" t="e">
        <f>IF(ISBLANK(N1060),0,M1060/ROUND(N1060,4))</f>
        <v>#DIV/0!</v>
      </c>
      <c r="S1060" s="95" t="e">
        <f>IF(ISBLANK(N1060),0,R1060*ROUND(O1060,2))</f>
        <v>#DIV/0!</v>
      </c>
      <c r="T1060" s="24" t="e">
        <f>ROUND(Q1060,2)*R1060</f>
        <v>#DIV/0!</v>
      </c>
      <c r="U1060" s="95" t="e">
        <f>R1060*dagenperjaar1</f>
        <v>#DIV/0!</v>
      </c>
      <c r="V1060" s="25" t="e">
        <f>U1060*ROUND(Q1060,2)</f>
        <v>#DIV/0!</v>
      </c>
    </row>
    <row r="1061" spans="1:22" x14ac:dyDescent="0.2">
      <c r="A1061" s="92" t="s">
        <v>946</v>
      </c>
      <c r="B1061" s="93" t="s">
        <v>47</v>
      </c>
      <c r="C1061" s="93" t="s">
        <v>394</v>
      </c>
      <c r="D1061" s="93" t="s">
        <v>977</v>
      </c>
      <c r="E1061" s="94" t="s">
        <v>978</v>
      </c>
      <c r="F1061" s="93" t="s">
        <v>442</v>
      </c>
      <c r="G1061" s="93" t="s">
        <v>320</v>
      </c>
      <c r="H1061" s="93" t="s">
        <v>21</v>
      </c>
      <c r="I1061" s="93" t="s">
        <v>255</v>
      </c>
      <c r="J1061" s="93" t="s">
        <v>47</v>
      </c>
      <c r="K1061" s="93"/>
      <c r="L1061" s="95">
        <v>45.949999999999996</v>
      </c>
      <c r="M1061" s="95">
        <f>L1061*VLOOKUP(H1061,dagsoorttabel1,2,FALSE)</f>
        <v>9.19</v>
      </c>
      <c r="N1061" s="96">
        <f>prodnorm95</f>
        <v>0</v>
      </c>
      <c r="O1061" s="37">
        <f>dagwerk95</f>
        <v>0</v>
      </c>
      <c r="P1061" s="93" t="s">
        <v>105</v>
      </c>
      <c r="Q1061" s="24">
        <f>uurtarief95</f>
        <v>0</v>
      </c>
      <c r="R1061" s="95" t="e">
        <f>IF(ISBLANK(N1061),0,M1061/ROUND(N1061,4))</f>
        <v>#DIV/0!</v>
      </c>
      <c r="S1061" s="95" t="e">
        <f>IF(ISBLANK(N1061),0,R1061*ROUND(O1061,2))</f>
        <v>#DIV/0!</v>
      </c>
      <c r="T1061" s="24" t="e">
        <f>ROUND(Q1061,2)*R1061</f>
        <v>#DIV/0!</v>
      </c>
      <c r="U1061" s="95" t="e">
        <f>R1061*dagenperjaar1</f>
        <v>#DIV/0!</v>
      </c>
      <c r="V1061" s="25" t="e">
        <f>U1061*ROUND(Q1061,2)</f>
        <v>#DIV/0!</v>
      </c>
    </row>
    <row r="1062" spans="1:22" x14ac:dyDescent="0.2">
      <c r="A1062" s="92" t="s">
        <v>946</v>
      </c>
      <c r="B1062" s="93" t="s">
        <v>47</v>
      </c>
      <c r="C1062" s="93" t="s">
        <v>394</v>
      </c>
      <c r="D1062" s="93" t="s">
        <v>979</v>
      </c>
      <c r="E1062" s="94" t="s">
        <v>980</v>
      </c>
      <c r="F1062" s="93" t="s">
        <v>442</v>
      </c>
      <c r="G1062" s="93" t="s">
        <v>334</v>
      </c>
      <c r="H1062" s="93" t="s">
        <v>10</v>
      </c>
      <c r="I1062" s="93" t="s">
        <v>255</v>
      </c>
      <c r="J1062" s="93" t="s">
        <v>47</v>
      </c>
      <c r="K1062" s="93"/>
      <c r="L1062" s="95">
        <v>549.75</v>
      </c>
      <c r="M1062" s="95">
        <f>L1062*VLOOKUP(H1062,dagsoorttabel1,2,FALSE)</f>
        <v>549.75</v>
      </c>
      <c r="N1062" s="96">
        <f>prodnorm105</f>
        <v>0</v>
      </c>
      <c r="O1062" s="37">
        <f>dagwerk105</f>
        <v>0</v>
      </c>
      <c r="P1062" s="93" t="s">
        <v>105</v>
      </c>
      <c r="Q1062" s="24">
        <f>uurtarief105</f>
        <v>0</v>
      </c>
      <c r="R1062" s="95" t="e">
        <f>IF(ISBLANK(N1062),0,M1062/ROUND(N1062,4))</f>
        <v>#DIV/0!</v>
      </c>
      <c r="S1062" s="95" t="e">
        <f>IF(ISBLANK(N1062),0,R1062*ROUND(O1062,2))</f>
        <v>#DIV/0!</v>
      </c>
      <c r="T1062" s="24" t="e">
        <f>ROUND(Q1062,2)*R1062</f>
        <v>#DIV/0!</v>
      </c>
      <c r="U1062" s="95" t="e">
        <f>R1062*dagenperjaar1</f>
        <v>#DIV/0!</v>
      </c>
      <c r="V1062" s="25" t="e">
        <f>U1062*ROUND(Q1062,2)</f>
        <v>#DIV/0!</v>
      </c>
    </row>
    <row r="1063" spans="1:22" x14ac:dyDescent="0.2">
      <c r="A1063" s="92" t="s">
        <v>946</v>
      </c>
      <c r="B1063" s="93" t="s">
        <v>47</v>
      </c>
      <c r="C1063" s="93" t="s">
        <v>394</v>
      </c>
      <c r="D1063" s="93" t="s">
        <v>979</v>
      </c>
      <c r="E1063" s="94" t="s">
        <v>980</v>
      </c>
      <c r="F1063" s="93" t="s">
        <v>442</v>
      </c>
      <c r="G1063" s="93" t="s">
        <v>336</v>
      </c>
      <c r="H1063" s="93" t="s">
        <v>10</v>
      </c>
      <c r="I1063" s="93" t="s">
        <v>255</v>
      </c>
      <c r="J1063" s="93" t="s">
        <v>47</v>
      </c>
      <c r="K1063" s="93"/>
      <c r="L1063" s="95">
        <v>549.75</v>
      </c>
      <c r="M1063" s="95">
        <f>L1063*VLOOKUP(H1063,dagsoorttabel1,2,FALSE)</f>
        <v>549.75</v>
      </c>
      <c r="N1063" s="96">
        <f>prodnorm106</f>
        <v>0</v>
      </c>
      <c r="O1063" s="37">
        <f>dagwerk106</f>
        <v>0</v>
      </c>
      <c r="P1063" s="93" t="s">
        <v>105</v>
      </c>
      <c r="Q1063" s="24">
        <f>uurtarief106</f>
        <v>0</v>
      </c>
      <c r="R1063" s="95" t="e">
        <f>IF(ISBLANK(N1063),0,M1063/ROUND(N1063,4))</f>
        <v>#DIV/0!</v>
      </c>
      <c r="S1063" s="95" t="e">
        <f>IF(ISBLANK(N1063),0,R1063*ROUND(O1063,2))</f>
        <v>#DIV/0!</v>
      </c>
      <c r="T1063" s="24" t="e">
        <f>ROUND(Q1063,2)*R1063</f>
        <v>#DIV/0!</v>
      </c>
      <c r="U1063" s="95" t="e">
        <f>R1063*dagenperjaar1</f>
        <v>#DIV/0!</v>
      </c>
      <c r="V1063" s="25" t="e">
        <f>U1063*ROUND(Q1063,2)</f>
        <v>#DIV/0!</v>
      </c>
    </row>
    <row r="1064" spans="1:22" x14ac:dyDescent="0.2">
      <c r="A1064" s="92" t="s">
        <v>946</v>
      </c>
      <c r="B1064" s="93" t="s">
        <v>47</v>
      </c>
      <c r="C1064" s="93" t="s">
        <v>394</v>
      </c>
      <c r="D1064" s="93" t="s">
        <v>981</v>
      </c>
      <c r="E1064" s="94" t="s">
        <v>982</v>
      </c>
      <c r="F1064" s="93" t="s">
        <v>442</v>
      </c>
      <c r="G1064" s="93" t="s">
        <v>330</v>
      </c>
      <c r="H1064" s="93" t="s">
        <v>21</v>
      </c>
      <c r="I1064" s="93" t="s">
        <v>255</v>
      </c>
      <c r="J1064" s="93" t="s">
        <v>47</v>
      </c>
      <c r="K1064" s="93"/>
      <c r="L1064" s="95">
        <v>29.89</v>
      </c>
      <c r="M1064" s="95">
        <f>L1064*VLOOKUP(H1064,dagsoorttabel1,2,FALSE)</f>
        <v>5.9780000000000006</v>
      </c>
      <c r="N1064" s="96">
        <f>prodnorm103</f>
        <v>0</v>
      </c>
      <c r="O1064" s="37">
        <f>dagwerk103</f>
        <v>0</v>
      </c>
      <c r="P1064" s="93" t="s">
        <v>105</v>
      </c>
      <c r="Q1064" s="24">
        <f>uurtarief103</f>
        <v>0</v>
      </c>
      <c r="R1064" s="95" t="e">
        <f>IF(ISBLANK(N1064),0,M1064/ROUND(N1064,4))</f>
        <v>#DIV/0!</v>
      </c>
      <c r="S1064" s="95" t="e">
        <f>IF(ISBLANK(N1064),0,R1064*ROUND(O1064,2))</f>
        <v>#DIV/0!</v>
      </c>
      <c r="T1064" s="24" t="e">
        <f>ROUND(Q1064,2)*R1064</f>
        <v>#DIV/0!</v>
      </c>
      <c r="U1064" s="95" t="e">
        <f>R1064*dagenperjaar1</f>
        <v>#DIV/0!</v>
      </c>
      <c r="V1064" s="25" t="e">
        <f>U1064*ROUND(Q1064,2)</f>
        <v>#DIV/0!</v>
      </c>
    </row>
    <row r="1065" spans="1:22" x14ac:dyDescent="0.2">
      <c r="A1065" s="92" t="s">
        <v>946</v>
      </c>
      <c r="B1065" s="93" t="s">
        <v>47</v>
      </c>
      <c r="C1065" s="93" t="s">
        <v>394</v>
      </c>
      <c r="D1065" s="93" t="s">
        <v>983</v>
      </c>
      <c r="E1065" s="94" t="s">
        <v>984</v>
      </c>
      <c r="F1065" s="93" t="s">
        <v>442</v>
      </c>
      <c r="G1065" s="93" t="s">
        <v>342</v>
      </c>
      <c r="H1065" s="93" t="s">
        <v>10</v>
      </c>
      <c r="I1065" s="93" t="s">
        <v>255</v>
      </c>
      <c r="J1065" s="93" t="s">
        <v>47</v>
      </c>
      <c r="K1065" s="93"/>
      <c r="L1065" s="95">
        <v>4.3199999999999994</v>
      </c>
      <c r="M1065" s="95">
        <f>L1065*VLOOKUP(H1065,dagsoorttabel1,2,FALSE)</f>
        <v>4.3199999999999994</v>
      </c>
      <c r="N1065" s="96">
        <f>prodnorm109</f>
        <v>0</v>
      </c>
      <c r="O1065" s="37">
        <f>dagwerk109</f>
        <v>0</v>
      </c>
      <c r="P1065" s="93" t="s">
        <v>105</v>
      </c>
      <c r="Q1065" s="24">
        <f>uurtarief109</f>
        <v>0</v>
      </c>
      <c r="R1065" s="95" t="e">
        <f>IF(ISBLANK(N1065),0,M1065/ROUND(N1065,4))</f>
        <v>#DIV/0!</v>
      </c>
      <c r="S1065" s="95" t="e">
        <f>IF(ISBLANK(N1065),0,R1065*ROUND(O1065,2))</f>
        <v>#DIV/0!</v>
      </c>
      <c r="T1065" s="24" t="e">
        <f>ROUND(Q1065,2)*R1065</f>
        <v>#DIV/0!</v>
      </c>
      <c r="U1065" s="95" t="e">
        <f>R1065*dagenperjaar1</f>
        <v>#DIV/0!</v>
      </c>
      <c r="V1065" s="25" t="e">
        <f>U1065*ROUND(Q1065,2)</f>
        <v>#DIV/0!</v>
      </c>
    </row>
    <row r="1066" spans="1:22" x14ac:dyDescent="0.2">
      <c r="A1066" s="92" t="s">
        <v>946</v>
      </c>
      <c r="B1066" s="93" t="s">
        <v>47</v>
      </c>
      <c r="C1066" s="93" t="s">
        <v>394</v>
      </c>
      <c r="D1066" s="93" t="s">
        <v>983</v>
      </c>
      <c r="E1066" s="94" t="s">
        <v>984</v>
      </c>
      <c r="F1066" s="93" t="s">
        <v>442</v>
      </c>
      <c r="G1066" s="93" t="s">
        <v>344</v>
      </c>
      <c r="H1066" s="93" t="s">
        <v>10</v>
      </c>
      <c r="I1066" s="93" t="s">
        <v>255</v>
      </c>
      <c r="J1066" s="93" t="s">
        <v>47</v>
      </c>
      <c r="K1066" s="93"/>
      <c r="L1066" s="95">
        <v>4.3199999999999994</v>
      </c>
      <c r="M1066" s="95">
        <f>L1066*VLOOKUP(H1066,dagsoorttabel1,2,FALSE)</f>
        <v>4.3199999999999994</v>
      </c>
      <c r="N1066" s="96">
        <f>prodnorm111</f>
        <v>0</v>
      </c>
      <c r="O1066" s="37">
        <f>dagwerk111</f>
        <v>0</v>
      </c>
      <c r="P1066" s="93" t="s">
        <v>105</v>
      </c>
      <c r="Q1066" s="24">
        <f>uurtarief111</f>
        <v>0</v>
      </c>
      <c r="R1066" s="95" t="e">
        <f>IF(ISBLANK(N1066),0,M1066/ROUND(N1066,4))</f>
        <v>#DIV/0!</v>
      </c>
      <c r="S1066" s="95" t="e">
        <f>IF(ISBLANK(N1066),0,R1066*ROUND(O1066,2))</f>
        <v>#DIV/0!</v>
      </c>
      <c r="T1066" s="24" t="e">
        <f>ROUND(Q1066,2)*R1066</f>
        <v>#DIV/0!</v>
      </c>
      <c r="U1066" s="95" t="e">
        <f>R1066*dagenperjaar1</f>
        <v>#DIV/0!</v>
      </c>
      <c r="V1066" s="25" t="e">
        <f>U1066*ROUND(Q1066,2)</f>
        <v>#DIV/0!</v>
      </c>
    </row>
    <row r="1067" spans="1:22" x14ac:dyDescent="0.2">
      <c r="A1067" s="92" t="s">
        <v>946</v>
      </c>
      <c r="B1067" s="93" t="s">
        <v>47</v>
      </c>
      <c r="C1067" s="93" t="s">
        <v>394</v>
      </c>
      <c r="D1067" s="93" t="s">
        <v>985</v>
      </c>
      <c r="E1067" s="94" t="s">
        <v>986</v>
      </c>
      <c r="F1067" s="93" t="s">
        <v>442</v>
      </c>
      <c r="G1067" s="93" t="s">
        <v>342</v>
      </c>
      <c r="H1067" s="93" t="s">
        <v>10</v>
      </c>
      <c r="I1067" s="93" t="s">
        <v>255</v>
      </c>
      <c r="J1067" s="93" t="s">
        <v>47</v>
      </c>
      <c r="K1067" s="93"/>
      <c r="L1067" s="95">
        <v>4.8199999999999994</v>
      </c>
      <c r="M1067" s="95">
        <f>L1067*VLOOKUP(H1067,dagsoorttabel1,2,FALSE)</f>
        <v>4.8199999999999994</v>
      </c>
      <c r="N1067" s="96">
        <f>prodnorm109</f>
        <v>0</v>
      </c>
      <c r="O1067" s="37">
        <f>dagwerk109</f>
        <v>0</v>
      </c>
      <c r="P1067" s="93" t="s">
        <v>105</v>
      </c>
      <c r="Q1067" s="24">
        <f>uurtarief109</f>
        <v>0</v>
      </c>
      <c r="R1067" s="95" t="e">
        <f>IF(ISBLANK(N1067),0,M1067/ROUND(N1067,4))</f>
        <v>#DIV/0!</v>
      </c>
      <c r="S1067" s="95" t="e">
        <f>IF(ISBLANK(N1067),0,R1067*ROUND(O1067,2))</f>
        <v>#DIV/0!</v>
      </c>
      <c r="T1067" s="24" t="e">
        <f>ROUND(Q1067,2)*R1067</f>
        <v>#DIV/0!</v>
      </c>
      <c r="U1067" s="95" t="e">
        <f>R1067*dagenperjaar1</f>
        <v>#DIV/0!</v>
      </c>
      <c r="V1067" s="25" t="e">
        <f>U1067*ROUND(Q1067,2)</f>
        <v>#DIV/0!</v>
      </c>
    </row>
    <row r="1068" spans="1:22" x14ac:dyDescent="0.2">
      <c r="A1068" s="92" t="s">
        <v>946</v>
      </c>
      <c r="B1068" s="93" t="s">
        <v>47</v>
      </c>
      <c r="C1068" s="93" t="s">
        <v>394</v>
      </c>
      <c r="D1068" s="93" t="s">
        <v>985</v>
      </c>
      <c r="E1068" s="94" t="s">
        <v>986</v>
      </c>
      <c r="F1068" s="93" t="s">
        <v>442</v>
      </c>
      <c r="G1068" s="93" t="s">
        <v>344</v>
      </c>
      <c r="H1068" s="93" t="s">
        <v>10</v>
      </c>
      <c r="I1068" s="93" t="s">
        <v>255</v>
      </c>
      <c r="J1068" s="93" t="s">
        <v>47</v>
      </c>
      <c r="K1068" s="93"/>
      <c r="L1068" s="95">
        <v>4.8199999999999994</v>
      </c>
      <c r="M1068" s="95">
        <f>L1068*VLOOKUP(H1068,dagsoorttabel1,2,FALSE)</f>
        <v>4.8199999999999994</v>
      </c>
      <c r="N1068" s="96">
        <f>prodnorm111</f>
        <v>0</v>
      </c>
      <c r="O1068" s="37">
        <f>dagwerk111</f>
        <v>0</v>
      </c>
      <c r="P1068" s="93" t="s">
        <v>105</v>
      </c>
      <c r="Q1068" s="24">
        <f>uurtarief111</f>
        <v>0</v>
      </c>
      <c r="R1068" s="95" t="e">
        <f>IF(ISBLANK(N1068),0,M1068/ROUND(N1068,4))</f>
        <v>#DIV/0!</v>
      </c>
      <c r="S1068" s="95" t="e">
        <f>IF(ISBLANK(N1068),0,R1068*ROUND(O1068,2))</f>
        <v>#DIV/0!</v>
      </c>
      <c r="T1068" s="24" t="e">
        <f>ROUND(Q1068,2)*R1068</f>
        <v>#DIV/0!</v>
      </c>
      <c r="U1068" s="95" t="e">
        <f>R1068*dagenperjaar1</f>
        <v>#DIV/0!</v>
      </c>
      <c r="V1068" s="25" t="e">
        <f>U1068*ROUND(Q1068,2)</f>
        <v>#DIV/0!</v>
      </c>
    </row>
    <row r="1069" spans="1:22" x14ac:dyDescent="0.2">
      <c r="A1069" s="92" t="s">
        <v>946</v>
      </c>
      <c r="B1069" s="93" t="s">
        <v>47</v>
      </c>
      <c r="C1069" s="93" t="s">
        <v>394</v>
      </c>
      <c r="D1069" s="93" t="s">
        <v>987</v>
      </c>
      <c r="E1069" s="94" t="s">
        <v>988</v>
      </c>
      <c r="F1069" s="93" t="s">
        <v>442</v>
      </c>
      <c r="G1069" s="93" t="s">
        <v>342</v>
      </c>
      <c r="H1069" s="93" t="s">
        <v>10</v>
      </c>
      <c r="I1069" s="93" t="s">
        <v>255</v>
      </c>
      <c r="J1069" s="93" t="s">
        <v>47</v>
      </c>
      <c r="K1069" s="93"/>
      <c r="L1069" s="95">
        <v>4.6899999999999995</v>
      </c>
      <c r="M1069" s="95">
        <f>L1069*VLOOKUP(H1069,dagsoorttabel1,2,FALSE)</f>
        <v>4.6899999999999995</v>
      </c>
      <c r="N1069" s="96">
        <f>prodnorm109</f>
        <v>0</v>
      </c>
      <c r="O1069" s="37">
        <f>dagwerk109</f>
        <v>0</v>
      </c>
      <c r="P1069" s="93" t="s">
        <v>105</v>
      </c>
      <c r="Q1069" s="24">
        <f>uurtarief109</f>
        <v>0</v>
      </c>
      <c r="R1069" s="95" t="e">
        <f>IF(ISBLANK(N1069),0,M1069/ROUND(N1069,4))</f>
        <v>#DIV/0!</v>
      </c>
      <c r="S1069" s="95" t="e">
        <f>IF(ISBLANK(N1069),0,R1069*ROUND(O1069,2))</f>
        <v>#DIV/0!</v>
      </c>
      <c r="T1069" s="24" t="e">
        <f>ROUND(Q1069,2)*R1069</f>
        <v>#DIV/0!</v>
      </c>
      <c r="U1069" s="95" t="e">
        <f>R1069*dagenperjaar1</f>
        <v>#DIV/0!</v>
      </c>
      <c r="V1069" s="25" t="e">
        <f>U1069*ROUND(Q1069,2)</f>
        <v>#DIV/0!</v>
      </c>
    </row>
    <row r="1070" spans="1:22" x14ac:dyDescent="0.2">
      <c r="A1070" s="92" t="s">
        <v>946</v>
      </c>
      <c r="B1070" s="93" t="s">
        <v>47</v>
      </c>
      <c r="C1070" s="93" t="s">
        <v>394</v>
      </c>
      <c r="D1070" s="93" t="s">
        <v>987</v>
      </c>
      <c r="E1070" s="94" t="s">
        <v>988</v>
      </c>
      <c r="F1070" s="93" t="s">
        <v>442</v>
      </c>
      <c r="G1070" s="93" t="s">
        <v>344</v>
      </c>
      <c r="H1070" s="93" t="s">
        <v>10</v>
      </c>
      <c r="I1070" s="93" t="s">
        <v>255</v>
      </c>
      <c r="J1070" s="93" t="s">
        <v>47</v>
      </c>
      <c r="K1070" s="93"/>
      <c r="L1070" s="95">
        <v>4.6899999999999995</v>
      </c>
      <c r="M1070" s="95">
        <f>L1070*VLOOKUP(H1070,dagsoorttabel1,2,FALSE)</f>
        <v>4.6899999999999995</v>
      </c>
      <c r="N1070" s="96">
        <f>prodnorm111</f>
        <v>0</v>
      </c>
      <c r="O1070" s="37">
        <f>dagwerk111</f>
        <v>0</v>
      </c>
      <c r="P1070" s="93" t="s">
        <v>105</v>
      </c>
      <c r="Q1070" s="24">
        <f>uurtarief111</f>
        <v>0</v>
      </c>
      <c r="R1070" s="95" t="e">
        <f>IF(ISBLANK(N1070),0,M1070/ROUND(N1070,4))</f>
        <v>#DIV/0!</v>
      </c>
      <c r="S1070" s="95" t="e">
        <f>IF(ISBLANK(N1070),0,R1070*ROUND(O1070,2))</f>
        <v>#DIV/0!</v>
      </c>
      <c r="T1070" s="24" t="e">
        <f>ROUND(Q1070,2)*R1070</f>
        <v>#DIV/0!</v>
      </c>
      <c r="U1070" s="95" t="e">
        <f>R1070*dagenperjaar1</f>
        <v>#DIV/0!</v>
      </c>
      <c r="V1070" s="25" t="e">
        <f>U1070*ROUND(Q1070,2)</f>
        <v>#DIV/0!</v>
      </c>
    </row>
    <row r="1071" spans="1:22" x14ac:dyDescent="0.2">
      <c r="A1071" s="92" t="s">
        <v>946</v>
      </c>
      <c r="B1071" s="93" t="s">
        <v>47</v>
      </c>
      <c r="C1071" s="93" t="s">
        <v>394</v>
      </c>
      <c r="D1071" s="93" t="s">
        <v>989</v>
      </c>
      <c r="E1071" s="94" t="s">
        <v>650</v>
      </c>
      <c r="F1071" s="93" t="s">
        <v>442</v>
      </c>
      <c r="G1071" s="93" t="s">
        <v>346</v>
      </c>
      <c r="H1071" s="93" t="s">
        <v>10</v>
      </c>
      <c r="I1071" s="93" t="s">
        <v>255</v>
      </c>
      <c r="J1071" s="93" t="s">
        <v>47</v>
      </c>
      <c r="K1071" s="93"/>
      <c r="L1071" s="95">
        <v>7.76</v>
      </c>
      <c r="M1071" s="95">
        <f>L1071*VLOOKUP(H1071,dagsoorttabel1,2,FALSE)</f>
        <v>7.76</v>
      </c>
      <c r="N1071" s="96">
        <f>prodnorm112</f>
        <v>0</v>
      </c>
      <c r="O1071" s="37">
        <f>dagwerk112</f>
        <v>0</v>
      </c>
      <c r="P1071" s="93" t="s">
        <v>105</v>
      </c>
      <c r="Q1071" s="24">
        <f>uurtarief112</f>
        <v>0</v>
      </c>
      <c r="R1071" s="95" t="e">
        <f>IF(ISBLANK(N1071),0,M1071/ROUND(N1071,4))</f>
        <v>#DIV/0!</v>
      </c>
      <c r="S1071" s="95" t="e">
        <f>IF(ISBLANK(N1071),0,R1071*ROUND(O1071,2))</f>
        <v>#DIV/0!</v>
      </c>
      <c r="T1071" s="24" t="e">
        <f>ROUND(Q1071,2)*R1071</f>
        <v>#DIV/0!</v>
      </c>
      <c r="U1071" s="95" t="e">
        <f>R1071*dagenperjaar1</f>
        <v>#DIV/0!</v>
      </c>
      <c r="V1071" s="25" t="e">
        <f>U1071*ROUND(Q1071,2)</f>
        <v>#DIV/0!</v>
      </c>
    </row>
    <row r="1072" spans="1:22" x14ac:dyDescent="0.2">
      <c r="A1072" s="92" t="s">
        <v>946</v>
      </c>
      <c r="B1072" s="93" t="s">
        <v>47</v>
      </c>
      <c r="C1072" s="93" t="s">
        <v>394</v>
      </c>
      <c r="D1072" s="93" t="s">
        <v>989</v>
      </c>
      <c r="E1072" s="94" t="s">
        <v>650</v>
      </c>
      <c r="F1072" s="93" t="s">
        <v>442</v>
      </c>
      <c r="G1072" s="93" t="s">
        <v>348</v>
      </c>
      <c r="H1072" s="93" t="s">
        <v>10</v>
      </c>
      <c r="I1072" s="93" t="s">
        <v>255</v>
      </c>
      <c r="J1072" s="93" t="s">
        <v>47</v>
      </c>
      <c r="K1072" s="93"/>
      <c r="L1072" s="95">
        <v>7.76</v>
      </c>
      <c r="M1072" s="95">
        <f>L1072*VLOOKUP(H1072,dagsoorttabel1,2,FALSE)</f>
        <v>7.76</v>
      </c>
      <c r="N1072" s="96">
        <f>prodnorm114</f>
        <v>0</v>
      </c>
      <c r="O1072" s="37">
        <f>dagwerk114</f>
        <v>0</v>
      </c>
      <c r="P1072" s="93" t="s">
        <v>105</v>
      </c>
      <c r="Q1072" s="24">
        <f>uurtarief114</f>
        <v>0</v>
      </c>
      <c r="R1072" s="95" t="e">
        <f>IF(ISBLANK(N1072),0,M1072/ROUND(N1072,4))</f>
        <v>#DIV/0!</v>
      </c>
      <c r="S1072" s="95" t="e">
        <f>IF(ISBLANK(N1072),0,R1072*ROUND(O1072,2))</f>
        <v>#DIV/0!</v>
      </c>
      <c r="T1072" s="24" t="e">
        <f>ROUND(Q1072,2)*R1072</f>
        <v>#DIV/0!</v>
      </c>
      <c r="U1072" s="95" t="e">
        <f>R1072*dagenperjaar1</f>
        <v>#DIV/0!</v>
      </c>
      <c r="V1072" s="25" t="e">
        <f>U1072*ROUND(Q1072,2)</f>
        <v>#DIV/0!</v>
      </c>
    </row>
    <row r="1073" spans="1:22" x14ac:dyDescent="0.2">
      <c r="A1073" s="92" t="s">
        <v>946</v>
      </c>
      <c r="B1073" s="93" t="s">
        <v>47</v>
      </c>
      <c r="C1073" s="93" t="s">
        <v>394</v>
      </c>
      <c r="D1073" s="93" t="s">
        <v>990</v>
      </c>
      <c r="E1073" s="94" t="s">
        <v>991</v>
      </c>
      <c r="F1073" s="93" t="s">
        <v>442</v>
      </c>
      <c r="G1073" s="93" t="s">
        <v>334</v>
      </c>
      <c r="H1073" s="93" t="s">
        <v>10</v>
      </c>
      <c r="I1073" s="93" t="s">
        <v>255</v>
      </c>
      <c r="J1073" s="93" t="s">
        <v>47</v>
      </c>
      <c r="K1073" s="93"/>
      <c r="L1073" s="95">
        <v>331.71999999999997</v>
      </c>
      <c r="M1073" s="95">
        <f>L1073*VLOOKUP(H1073,dagsoorttabel1,2,FALSE)</f>
        <v>331.71999999999997</v>
      </c>
      <c r="N1073" s="96">
        <f>prodnorm105</f>
        <v>0</v>
      </c>
      <c r="O1073" s="37">
        <f>dagwerk105</f>
        <v>0</v>
      </c>
      <c r="P1073" s="93" t="s">
        <v>105</v>
      </c>
      <c r="Q1073" s="24">
        <f>uurtarief105</f>
        <v>0</v>
      </c>
      <c r="R1073" s="95" t="e">
        <f>IF(ISBLANK(N1073),0,M1073/ROUND(N1073,4))</f>
        <v>#DIV/0!</v>
      </c>
      <c r="S1073" s="95" t="e">
        <f>IF(ISBLANK(N1073),0,R1073*ROUND(O1073,2))</f>
        <v>#DIV/0!</v>
      </c>
      <c r="T1073" s="24" t="e">
        <f>ROUND(Q1073,2)*R1073</f>
        <v>#DIV/0!</v>
      </c>
      <c r="U1073" s="95" t="e">
        <f>R1073*dagenperjaar1</f>
        <v>#DIV/0!</v>
      </c>
      <c r="V1073" s="25" t="e">
        <f>U1073*ROUND(Q1073,2)</f>
        <v>#DIV/0!</v>
      </c>
    </row>
    <row r="1074" spans="1:22" x14ac:dyDescent="0.2">
      <c r="A1074" s="92" t="s">
        <v>946</v>
      </c>
      <c r="B1074" s="93" t="s">
        <v>47</v>
      </c>
      <c r="C1074" s="93" t="s">
        <v>394</v>
      </c>
      <c r="D1074" s="93" t="s">
        <v>990</v>
      </c>
      <c r="E1074" s="94" t="s">
        <v>991</v>
      </c>
      <c r="F1074" s="93" t="s">
        <v>442</v>
      </c>
      <c r="G1074" s="93" t="s">
        <v>336</v>
      </c>
      <c r="H1074" s="93" t="s">
        <v>10</v>
      </c>
      <c r="I1074" s="93" t="s">
        <v>255</v>
      </c>
      <c r="J1074" s="93" t="s">
        <v>47</v>
      </c>
      <c r="K1074" s="93"/>
      <c r="L1074" s="95">
        <v>331.71999999999997</v>
      </c>
      <c r="M1074" s="95">
        <f>L1074*VLOOKUP(H1074,dagsoorttabel1,2,FALSE)</f>
        <v>331.71999999999997</v>
      </c>
      <c r="N1074" s="96">
        <f>prodnorm106</f>
        <v>0</v>
      </c>
      <c r="O1074" s="37">
        <f>dagwerk106</f>
        <v>0</v>
      </c>
      <c r="P1074" s="93" t="s">
        <v>105</v>
      </c>
      <c r="Q1074" s="24">
        <f>uurtarief106</f>
        <v>0</v>
      </c>
      <c r="R1074" s="95" t="e">
        <f>IF(ISBLANK(N1074),0,M1074/ROUND(N1074,4))</f>
        <v>#DIV/0!</v>
      </c>
      <c r="S1074" s="95" t="e">
        <f>IF(ISBLANK(N1074),0,R1074*ROUND(O1074,2))</f>
        <v>#DIV/0!</v>
      </c>
      <c r="T1074" s="24" t="e">
        <f>ROUND(Q1074,2)*R1074</f>
        <v>#DIV/0!</v>
      </c>
      <c r="U1074" s="95" t="e">
        <f>R1074*dagenperjaar1</f>
        <v>#DIV/0!</v>
      </c>
      <c r="V1074" s="25" t="e">
        <f>U1074*ROUND(Q1074,2)</f>
        <v>#DIV/0!</v>
      </c>
    </row>
    <row r="1075" spans="1:22" x14ac:dyDescent="0.2">
      <c r="A1075" s="92" t="s">
        <v>946</v>
      </c>
      <c r="B1075" s="93" t="s">
        <v>47</v>
      </c>
      <c r="C1075" s="93" t="s">
        <v>394</v>
      </c>
      <c r="D1075" s="93" t="s">
        <v>992</v>
      </c>
      <c r="E1075" s="94" t="s">
        <v>993</v>
      </c>
      <c r="F1075" s="93" t="s">
        <v>442</v>
      </c>
      <c r="G1075" s="93" t="s">
        <v>259</v>
      </c>
      <c r="H1075" s="93" t="s">
        <v>21</v>
      </c>
      <c r="I1075" s="93" t="s">
        <v>255</v>
      </c>
      <c r="J1075" s="93" t="s">
        <v>47</v>
      </c>
      <c r="K1075" s="93"/>
      <c r="L1075" s="95">
        <v>10.119999999999999</v>
      </c>
      <c r="M1075" s="95">
        <f>L1075*VLOOKUP(H1075,dagsoorttabel1,2,FALSE)</f>
        <v>2.024</v>
      </c>
      <c r="N1075" s="96">
        <f>prodnorm33</f>
        <v>0</v>
      </c>
      <c r="O1075" s="37">
        <f>dagwerk33</f>
        <v>0</v>
      </c>
      <c r="P1075" s="93" t="s">
        <v>105</v>
      </c>
      <c r="Q1075" s="24">
        <f>uurtarief33</f>
        <v>0</v>
      </c>
      <c r="R1075" s="95" t="e">
        <f>IF(ISBLANK(N1075),0,M1075/ROUND(N1075,4))</f>
        <v>#DIV/0!</v>
      </c>
      <c r="S1075" s="95" t="e">
        <f>IF(ISBLANK(N1075),0,R1075*ROUND(O1075,2))</f>
        <v>#DIV/0!</v>
      </c>
      <c r="T1075" s="24" t="e">
        <f>ROUND(Q1075,2)*R1075</f>
        <v>#DIV/0!</v>
      </c>
      <c r="U1075" s="95" t="e">
        <f>R1075*dagenperjaar1</f>
        <v>#DIV/0!</v>
      </c>
      <c r="V1075" s="25" t="e">
        <f>U1075*ROUND(Q1075,2)</f>
        <v>#DIV/0!</v>
      </c>
    </row>
    <row r="1076" spans="1:22" x14ac:dyDescent="0.2">
      <c r="A1076" s="92" t="s">
        <v>946</v>
      </c>
      <c r="B1076" s="93" t="s">
        <v>47</v>
      </c>
      <c r="C1076" s="93" t="s">
        <v>394</v>
      </c>
      <c r="D1076" s="93" t="s">
        <v>994</v>
      </c>
      <c r="E1076" s="94" t="s">
        <v>995</v>
      </c>
      <c r="F1076" s="93" t="s">
        <v>442</v>
      </c>
      <c r="G1076" s="93" t="s">
        <v>338</v>
      </c>
      <c r="H1076" s="93" t="s">
        <v>10</v>
      </c>
      <c r="I1076" s="93" t="s">
        <v>255</v>
      </c>
      <c r="J1076" s="93" t="s">
        <v>47</v>
      </c>
      <c r="K1076" s="93"/>
      <c r="L1076" s="95">
        <v>12.43</v>
      </c>
      <c r="M1076" s="95">
        <f>L1076*VLOOKUP(H1076,dagsoorttabel1,2,FALSE)</f>
        <v>12.43</v>
      </c>
      <c r="N1076" s="96">
        <f>prodnorm107</f>
        <v>0</v>
      </c>
      <c r="O1076" s="37">
        <f>dagwerk107</f>
        <v>0</v>
      </c>
      <c r="P1076" s="93" t="s">
        <v>105</v>
      </c>
      <c r="Q1076" s="24">
        <f>uurtarief107</f>
        <v>0</v>
      </c>
      <c r="R1076" s="95" t="e">
        <f>IF(ISBLANK(N1076),0,M1076/ROUND(N1076,4))</f>
        <v>#DIV/0!</v>
      </c>
      <c r="S1076" s="95" t="e">
        <f>IF(ISBLANK(N1076),0,R1076*ROUND(O1076,2))</f>
        <v>#DIV/0!</v>
      </c>
      <c r="T1076" s="24" t="e">
        <f>ROUND(Q1076,2)*R1076</f>
        <v>#DIV/0!</v>
      </c>
      <c r="U1076" s="95" t="e">
        <f>R1076*dagenperjaar1</f>
        <v>#DIV/0!</v>
      </c>
      <c r="V1076" s="25" t="e">
        <f>U1076*ROUND(Q1076,2)</f>
        <v>#DIV/0!</v>
      </c>
    </row>
    <row r="1077" spans="1:22" x14ac:dyDescent="0.2">
      <c r="A1077" s="92" t="s">
        <v>946</v>
      </c>
      <c r="B1077" s="93" t="s">
        <v>47</v>
      </c>
      <c r="C1077" s="93" t="s">
        <v>394</v>
      </c>
      <c r="D1077" s="93" t="s">
        <v>994</v>
      </c>
      <c r="E1077" s="94" t="s">
        <v>995</v>
      </c>
      <c r="F1077" s="93" t="s">
        <v>442</v>
      </c>
      <c r="G1077" s="93" t="s">
        <v>340</v>
      </c>
      <c r="H1077" s="93" t="s">
        <v>10</v>
      </c>
      <c r="I1077" s="93" t="s">
        <v>255</v>
      </c>
      <c r="J1077" s="93" t="s">
        <v>47</v>
      </c>
      <c r="K1077" s="93"/>
      <c r="L1077" s="95">
        <v>12.43</v>
      </c>
      <c r="M1077" s="95">
        <f>L1077*VLOOKUP(H1077,dagsoorttabel1,2,FALSE)</f>
        <v>12.43</v>
      </c>
      <c r="N1077" s="96">
        <f>prodnorm108</f>
        <v>0</v>
      </c>
      <c r="O1077" s="37">
        <f>dagwerk108</f>
        <v>0</v>
      </c>
      <c r="P1077" s="93" t="s">
        <v>105</v>
      </c>
      <c r="Q1077" s="24">
        <f>uurtarief108</f>
        <v>0</v>
      </c>
      <c r="R1077" s="95" t="e">
        <f>IF(ISBLANK(N1077),0,M1077/ROUND(N1077,4))</f>
        <v>#DIV/0!</v>
      </c>
      <c r="S1077" s="95" t="e">
        <f>IF(ISBLANK(N1077),0,R1077*ROUND(O1077,2))</f>
        <v>#DIV/0!</v>
      </c>
      <c r="T1077" s="24" t="e">
        <f>ROUND(Q1077,2)*R1077</f>
        <v>#DIV/0!</v>
      </c>
      <c r="U1077" s="95" t="e">
        <f>R1077*dagenperjaar1</f>
        <v>#DIV/0!</v>
      </c>
      <c r="V1077" s="25" t="e">
        <f>U1077*ROUND(Q1077,2)</f>
        <v>#DIV/0!</v>
      </c>
    </row>
    <row r="1078" spans="1:22" x14ac:dyDescent="0.2">
      <c r="A1078" s="92" t="s">
        <v>946</v>
      </c>
      <c r="B1078" s="93" t="s">
        <v>47</v>
      </c>
      <c r="C1078" s="93" t="s">
        <v>394</v>
      </c>
      <c r="D1078" s="93" t="s">
        <v>996</v>
      </c>
      <c r="E1078" s="94" t="s">
        <v>956</v>
      </c>
      <c r="F1078" s="93" t="s">
        <v>397</v>
      </c>
      <c r="G1078" s="93" t="s">
        <v>342</v>
      </c>
      <c r="H1078" s="93" t="s">
        <v>10</v>
      </c>
      <c r="I1078" s="93" t="s">
        <v>255</v>
      </c>
      <c r="J1078" s="93" t="s">
        <v>47</v>
      </c>
      <c r="K1078" s="93"/>
      <c r="L1078" s="95">
        <v>20.99</v>
      </c>
      <c r="M1078" s="95">
        <f>L1078*VLOOKUP(H1078,dagsoorttabel1,2,FALSE)</f>
        <v>20.99</v>
      </c>
      <c r="N1078" s="96">
        <f>prodnorm109</f>
        <v>0</v>
      </c>
      <c r="O1078" s="37">
        <f>dagwerk109</f>
        <v>0</v>
      </c>
      <c r="P1078" s="93" t="s">
        <v>105</v>
      </c>
      <c r="Q1078" s="24">
        <f>uurtarief109</f>
        <v>0</v>
      </c>
      <c r="R1078" s="95" t="e">
        <f>IF(ISBLANK(N1078),0,M1078/ROUND(N1078,4))</f>
        <v>#DIV/0!</v>
      </c>
      <c r="S1078" s="95" t="e">
        <f>IF(ISBLANK(N1078),0,R1078*ROUND(O1078,2))</f>
        <v>#DIV/0!</v>
      </c>
      <c r="T1078" s="24" t="e">
        <f>ROUND(Q1078,2)*R1078</f>
        <v>#DIV/0!</v>
      </c>
      <c r="U1078" s="95" t="e">
        <f>R1078*dagenperjaar1</f>
        <v>#DIV/0!</v>
      </c>
      <c r="V1078" s="25" t="e">
        <f>U1078*ROUND(Q1078,2)</f>
        <v>#DIV/0!</v>
      </c>
    </row>
    <row r="1079" spans="1:22" x14ac:dyDescent="0.2">
      <c r="A1079" s="92" t="s">
        <v>946</v>
      </c>
      <c r="B1079" s="93" t="s">
        <v>47</v>
      </c>
      <c r="C1079" s="93" t="s">
        <v>394</v>
      </c>
      <c r="D1079" s="93" t="s">
        <v>996</v>
      </c>
      <c r="E1079" s="94" t="s">
        <v>956</v>
      </c>
      <c r="F1079" s="93" t="s">
        <v>397</v>
      </c>
      <c r="G1079" s="93" t="s">
        <v>344</v>
      </c>
      <c r="H1079" s="93" t="s">
        <v>10</v>
      </c>
      <c r="I1079" s="93" t="s">
        <v>255</v>
      </c>
      <c r="J1079" s="93" t="s">
        <v>47</v>
      </c>
      <c r="K1079" s="93"/>
      <c r="L1079" s="95">
        <v>20.99</v>
      </c>
      <c r="M1079" s="95">
        <f>L1079*VLOOKUP(H1079,dagsoorttabel1,2,FALSE)</f>
        <v>20.99</v>
      </c>
      <c r="N1079" s="96">
        <f>prodnorm111</f>
        <v>0</v>
      </c>
      <c r="O1079" s="37">
        <f>dagwerk111</f>
        <v>0</v>
      </c>
      <c r="P1079" s="93" t="s">
        <v>105</v>
      </c>
      <c r="Q1079" s="24">
        <f>uurtarief111</f>
        <v>0</v>
      </c>
      <c r="R1079" s="95" t="e">
        <f>IF(ISBLANK(N1079),0,M1079/ROUND(N1079,4))</f>
        <v>#DIV/0!</v>
      </c>
      <c r="S1079" s="95" t="e">
        <f>IF(ISBLANK(N1079),0,R1079*ROUND(O1079,2))</f>
        <v>#DIV/0!</v>
      </c>
      <c r="T1079" s="24" t="e">
        <f>ROUND(Q1079,2)*R1079</f>
        <v>#DIV/0!</v>
      </c>
      <c r="U1079" s="95" t="e">
        <f>R1079*dagenperjaar1</f>
        <v>#DIV/0!</v>
      </c>
      <c r="V1079" s="25" t="e">
        <f>U1079*ROUND(Q1079,2)</f>
        <v>#DIV/0!</v>
      </c>
    </row>
    <row r="1080" spans="1:22" x14ac:dyDescent="0.2">
      <c r="A1080" s="92" t="s">
        <v>946</v>
      </c>
      <c r="B1080" s="93" t="s">
        <v>47</v>
      </c>
      <c r="C1080" s="93" t="s">
        <v>394</v>
      </c>
      <c r="D1080" s="93" t="s">
        <v>997</v>
      </c>
      <c r="E1080" s="94" t="s">
        <v>954</v>
      </c>
      <c r="F1080" s="93" t="s">
        <v>397</v>
      </c>
      <c r="G1080" s="93" t="s">
        <v>342</v>
      </c>
      <c r="H1080" s="93" t="s">
        <v>10</v>
      </c>
      <c r="I1080" s="93" t="s">
        <v>255</v>
      </c>
      <c r="J1080" s="93" t="s">
        <v>47</v>
      </c>
      <c r="K1080" s="93"/>
      <c r="L1080" s="95">
        <v>12.16</v>
      </c>
      <c r="M1080" s="95">
        <f>L1080*VLOOKUP(H1080,dagsoorttabel1,2,FALSE)</f>
        <v>12.16</v>
      </c>
      <c r="N1080" s="96">
        <f>prodnorm109</f>
        <v>0</v>
      </c>
      <c r="O1080" s="37">
        <f>dagwerk109</f>
        <v>0</v>
      </c>
      <c r="P1080" s="93" t="s">
        <v>105</v>
      </c>
      <c r="Q1080" s="24">
        <f>uurtarief109</f>
        <v>0</v>
      </c>
      <c r="R1080" s="95" t="e">
        <f>IF(ISBLANK(N1080),0,M1080/ROUND(N1080,4))</f>
        <v>#DIV/0!</v>
      </c>
      <c r="S1080" s="95" t="e">
        <f>IF(ISBLANK(N1080),0,R1080*ROUND(O1080,2))</f>
        <v>#DIV/0!</v>
      </c>
      <c r="T1080" s="24" t="e">
        <f>ROUND(Q1080,2)*R1080</f>
        <v>#DIV/0!</v>
      </c>
      <c r="U1080" s="95" t="e">
        <f>R1080*dagenperjaar1</f>
        <v>#DIV/0!</v>
      </c>
      <c r="V1080" s="25" t="e">
        <f>U1080*ROUND(Q1080,2)</f>
        <v>#DIV/0!</v>
      </c>
    </row>
    <row r="1081" spans="1:22" x14ac:dyDescent="0.2">
      <c r="A1081" s="92" t="s">
        <v>946</v>
      </c>
      <c r="B1081" s="93" t="s">
        <v>47</v>
      </c>
      <c r="C1081" s="93" t="s">
        <v>394</v>
      </c>
      <c r="D1081" s="93" t="s">
        <v>997</v>
      </c>
      <c r="E1081" s="94" t="s">
        <v>954</v>
      </c>
      <c r="F1081" s="93" t="s">
        <v>397</v>
      </c>
      <c r="G1081" s="93" t="s">
        <v>344</v>
      </c>
      <c r="H1081" s="93" t="s">
        <v>10</v>
      </c>
      <c r="I1081" s="93" t="s">
        <v>255</v>
      </c>
      <c r="J1081" s="93" t="s">
        <v>47</v>
      </c>
      <c r="K1081" s="93"/>
      <c r="L1081" s="95">
        <v>12.16</v>
      </c>
      <c r="M1081" s="95">
        <f>L1081*VLOOKUP(H1081,dagsoorttabel1,2,FALSE)</f>
        <v>12.16</v>
      </c>
      <c r="N1081" s="96">
        <f>prodnorm111</f>
        <v>0</v>
      </c>
      <c r="O1081" s="37">
        <f>dagwerk111</f>
        <v>0</v>
      </c>
      <c r="P1081" s="93" t="s">
        <v>105</v>
      </c>
      <c r="Q1081" s="24">
        <f>uurtarief111</f>
        <v>0</v>
      </c>
      <c r="R1081" s="95" t="e">
        <f>IF(ISBLANK(N1081),0,M1081/ROUND(N1081,4))</f>
        <v>#DIV/0!</v>
      </c>
      <c r="S1081" s="95" t="e">
        <f>IF(ISBLANK(N1081),0,R1081*ROUND(O1081,2))</f>
        <v>#DIV/0!</v>
      </c>
      <c r="T1081" s="24" t="e">
        <f>ROUND(Q1081,2)*R1081</f>
        <v>#DIV/0!</v>
      </c>
      <c r="U1081" s="95" t="e">
        <f>R1081*dagenperjaar1</f>
        <v>#DIV/0!</v>
      </c>
      <c r="V1081" s="25" t="e">
        <f>U1081*ROUND(Q1081,2)</f>
        <v>#DIV/0!</v>
      </c>
    </row>
    <row r="1082" spans="1:22" x14ac:dyDescent="0.2">
      <c r="A1082" s="92" t="s">
        <v>946</v>
      </c>
      <c r="B1082" s="93" t="s">
        <v>47</v>
      </c>
      <c r="C1082" s="93" t="s">
        <v>394</v>
      </c>
      <c r="D1082" s="93" t="s">
        <v>998</v>
      </c>
      <c r="E1082" s="94" t="s">
        <v>958</v>
      </c>
      <c r="F1082" s="93" t="s">
        <v>397</v>
      </c>
      <c r="G1082" s="93" t="s">
        <v>342</v>
      </c>
      <c r="H1082" s="93" t="s">
        <v>10</v>
      </c>
      <c r="I1082" s="93" t="s">
        <v>255</v>
      </c>
      <c r="J1082" s="93" t="s">
        <v>47</v>
      </c>
      <c r="K1082" s="93"/>
      <c r="L1082" s="95">
        <v>6</v>
      </c>
      <c r="M1082" s="95">
        <f>L1082*VLOOKUP(H1082,dagsoorttabel1,2,FALSE)</f>
        <v>6</v>
      </c>
      <c r="N1082" s="96">
        <f>prodnorm109</f>
        <v>0</v>
      </c>
      <c r="O1082" s="37">
        <f>dagwerk109</f>
        <v>0</v>
      </c>
      <c r="P1082" s="93" t="s">
        <v>105</v>
      </c>
      <c r="Q1082" s="24">
        <f>uurtarief109</f>
        <v>0</v>
      </c>
      <c r="R1082" s="95" t="e">
        <f>IF(ISBLANK(N1082),0,M1082/ROUND(N1082,4))</f>
        <v>#DIV/0!</v>
      </c>
      <c r="S1082" s="95" t="e">
        <f>IF(ISBLANK(N1082),0,R1082*ROUND(O1082,2))</f>
        <v>#DIV/0!</v>
      </c>
      <c r="T1082" s="24" t="e">
        <f>ROUND(Q1082,2)*R1082</f>
        <v>#DIV/0!</v>
      </c>
      <c r="U1082" s="95" t="e">
        <f>R1082*dagenperjaar1</f>
        <v>#DIV/0!</v>
      </c>
      <c r="V1082" s="25" t="e">
        <f>U1082*ROUND(Q1082,2)</f>
        <v>#DIV/0!</v>
      </c>
    </row>
    <row r="1083" spans="1:22" x14ac:dyDescent="0.2">
      <c r="A1083" s="92" t="s">
        <v>946</v>
      </c>
      <c r="B1083" s="93" t="s">
        <v>47</v>
      </c>
      <c r="C1083" s="93" t="s">
        <v>394</v>
      </c>
      <c r="D1083" s="93" t="s">
        <v>999</v>
      </c>
      <c r="E1083" s="94" t="s">
        <v>956</v>
      </c>
      <c r="F1083" s="93" t="s">
        <v>397</v>
      </c>
      <c r="G1083" s="93" t="s">
        <v>342</v>
      </c>
      <c r="H1083" s="93" t="s">
        <v>10</v>
      </c>
      <c r="I1083" s="93" t="s">
        <v>255</v>
      </c>
      <c r="J1083" s="93" t="s">
        <v>47</v>
      </c>
      <c r="K1083" s="93"/>
      <c r="L1083" s="95">
        <v>6.03</v>
      </c>
      <c r="M1083" s="95">
        <f>L1083*VLOOKUP(H1083,dagsoorttabel1,2,FALSE)</f>
        <v>6.03</v>
      </c>
      <c r="N1083" s="96">
        <f>prodnorm109</f>
        <v>0</v>
      </c>
      <c r="O1083" s="37">
        <f>dagwerk109</f>
        <v>0</v>
      </c>
      <c r="P1083" s="93" t="s">
        <v>105</v>
      </c>
      <c r="Q1083" s="24">
        <f>uurtarief109</f>
        <v>0</v>
      </c>
      <c r="R1083" s="95" t="e">
        <f>IF(ISBLANK(N1083),0,M1083/ROUND(N1083,4))</f>
        <v>#DIV/0!</v>
      </c>
      <c r="S1083" s="95" t="e">
        <f>IF(ISBLANK(N1083),0,R1083*ROUND(O1083,2))</f>
        <v>#DIV/0!</v>
      </c>
      <c r="T1083" s="24" t="e">
        <f>ROUND(Q1083,2)*R1083</f>
        <v>#DIV/0!</v>
      </c>
      <c r="U1083" s="95" t="e">
        <f>R1083*dagenperjaar1</f>
        <v>#DIV/0!</v>
      </c>
      <c r="V1083" s="25" t="e">
        <f>U1083*ROUND(Q1083,2)</f>
        <v>#DIV/0!</v>
      </c>
    </row>
    <row r="1084" spans="1:22" x14ac:dyDescent="0.2">
      <c r="A1084" s="92" t="s">
        <v>946</v>
      </c>
      <c r="B1084" s="93" t="s">
        <v>47</v>
      </c>
      <c r="C1084" s="93" t="s">
        <v>394</v>
      </c>
      <c r="D1084" s="93" t="s">
        <v>999</v>
      </c>
      <c r="E1084" s="94" t="s">
        <v>956</v>
      </c>
      <c r="F1084" s="93" t="s">
        <v>397</v>
      </c>
      <c r="G1084" s="93" t="s">
        <v>344</v>
      </c>
      <c r="H1084" s="93" t="s">
        <v>10</v>
      </c>
      <c r="I1084" s="93" t="s">
        <v>255</v>
      </c>
      <c r="J1084" s="93" t="s">
        <v>47</v>
      </c>
      <c r="K1084" s="93"/>
      <c r="L1084" s="95">
        <v>6.03</v>
      </c>
      <c r="M1084" s="95">
        <f>L1084*VLOOKUP(H1084,dagsoorttabel1,2,FALSE)</f>
        <v>6.03</v>
      </c>
      <c r="N1084" s="96">
        <f>prodnorm111</f>
        <v>0</v>
      </c>
      <c r="O1084" s="37">
        <f>dagwerk111</f>
        <v>0</v>
      </c>
      <c r="P1084" s="93" t="s">
        <v>105</v>
      </c>
      <c r="Q1084" s="24">
        <f>uurtarief111</f>
        <v>0</v>
      </c>
      <c r="R1084" s="95" t="e">
        <f>IF(ISBLANK(N1084),0,M1084/ROUND(N1084,4))</f>
        <v>#DIV/0!</v>
      </c>
      <c r="S1084" s="95" t="e">
        <f>IF(ISBLANK(N1084),0,R1084*ROUND(O1084,2))</f>
        <v>#DIV/0!</v>
      </c>
      <c r="T1084" s="24" t="e">
        <f>ROUND(Q1084,2)*R1084</f>
        <v>#DIV/0!</v>
      </c>
      <c r="U1084" s="95" t="e">
        <f>R1084*dagenperjaar1</f>
        <v>#DIV/0!</v>
      </c>
      <c r="V1084" s="25" t="e">
        <f>U1084*ROUND(Q1084,2)</f>
        <v>#DIV/0!</v>
      </c>
    </row>
    <row r="1085" spans="1:22" x14ac:dyDescent="0.2">
      <c r="A1085" s="92" t="s">
        <v>946</v>
      </c>
      <c r="B1085" s="93" t="s">
        <v>47</v>
      </c>
      <c r="C1085" s="93" t="s">
        <v>394</v>
      </c>
      <c r="D1085" s="93" t="s">
        <v>1000</v>
      </c>
      <c r="E1085" s="94" t="s">
        <v>954</v>
      </c>
      <c r="F1085" s="93" t="s">
        <v>397</v>
      </c>
      <c r="G1085" s="93" t="s">
        <v>342</v>
      </c>
      <c r="H1085" s="93" t="s">
        <v>10</v>
      </c>
      <c r="I1085" s="93" t="s">
        <v>255</v>
      </c>
      <c r="J1085" s="93" t="s">
        <v>47</v>
      </c>
      <c r="K1085" s="93"/>
      <c r="L1085" s="95">
        <v>6.03</v>
      </c>
      <c r="M1085" s="95">
        <f>L1085*VLOOKUP(H1085,dagsoorttabel1,2,FALSE)</f>
        <v>6.03</v>
      </c>
      <c r="N1085" s="96">
        <f>prodnorm109</f>
        <v>0</v>
      </c>
      <c r="O1085" s="37">
        <f>dagwerk109</f>
        <v>0</v>
      </c>
      <c r="P1085" s="93" t="s">
        <v>105</v>
      </c>
      <c r="Q1085" s="24">
        <f>uurtarief109</f>
        <v>0</v>
      </c>
      <c r="R1085" s="95" t="e">
        <f>IF(ISBLANK(N1085),0,M1085/ROUND(N1085,4))</f>
        <v>#DIV/0!</v>
      </c>
      <c r="S1085" s="95" t="e">
        <f>IF(ISBLANK(N1085),0,R1085*ROUND(O1085,2))</f>
        <v>#DIV/0!</v>
      </c>
      <c r="T1085" s="24" t="e">
        <f>ROUND(Q1085,2)*R1085</f>
        <v>#DIV/0!</v>
      </c>
      <c r="U1085" s="95" t="e">
        <f>R1085*dagenperjaar1</f>
        <v>#DIV/0!</v>
      </c>
      <c r="V1085" s="25" t="e">
        <f>U1085*ROUND(Q1085,2)</f>
        <v>#DIV/0!</v>
      </c>
    </row>
    <row r="1086" spans="1:22" x14ac:dyDescent="0.2">
      <c r="A1086" s="92" t="s">
        <v>946</v>
      </c>
      <c r="B1086" s="93" t="s">
        <v>47</v>
      </c>
      <c r="C1086" s="93" t="s">
        <v>394</v>
      </c>
      <c r="D1086" s="93" t="s">
        <v>1000</v>
      </c>
      <c r="E1086" s="94" t="s">
        <v>954</v>
      </c>
      <c r="F1086" s="93" t="s">
        <v>397</v>
      </c>
      <c r="G1086" s="93" t="s">
        <v>344</v>
      </c>
      <c r="H1086" s="93" t="s">
        <v>10</v>
      </c>
      <c r="I1086" s="93" t="s">
        <v>255</v>
      </c>
      <c r="J1086" s="93" t="s">
        <v>47</v>
      </c>
      <c r="K1086" s="93"/>
      <c r="L1086" s="95">
        <v>6.03</v>
      </c>
      <c r="M1086" s="95">
        <f>L1086*VLOOKUP(H1086,dagsoorttabel1,2,FALSE)</f>
        <v>6.03</v>
      </c>
      <c r="N1086" s="96">
        <f>prodnorm111</f>
        <v>0</v>
      </c>
      <c r="O1086" s="37">
        <f>dagwerk111</f>
        <v>0</v>
      </c>
      <c r="P1086" s="93" t="s">
        <v>105</v>
      </c>
      <c r="Q1086" s="24">
        <f>uurtarief111</f>
        <v>0</v>
      </c>
      <c r="R1086" s="95" t="e">
        <f>IF(ISBLANK(N1086),0,M1086/ROUND(N1086,4))</f>
        <v>#DIV/0!</v>
      </c>
      <c r="S1086" s="95" t="e">
        <f>IF(ISBLANK(N1086),0,R1086*ROUND(O1086,2))</f>
        <v>#DIV/0!</v>
      </c>
      <c r="T1086" s="24" t="e">
        <f>ROUND(Q1086,2)*R1086</f>
        <v>#DIV/0!</v>
      </c>
      <c r="U1086" s="95" t="e">
        <f>R1086*dagenperjaar1</f>
        <v>#DIV/0!</v>
      </c>
      <c r="V1086" s="25" t="e">
        <f>U1086*ROUND(Q1086,2)</f>
        <v>#DIV/0!</v>
      </c>
    </row>
    <row r="1087" spans="1:22" x14ac:dyDescent="0.2">
      <c r="A1087" s="92" t="s">
        <v>946</v>
      </c>
      <c r="B1087" s="93" t="s">
        <v>47</v>
      </c>
      <c r="C1087" s="93" t="s">
        <v>394</v>
      </c>
      <c r="D1087" s="93" t="s">
        <v>1001</v>
      </c>
      <c r="E1087" s="94" t="s">
        <v>958</v>
      </c>
      <c r="F1087" s="93" t="s">
        <v>397</v>
      </c>
      <c r="G1087" s="93" t="s">
        <v>342</v>
      </c>
      <c r="H1087" s="93" t="s">
        <v>10</v>
      </c>
      <c r="I1087" s="93" t="s">
        <v>255</v>
      </c>
      <c r="J1087" s="93" t="s">
        <v>47</v>
      </c>
      <c r="K1087" s="93"/>
      <c r="L1087" s="95">
        <v>6.59</v>
      </c>
      <c r="M1087" s="95">
        <f>L1087*VLOOKUP(H1087,dagsoorttabel1,2,FALSE)</f>
        <v>6.59</v>
      </c>
      <c r="N1087" s="96">
        <f>prodnorm109</f>
        <v>0</v>
      </c>
      <c r="O1087" s="37">
        <f>dagwerk109</f>
        <v>0</v>
      </c>
      <c r="P1087" s="93" t="s">
        <v>105</v>
      </c>
      <c r="Q1087" s="24">
        <f>uurtarief109</f>
        <v>0</v>
      </c>
      <c r="R1087" s="95" t="e">
        <f>IF(ISBLANK(N1087),0,M1087/ROUND(N1087,4))</f>
        <v>#DIV/0!</v>
      </c>
      <c r="S1087" s="95" t="e">
        <f>IF(ISBLANK(N1087),0,R1087*ROUND(O1087,2))</f>
        <v>#DIV/0!</v>
      </c>
      <c r="T1087" s="24" t="e">
        <f>ROUND(Q1087,2)*R1087</f>
        <v>#DIV/0!</v>
      </c>
      <c r="U1087" s="95" t="e">
        <f>R1087*dagenperjaar1</f>
        <v>#DIV/0!</v>
      </c>
      <c r="V1087" s="25" t="e">
        <f>U1087*ROUND(Q1087,2)</f>
        <v>#DIV/0!</v>
      </c>
    </row>
    <row r="1088" spans="1:22" x14ac:dyDescent="0.2">
      <c r="A1088" s="92" t="s">
        <v>946</v>
      </c>
      <c r="B1088" s="93" t="s">
        <v>47</v>
      </c>
      <c r="C1088" s="93" t="s">
        <v>394</v>
      </c>
      <c r="D1088" s="93" t="s">
        <v>1002</v>
      </c>
      <c r="E1088" s="94" t="s">
        <v>1003</v>
      </c>
      <c r="F1088" s="93" t="s">
        <v>442</v>
      </c>
      <c r="G1088" s="93" t="s">
        <v>322</v>
      </c>
      <c r="H1088" s="93" t="s">
        <v>10</v>
      </c>
      <c r="I1088" s="93" t="s">
        <v>255</v>
      </c>
      <c r="J1088" s="93" t="s">
        <v>47</v>
      </c>
      <c r="K1088" s="93"/>
      <c r="L1088" s="95">
        <v>44</v>
      </c>
      <c r="M1088" s="95">
        <f>L1088*VLOOKUP(H1088,dagsoorttabel1,2,FALSE)</f>
        <v>44</v>
      </c>
      <c r="N1088" s="96">
        <f>prodnorm96</f>
        <v>0</v>
      </c>
      <c r="O1088" s="37">
        <f>dagwerk96</f>
        <v>0</v>
      </c>
      <c r="P1088" s="93" t="s">
        <v>105</v>
      </c>
      <c r="Q1088" s="24">
        <f>uurtarief96</f>
        <v>0</v>
      </c>
      <c r="R1088" s="95" t="e">
        <f>IF(ISBLANK(N1088),0,M1088/ROUND(N1088,4))</f>
        <v>#DIV/0!</v>
      </c>
      <c r="S1088" s="95" t="e">
        <f>IF(ISBLANK(N1088),0,R1088*ROUND(O1088,2))</f>
        <v>#DIV/0!</v>
      </c>
      <c r="T1088" s="24" t="e">
        <f>ROUND(Q1088,2)*R1088</f>
        <v>#DIV/0!</v>
      </c>
      <c r="U1088" s="95" t="e">
        <f>R1088*dagenperjaar1</f>
        <v>#DIV/0!</v>
      </c>
      <c r="V1088" s="25" t="e">
        <f>U1088*ROUND(Q1088,2)</f>
        <v>#DIV/0!</v>
      </c>
    </row>
    <row r="1089" spans="1:22" x14ac:dyDescent="0.2">
      <c r="A1089" s="92" t="s">
        <v>946</v>
      </c>
      <c r="B1089" s="93" t="s">
        <v>47</v>
      </c>
      <c r="C1089" s="93" t="s">
        <v>394</v>
      </c>
      <c r="D1089" s="93" t="s">
        <v>1004</v>
      </c>
      <c r="E1089" s="94" t="s">
        <v>1003</v>
      </c>
      <c r="F1089" s="93" t="s">
        <v>442</v>
      </c>
      <c r="G1089" s="93" t="s">
        <v>322</v>
      </c>
      <c r="H1089" s="93" t="s">
        <v>10</v>
      </c>
      <c r="I1089" s="93" t="s">
        <v>255</v>
      </c>
      <c r="J1089" s="93" t="s">
        <v>47</v>
      </c>
      <c r="K1089" s="93"/>
      <c r="L1089" s="95">
        <v>29.89</v>
      </c>
      <c r="M1089" s="95">
        <f>L1089*VLOOKUP(H1089,dagsoorttabel1,2,FALSE)</f>
        <v>29.89</v>
      </c>
      <c r="N1089" s="96">
        <f>prodnorm96</f>
        <v>0</v>
      </c>
      <c r="O1089" s="37">
        <f>dagwerk96</f>
        <v>0</v>
      </c>
      <c r="P1089" s="93" t="s">
        <v>105</v>
      </c>
      <c r="Q1089" s="24">
        <f>uurtarief96</f>
        <v>0</v>
      </c>
      <c r="R1089" s="95" t="e">
        <f>IF(ISBLANK(N1089),0,M1089/ROUND(N1089,4))</f>
        <v>#DIV/0!</v>
      </c>
      <c r="S1089" s="95" t="e">
        <f>IF(ISBLANK(N1089),0,R1089*ROUND(O1089,2))</f>
        <v>#DIV/0!</v>
      </c>
      <c r="T1089" s="24" t="e">
        <f>ROUND(Q1089,2)*R1089</f>
        <v>#DIV/0!</v>
      </c>
      <c r="U1089" s="95" t="e">
        <f>R1089*dagenperjaar1</f>
        <v>#DIV/0!</v>
      </c>
      <c r="V1089" s="25" t="e">
        <f>U1089*ROUND(Q1089,2)</f>
        <v>#DIV/0!</v>
      </c>
    </row>
    <row r="1090" spans="1:22" x14ac:dyDescent="0.2">
      <c r="A1090" s="92" t="s">
        <v>946</v>
      </c>
      <c r="B1090" s="93" t="s">
        <v>47</v>
      </c>
      <c r="C1090" s="93" t="s">
        <v>394</v>
      </c>
      <c r="D1090" s="93" t="s">
        <v>1005</v>
      </c>
      <c r="E1090" s="94" t="s">
        <v>1006</v>
      </c>
      <c r="F1090" s="93" t="s">
        <v>397</v>
      </c>
      <c r="G1090" s="93" t="s">
        <v>320</v>
      </c>
      <c r="H1090" s="93" t="s">
        <v>21</v>
      </c>
      <c r="I1090" s="93" t="s">
        <v>255</v>
      </c>
      <c r="J1090" s="93" t="s">
        <v>47</v>
      </c>
      <c r="K1090" s="93"/>
      <c r="L1090" s="95">
        <v>22.24</v>
      </c>
      <c r="M1090" s="95">
        <f>L1090*VLOOKUP(H1090,dagsoorttabel1,2,FALSE)</f>
        <v>4.4479999999999995</v>
      </c>
      <c r="N1090" s="96">
        <f>prodnorm95</f>
        <v>0</v>
      </c>
      <c r="O1090" s="37">
        <f>dagwerk95</f>
        <v>0</v>
      </c>
      <c r="P1090" s="93" t="s">
        <v>105</v>
      </c>
      <c r="Q1090" s="24">
        <f>uurtarief95</f>
        <v>0</v>
      </c>
      <c r="R1090" s="95" t="e">
        <f>IF(ISBLANK(N1090),0,M1090/ROUND(N1090,4))</f>
        <v>#DIV/0!</v>
      </c>
      <c r="S1090" s="95" t="e">
        <f>IF(ISBLANK(N1090),0,R1090*ROUND(O1090,2))</f>
        <v>#DIV/0!</v>
      </c>
      <c r="T1090" s="24" t="e">
        <f>ROUND(Q1090,2)*R1090</f>
        <v>#DIV/0!</v>
      </c>
      <c r="U1090" s="95" t="e">
        <f>R1090*dagenperjaar1</f>
        <v>#DIV/0!</v>
      </c>
      <c r="V1090" s="25" t="e">
        <f>U1090*ROUND(Q1090,2)</f>
        <v>#DIV/0!</v>
      </c>
    </row>
    <row r="1091" spans="1:22" x14ac:dyDescent="0.2">
      <c r="A1091" s="92" t="s">
        <v>946</v>
      </c>
      <c r="B1091" s="93" t="s">
        <v>47</v>
      </c>
      <c r="C1091" s="93" t="s">
        <v>394</v>
      </c>
      <c r="D1091" s="93" t="s">
        <v>1007</v>
      </c>
      <c r="E1091" s="94" t="s">
        <v>1008</v>
      </c>
      <c r="F1091" s="93" t="s">
        <v>442</v>
      </c>
      <c r="G1091" s="93" t="s">
        <v>324</v>
      </c>
      <c r="H1091" s="93" t="s">
        <v>10</v>
      </c>
      <c r="I1091" s="93" t="s">
        <v>255</v>
      </c>
      <c r="J1091" s="93" t="s">
        <v>47</v>
      </c>
      <c r="K1091" s="93"/>
      <c r="L1091" s="95">
        <v>46.46</v>
      </c>
      <c r="M1091" s="95">
        <f>L1091*VLOOKUP(H1091,dagsoorttabel1,2,FALSE)</f>
        <v>46.46</v>
      </c>
      <c r="N1091" s="96">
        <f>prodnorm98</f>
        <v>0</v>
      </c>
      <c r="O1091" s="37">
        <f>dagwerk98</f>
        <v>0</v>
      </c>
      <c r="P1091" s="93" t="s">
        <v>105</v>
      </c>
      <c r="Q1091" s="24">
        <f>uurtarief98</f>
        <v>0</v>
      </c>
      <c r="R1091" s="95" t="e">
        <f>IF(ISBLANK(N1091),0,M1091/ROUND(N1091,4))</f>
        <v>#DIV/0!</v>
      </c>
      <c r="S1091" s="95" t="e">
        <f>IF(ISBLANK(N1091),0,R1091*ROUND(O1091,2))</f>
        <v>#DIV/0!</v>
      </c>
      <c r="T1091" s="24" t="e">
        <f>ROUND(Q1091,2)*R1091</f>
        <v>#DIV/0!</v>
      </c>
      <c r="U1091" s="95" t="e">
        <f>R1091*dagenperjaar1</f>
        <v>#DIV/0!</v>
      </c>
      <c r="V1091" s="25" t="e">
        <f>U1091*ROUND(Q1091,2)</f>
        <v>#DIV/0!</v>
      </c>
    </row>
    <row r="1092" spans="1:22" x14ac:dyDescent="0.2">
      <c r="A1092" s="92" t="s">
        <v>946</v>
      </c>
      <c r="B1092" s="93" t="s">
        <v>47</v>
      </c>
      <c r="C1092" s="93" t="s">
        <v>394</v>
      </c>
      <c r="D1092" s="93" t="s">
        <v>1007</v>
      </c>
      <c r="E1092" s="94" t="s">
        <v>1008</v>
      </c>
      <c r="F1092" s="93" t="s">
        <v>442</v>
      </c>
      <c r="G1092" s="93" t="s">
        <v>326</v>
      </c>
      <c r="H1092" s="93" t="s">
        <v>10</v>
      </c>
      <c r="I1092" s="93" t="s">
        <v>255</v>
      </c>
      <c r="J1092" s="93" t="s">
        <v>47</v>
      </c>
      <c r="K1092" s="93"/>
      <c r="L1092" s="95">
        <v>46.46</v>
      </c>
      <c r="M1092" s="95">
        <f>L1092*VLOOKUP(H1092,dagsoorttabel1,2,FALSE)</f>
        <v>46.46</v>
      </c>
      <c r="N1092" s="96">
        <f>prodnorm99</f>
        <v>0</v>
      </c>
      <c r="O1092" s="37">
        <f>dagwerk99</f>
        <v>0</v>
      </c>
      <c r="P1092" s="93" t="s">
        <v>105</v>
      </c>
      <c r="Q1092" s="24">
        <f>uurtarief99</f>
        <v>0</v>
      </c>
      <c r="R1092" s="95" t="e">
        <f>IF(ISBLANK(N1092),0,M1092/ROUND(N1092,4))</f>
        <v>#DIV/0!</v>
      </c>
      <c r="S1092" s="95" t="e">
        <f>IF(ISBLANK(N1092),0,R1092*ROUND(O1092,2))</f>
        <v>#DIV/0!</v>
      </c>
      <c r="T1092" s="24" t="e">
        <f>ROUND(Q1092,2)*R1092</f>
        <v>#DIV/0!</v>
      </c>
      <c r="U1092" s="95" t="e">
        <f>R1092*dagenperjaar1</f>
        <v>#DIV/0!</v>
      </c>
      <c r="V1092" s="25" t="e">
        <f>U1092*ROUND(Q1092,2)</f>
        <v>#DIV/0!</v>
      </c>
    </row>
    <row r="1093" spans="1:22" x14ac:dyDescent="0.2">
      <c r="A1093" s="92" t="s">
        <v>946</v>
      </c>
      <c r="B1093" s="93" t="s">
        <v>47</v>
      </c>
      <c r="C1093" s="93" t="s">
        <v>394</v>
      </c>
      <c r="D1093" s="93" t="s">
        <v>1009</v>
      </c>
      <c r="E1093" s="94" t="s">
        <v>948</v>
      </c>
      <c r="F1093" s="93" t="s">
        <v>397</v>
      </c>
      <c r="G1093" s="93" t="s">
        <v>346</v>
      </c>
      <c r="H1093" s="93" t="s">
        <v>10</v>
      </c>
      <c r="I1093" s="93" t="s">
        <v>255</v>
      </c>
      <c r="J1093" s="93" t="s">
        <v>47</v>
      </c>
      <c r="K1093" s="93"/>
      <c r="L1093" s="95">
        <v>6.87</v>
      </c>
      <c r="M1093" s="95">
        <f>L1093*VLOOKUP(H1093,dagsoorttabel1,2,FALSE)</f>
        <v>6.87</v>
      </c>
      <c r="N1093" s="96">
        <f>prodnorm112</f>
        <v>0</v>
      </c>
      <c r="O1093" s="37">
        <f>dagwerk112</f>
        <v>0</v>
      </c>
      <c r="P1093" s="93" t="s">
        <v>105</v>
      </c>
      <c r="Q1093" s="24">
        <f>uurtarief112</f>
        <v>0</v>
      </c>
      <c r="R1093" s="95" t="e">
        <f>IF(ISBLANK(N1093),0,M1093/ROUND(N1093,4))</f>
        <v>#DIV/0!</v>
      </c>
      <c r="S1093" s="95" t="e">
        <f>IF(ISBLANK(N1093),0,R1093*ROUND(O1093,2))</f>
        <v>#DIV/0!</v>
      </c>
      <c r="T1093" s="24" t="e">
        <f>ROUND(Q1093,2)*R1093</f>
        <v>#DIV/0!</v>
      </c>
      <c r="U1093" s="95" t="e">
        <f>R1093*dagenperjaar1</f>
        <v>#DIV/0!</v>
      </c>
      <c r="V1093" s="25" t="e">
        <f>U1093*ROUND(Q1093,2)</f>
        <v>#DIV/0!</v>
      </c>
    </row>
    <row r="1094" spans="1:22" x14ac:dyDescent="0.2">
      <c r="A1094" s="92" t="s">
        <v>946</v>
      </c>
      <c r="B1094" s="93" t="s">
        <v>47</v>
      </c>
      <c r="C1094" s="93" t="s">
        <v>394</v>
      </c>
      <c r="D1094" s="93" t="s">
        <v>1009</v>
      </c>
      <c r="E1094" s="94" t="s">
        <v>948</v>
      </c>
      <c r="F1094" s="93" t="s">
        <v>397</v>
      </c>
      <c r="G1094" s="93" t="s">
        <v>348</v>
      </c>
      <c r="H1094" s="93" t="s">
        <v>10</v>
      </c>
      <c r="I1094" s="93" t="s">
        <v>255</v>
      </c>
      <c r="J1094" s="93" t="s">
        <v>47</v>
      </c>
      <c r="K1094" s="93"/>
      <c r="L1094" s="95">
        <v>6.87</v>
      </c>
      <c r="M1094" s="95">
        <f>L1094*VLOOKUP(H1094,dagsoorttabel1,2,FALSE)</f>
        <v>6.87</v>
      </c>
      <c r="N1094" s="96">
        <f>prodnorm114</f>
        <v>0</v>
      </c>
      <c r="O1094" s="37">
        <f>dagwerk114</f>
        <v>0</v>
      </c>
      <c r="P1094" s="93" t="s">
        <v>105</v>
      </c>
      <c r="Q1094" s="24">
        <f>uurtarief114</f>
        <v>0</v>
      </c>
      <c r="R1094" s="95" t="e">
        <f>IF(ISBLANK(N1094),0,M1094/ROUND(N1094,4))</f>
        <v>#DIV/0!</v>
      </c>
      <c r="S1094" s="95" t="e">
        <f>IF(ISBLANK(N1094),0,R1094*ROUND(O1094,2))</f>
        <v>#DIV/0!</v>
      </c>
      <c r="T1094" s="24" t="e">
        <f>ROUND(Q1094,2)*R1094</f>
        <v>#DIV/0!</v>
      </c>
      <c r="U1094" s="95" t="e">
        <f>R1094*dagenperjaar1</f>
        <v>#DIV/0!</v>
      </c>
      <c r="V1094" s="25" t="e">
        <f>U1094*ROUND(Q1094,2)</f>
        <v>#DIV/0!</v>
      </c>
    </row>
    <row r="1095" spans="1:22" x14ac:dyDescent="0.2">
      <c r="A1095" s="92" t="s">
        <v>946</v>
      </c>
      <c r="B1095" s="93" t="s">
        <v>47</v>
      </c>
      <c r="C1095" s="93" t="s">
        <v>394</v>
      </c>
      <c r="D1095" s="93" t="s">
        <v>1010</v>
      </c>
      <c r="E1095" s="94" t="s">
        <v>1011</v>
      </c>
      <c r="F1095" s="93" t="s">
        <v>397</v>
      </c>
      <c r="G1095" s="93" t="s">
        <v>330</v>
      </c>
      <c r="H1095" s="93" t="s">
        <v>10</v>
      </c>
      <c r="I1095" s="93" t="s">
        <v>255</v>
      </c>
      <c r="J1095" s="93" t="s">
        <v>47</v>
      </c>
      <c r="K1095" s="93"/>
      <c r="L1095" s="95">
        <v>8.65</v>
      </c>
      <c r="M1095" s="95">
        <f>L1095*VLOOKUP(H1095,dagsoorttabel1,2,FALSE)</f>
        <v>8.65</v>
      </c>
      <c r="N1095" s="96">
        <f>prodnorm102</f>
        <v>0</v>
      </c>
      <c r="O1095" s="37">
        <f>dagwerk102</f>
        <v>0</v>
      </c>
      <c r="P1095" s="93" t="s">
        <v>105</v>
      </c>
      <c r="Q1095" s="24">
        <f>uurtarief102</f>
        <v>0</v>
      </c>
      <c r="R1095" s="95" t="e">
        <f>IF(ISBLANK(N1095),0,M1095/ROUND(N1095,4))</f>
        <v>#DIV/0!</v>
      </c>
      <c r="S1095" s="95" t="e">
        <f>IF(ISBLANK(N1095),0,R1095*ROUND(O1095,2))</f>
        <v>#DIV/0!</v>
      </c>
      <c r="T1095" s="24" t="e">
        <f>ROUND(Q1095,2)*R1095</f>
        <v>#DIV/0!</v>
      </c>
      <c r="U1095" s="95" t="e">
        <f>R1095*dagenperjaar1</f>
        <v>#DIV/0!</v>
      </c>
      <c r="V1095" s="25" t="e">
        <f>U1095*ROUND(Q1095,2)</f>
        <v>#DIV/0!</v>
      </c>
    </row>
    <row r="1096" spans="1:22" x14ac:dyDescent="0.2">
      <c r="A1096" s="92" t="s">
        <v>946</v>
      </c>
      <c r="B1096" s="93" t="s">
        <v>47</v>
      </c>
      <c r="C1096" s="93" t="s">
        <v>394</v>
      </c>
      <c r="D1096" s="93" t="s">
        <v>1010</v>
      </c>
      <c r="E1096" s="94" t="s">
        <v>1011</v>
      </c>
      <c r="F1096" s="93" t="s">
        <v>397</v>
      </c>
      <c r="G1096" s="93" t="s">
        <v>332</v>
      </c>
      <c r="H1096" s="93" t="s">
        <v>10</v>
      </c>
      <c r="I1096" s="93" t="s">
        <v>255</v>
      </c>
      <c r="J1096" s="93" t="s">
        <v>47</v>
      </c>
      <c r="K1096" s="93"/>
      <c r="L1096" s="95">
        <v>8.65</v>
      </c>
      <c r="M1096" s="95">
        <f>L1096*VLOOKUP(H1096,dagsoorttabel1,2,FALSE)</f>
        <v>8.65</v>
      </c>
      <c r="N1096" s="96">
        <f>prodnorm104</f>
        <v>0</v>
      </c>
      <c r="O1096" s="37">
        <f>dagwerk104</f>
        <v>0</v>
      </c>
      <c r="P1096" s="93" t="s">
        <v>105</v>
      </c>
      <c r="Q1096" s="24">
        <f>uurtarief104</f>
        <v>0</v>
      </c>
      <c r="R1096" s="95" t="e">
        <f>IF(ISBLANK(N1096),0,M1096/ROUND(N1096,4))</f>
        <v>#DIV/0!</v>
      </c>
      <c r="S1096" s="95" t="e">
        <f>IF(ISBLANK(N1096),0,R1096*ROUND(O1096,2))</f>
        <v>#DIV/0!</v>
      </c>
      <c r="T1096" s="24" t="e">
        <f>ROUND(Q1096,2)*R1096</f>
        <v>#DIV/0!</v>
      </c>
      <c r="U1096" s="95" t="e">
        <f>R1096*dagenperjaar1</f>
        <v>#DIV/0!</v>
      </c>
      <c r="V1096" s="25" t="e">
        <f>U1096*ROUND(Q1096,2)</f>
        <v>#DIV/0!</v>
      </c>
    </row>
    <row r="1097" spans="1:22" x14ac:dyDescent="0.2">
      <c r="A1097" s="92" t="s">
        <v>946</v>
      </c>
      <c r="B1097" s="93" t="s">
        <v>47</v>
      </c>
      <c r="C1097" s="93" t="s">
        <v>394</v>
      </c>
      <c r="D1097" s="93" t="s">
        <v>1012</v>
      </c>
      <c r="E1097" s="94" t="s">
        <v>1013</v>
      </c>
      <c r="F1097" s="93" t="s">
        <v>397</v>
      </c>
      <c r="G1097" s="93" t="s">
        <v>346</v>
      </c>
      <c r="H1097" s="93" t="s">
        <v>10</v>
      </c>
      <c r="I1097" s="93" t="s">
        <v>255</v>
      </c>
      <c r="J1097" s="93" t="s">
        <v>47</v>
      </c>
      <c r="K1097" s="93"/>
      <c r="L1097" s="95">
        <v>55.75</v>
      </c>
      <c r="M1097" s="95">
        <f>L1097*VLOOKUP(H1097,dagsoorttabel1,2,FALSE)</f>
        <v>55.75</v>
      </c>
      <c r="N1097" s="96">
        <f>prodnorm112</f>
        <v>0</v>
      </c>
      <c r="O1097" s="37">
        <f>dagwerk112</f>
        <v>0</v>
      </c>
      <c r="P1097" s="93" t="s">
        <v>105</v>
      </c>
      <c r="Q1097" s="24">
        <f>uurtarief112</f>
        <v>0</v>
      </c>
      <c r="R1097" s="95" t="e">
        <f>IF(ISBLANK(N1097),0,M1097/ROUND(N1097,4))</f>
        <v>#DIV/0!</v>
      </c>
      <c r="S1097" s="95" t="e">
        <f>IF(ISBLANK(N1097),0,R1097*ROUND(O1097,2))</f>
        <v>#DIV/0!</v>
      </c>
      <c r="T1097" s="24" t="e">
        <f>ROUND(Q1097,2)*R1097</f>
        <v>#DIV/0!</v>
      </c>
      <c r="U1097" s="95" t="e">
        <f>R1097*dagenperjaar1</f>
        <v>#DIV/0!</v>
      </c>
      <c r="V1097" s="25" t="e">
        <f>U1097*ROUND(Q1097,2)</f>
        <v>#DIV/0!</v>
      </c>
    </row>
    <row r="1098" spans="1:22" x14ac:dyDescent="0.2">
      <c r="A1098" s="92" t="s">
        <v>946</v>
      </c>
      <c r="B1098" s="93" t="s">
        <v>47</v>
      </c>
      <c r="C1098" s="93" t="s">
        <v>394</v>
      </c>
      <c r="D1098" s="93" t="s">
        <v>1012</v>
      </c>
      <c r="E1098" s="94" t="s">
        <v>1013</v>
      </c>
      <c r="F1098" s="93" t="s">
        <v>397</v>
      </c>
      <c r="G1098" s="93" t="s">
        <v>348</v>
      </c>
      <c r="H1098" s="93" t="s">
        <v>10</v>
      </c>
      <c r="I1098" s="93" t="s">
        <v>255</v>
      </c>
      <c r="J1098" s="93" t="s">
        <v>47</v>
      </c>
      <c r="K1098" s="93"/>
      <c r="L1098" s="95">
        <v>55.75</v>
      </c>
      <c r="M1098" s="95">
        <f>L1098*VLOOKUP(H1098,dagsoorttabel1,2,FALSE)</f>
        <v>55.75</v>
      </c>
      <c r="N1098" s="96">
        <f>prodnorm114</f>
        <v>0</v>
      </c>
      <c r="O1098" s="37">
        <f>dagwerk114</f>
        <v>0</v>
      </c>
      <c r="P1098" s="93" t="s">
        <v>105</v>
      </c>
      <c r="Q1098" s="24">
        <f>uurtarief114</f>
        <v>0</v>
      </c>
      <c r="R1098" s="95" t="e">
        <f>IF(ISBLANK(N1098),0,M1098/ROUND(N1098,4))</f>
        <v>#DIV/0!</v>
      </c>
      <c r="S1098" s="95" t="e">
        <f>IF(ISBLANK(N1098),0,R1098*ROUND(O1098,2))</f>
        <v>#DIV/0!</v>
      </c>
      <c r="T1098" s="24" t="e">
        <f>ROUND(Q1098,2)*R1098</f>
        <v>#DIV/0!</v>
      </c>
      <c r="U1098" s="95" t="e">
        <f>R1098*dagenperjaar1</f>
        <v>#DIV/0!</v>
      </c>
      <c r="V1098" s="25" t="e">
        <f>U1098*ROUND(Q1098,2)</f>
        <v>#DIV/0!</v>
      </c>
    </row>
    <row r="1099" spans="1:22" x14ac:dyDescent="0.2">
      <c r="A1099" s="92" t="s">
        <v>946</v>
      </c>
      <c r="B1099" s="93" t="s">
        <v>47</v>
      </c>
      <c r="C1099" s="93" t="s">
        <v>394</v>
      </c>
      <c r="D1099" s="93" t="s">
        <v>1014</v>
      </c>
      <c r="E1099" s="94" t="s">
        <v>1015</v>
      </c>
      <c r="F1099" s="93" t="s">
        <v>397</v>
      </c>
      <c r="G1099" s="93" t="s">
        <v>346</v>
      </c>
      <c r="H1099" s="93" t="s">
        <v>10</v>
      </c>
      <c r="I1099" s="93" t="s">
        <v>255</v>
      </c>
      <c r="J1099" s="93" t="s">
        <v>47</v>
      </c>
      <c r="K1099" s="93"/>
      <c r="L1099" s="95">
        <v>57.339999999999996</v>
      </c>
      <c r="M1099" s="95">
        <f>L1099*VLOOKUP(H1099,dagsoorttabel1,2,FALSE)</f>
        <v>57.339999999999996</v>
      </c>
      <c r="N1099" s="96">
        <f>prodnorm112</f>
        <v>0</v>
      </c>
      <c r="O1099" s="37">
        <f>dagwerk112</f>
        <v>0</v>
      </c>
      <c r="P1099" s="93" t="s">
        <v>105</v>
      </c>
      <c r="Q1099" s="24">
        <f>uurtarief112</f>
        <v>0</v>
      </c>
      <c r="R1099" s="95" t="e">
        <f>IF(ISBLANK(N1099),0,M1099/ROUND(N1099,4))</f>
        <v>#DIV/0!</v>
      </c>
      <c r="S1099" s="95" t="e">
        <f>IF(ISBLANK(N1099),0,R1099*ROUND(O1099,2))</f>
        <v>#DIV/0!</v>
      </c>
      <c r="T1099" s="24" t="e">
        <f>ROUND(Q1099,2)*R1099</f>
        <v>#DIV/0!</v>
      </c>
      <c r="U1099" s="95" t="e">
        <f>R1099*dagenperjaar1</f>
        <v>#DIV/0!</v>
      </c>
      <c r="V1099" s="25" t="e">
        <f>U1099*ROUND(Q1099,2)</f>
        <v>#DIV/0!</v>
      </c>
    </row>
    <row r="1100" spans="1:22" x14ac:dyDescent="0.2">
      <c r="A1100" s="92" t="s">
        <v>946</v>
      </c>
      <c r="B1100" s="93" t="s">
        <v>47</v>
      </c>
      <c r="C1100" s="93" t="s">
        <v>394</v>
      </c>
      <c r="D1100" s="93" t="s">
        <v>1014</v>
      </c>
      <c r="E1100" s="94" t="s">
        <v>1015</v>
      </c>
      <c r="F1100" s="93" t="s">
        <v>397</v>
      </c>
      <c r="G1100" s="93" t="s">
        <v>348</v>
      </c>
      <c r="H1100" s="93" t="s">
        <v>10</v>
      </c>
      <c r="I1100" s="93" t="s">
        <v>255</v>
      </c>
      <c r="J1100" s="93" t="s">
        <v>47</v>
      </c>
      <c r="K1100" s="93"/>
      <c r="L1100" s="95">
        <v>57.339999999999996</v>
      </c>
      <c r="M1100" s="95">
        <f>L1100*VLOOKUP(H1100,dagsoorttabel1,2,FALSE)</f>
        <v>57.339999999999996</v>
      </c>
      <c r="N1100" s="96">
        <f>prodnorm114</f>
        <v>0</v>
      </c>
      <c r="O1100" s="37">
        <f>dagwerk114</f>
        <v>0</v>
      </c>
      <c r="P1100" s="93" t="s">
        <v>105</v>
      </c>
      <c r="Q1100" s="24">
        <f>uurtarief114</f>
        <v>0</v>
      </c>
      <c r="R1100" s="95" t="e">
        <f>IF(ISBLANK(N1100),0,M1100/ROUND(N1100,4))</f>
        <v>#DIV/0!</v>
      </c>
      <c r="S1100" s="95" t="e">
        <f>IF(ISBLANK(N1100),0,R1100*ROUND(O1100,2))</f>
        <v>#DIV/0!</v>
      </c>
      <c r="T1100" s="24" t="e">
        <f>ROUND(Q1100,2)*R1100</f>
        <v>#DIV/0!</v>
      </c>
      <c r="U1100" s="95" t="e">
        <f>R1100*dagenperjaar1</f>
        <v>#DIV/0!</v>
      </c>
      <c r="V1100" s="25" t="e">
        <f>U1100*ROUND(Q1100,2)</f>
        <v>#DIV/0!</v>
      </c>
    </row>
    <row r="1101" spans="1:22" x14ac:dyDescent="0.2">
      <c r="A1101" s="92" t="s">
        <v>946</v>
      </c>
      <c r="B1101" s="93" t="s">
        <v>47</v>
      </c>
      <c r="C1101" s="93" t="s">
        <v>394</v>
      </c>
      <c r="D1101" s="93" t="s">
        <v>1016</v>
      </c>
      <c r="E1101" s="94" t="s">
        <v>958</v>
      </c>
      <c r="F1101" s="93" t="s">
        <v>397</v>
      </c>
      <c r="G1101" s="93" t="s">
        <v>342</v>
      </c>
      <c r="H1101" s="93" t="s">
        <v>10</v>
      </c>
      <c r="I1101" s="93" t="s">
        <v>255</v>
      </c>
      <c r="J1101" s="93" t="s">
        <v>47</v>
      </c>
      <c r="K1101" s="93"/>
      <c r="L1101" s="95">
        <v>7.72</v>
      </c>
      <c r="M1101" s="95">
        <f>L1101*VLOOKUP(H1101,dagsoorttabel1,2,FALSE)</f>
        <v>7.72</v>
      </c>
      <c r="N1101" s="96">
        <f>prodnorm109</f>
        <v>0</v>
      </c>
      <c r="O1101" s="37">
        <f>dagwerk109</f>
        <v>0</v>
      </c>
      <c r="P1101" s="93" t="s">
        <v>105</v>
      </c>
      <c r="Q1101" s="24">
        <f>uurtarief109</f>
        <v>0</v>
      </c>
      <c r="R1101" s="95" t="e">
        <f>IF(ISBLANK(N1101),0,M1101/ROUND(N1101,4))</f>
        <v>#DIV/0!</v>
      </c>
      <c r="S1101" s="95" t="e">
        <f>IF(ISBLANK(N1101),0,R1101*ROUND(O1101,2))</f>
        <v>#DIV/0!</v>
      </c>
      <c r="T1101" s="24" t="e">
        <f>ROUND(Q1101,2)*R1101</f>
        <v>#DIV/0!</v>
      </c>
      <c r="U1101" s="95" t="e">
        <f>R1101*dagenperjaar1</f>
        <v>#DIV/0!</v>
      </c>
      <c r="V1101" s="25" t="e">
        <f>U1101*ROUND(Q1101,2)</f>
        <v>#DIV/0!</v>
      </c>
    </row>
    <row r="1102" spans="1:22" x14ac:dyDescent="0.2">
      <c r="A1102" s="92" t="s">
        <v>946</v>
      </c>
      <c r="B1102" s="93" t="s">
        <v>47</v>
      </c>
      <c r="C1102" s="93" t="s">
        <v>394</v>
      </c>
      <c r="D1102" s="93" t="s">
        <v>1017</v>
      </c>
      <c r="E1102" s="94" t="s">
        <v>958</v>
      </c>
      <c r="F1102" s="93" t="s">
        <v>397</v>
      </c>
      <c r="G1102" s="93" t="s">
        <v>342</v>
      </c>
      <c r="H1102" s="93" t="s">
        <v>10</v>
      </c>
      <c r="I1102" s="93" t="s">
        <v>255</v>
      </c>
      <c r="J1102" s="93" t="s">
        <v>47</v>
      </c>
      <c r="K1102" s="93"/>
      <c r="L1102" s="95">
        <v>7.6499999999999995</v>
      </c>
      <c r="M1102" s="95">
        <f>L1102*VLOOKUP(H1102,dagsoorttabel1,2,FALSE)</f>
        <v>7.6499999999999995</v>
      </c>
      <c r="N1102" s="96">
        <f>prodnorm109</f>
        <v>0</v>
      </c>
      <c r="O1102" s="37">
        <f>dagwerk109</f>
        <v>0</v>
      </c>
      <c r="P1102" s="93" t="s">
        <v>105</v>
      </c>
      <c r="Q1102" s="24">
        <f>uurtarief109</f>
        <v>0</v>
      </c>
      <c r="R1102" s="95" t="e">
        <f>IF(ISBLANK(N1102),0,M1102/ROUND(N1102,4))</f>
        <v>#DIV/0!</v>
      </c>
      <c r="S1102" s="95" t="e">
        <f>IF(ISBLANK(N1102),0,R1102*ROUND(O1102,2))</f>
        <v>#DIV/0!</v>
      </c>
      <c r="T1102" s="24" t="e">
        <f>ROUND(Q1102,2)*R1102</f>
        <v>#DIV/0!</v>
      </c>
      <c r="U1102" s="95" t="e">
        <f>R1102*dagenperjaar1</f>
        <v>#DIV/0!</v>
      </c>
      <c r="V1102" s="25" t="e">
        <f>U1102*ROUND(Q1102,2)</f>
        <v>#DIV/0!</v>
      </c>
    </row>
    <row r="1103" spans="1:22" x14ac:dyDescent="0.2">
      <c r="A1103" s="92" t="s">
        <v>946</v>
      </c>
      <c r="B1103" s="93" t="s">
        <v>47</v>
      </c>
      <c r="C1103" s="93" t="s">
        <v>394</v>
      </c>
      <c r="D1103" s="93" t="s">
        <v>1018</v>
      </c>
      <c r="E1103" s="94" t="s">
        <v>1019</v>
      </c>
      <c r="F1103" s="93" t="s">
        <v>397</v>
      </c>
      <c r="G1103" s="93" t="s">
        <v>330</v>
      </c>
      <c r="H1103" s="93" t="s">
        <v>10</v>
      </c>
      <c r="I1103" s="93" t="s">
        <v>255</v>
      </c>
      <c r="J1103" s="93" t="s">
        <v>47</v>
      </c>
      <c r="K1103" s="93"/>
      <c r="L1103" s="95">
        <v>97.61999999999999</v>
      </c>
      <c r="M1103" s="95">
        <f>L1103*VLOOKUP(H1103,dagsoorttabel1,2,FALSE)</f>
        <v>97.61999999999999</v>
      </c>
      <c r="N1103" s="96">
        <f>prodnorm102</f>
        <v>0</v>
      </c>
      <c r="O1103" s="37">
        <f>dagwerk102</f>
        <v>0</v>
      </c>
      <c r="P1103" s="93" t="s">
        <v>105</v>
      </c>
      <c r="Q1103" s="24">
        <f>uurtarief102</f>
        <v>0</v>
      </c>
      <c r="R1103" s="95" t="e">
        <f>IF(ISBLANK(N1103),0,M1103/ROUND(N1103,4))</f>
        <v>#DIV/0!</v>
      </c>
      <c r="S1103" s="95" t="e">
        <f>IF(ISBLANK(N1103),0,R1103*ROUND(O1103,2))</f>
        <v>#DIV/0!</v>
      </c>
      <c r="T1103" s="24" t="e">
        <f>ROUND(Q1103,2)*R1103</f>
        <v>#DIV/0!</v>
      </c>
      <c r="U1103" s="95" t="e">
        <f>R1103*dagenperjaar1</f>
        <v>#DIV/0!</v>
      </c>
      <c r="V1103" s="25" t="e">
        <f>U1103*ROUND(Q1103,2)</f>
        <v>#DIV/0!</v>
      </c>
    </row>
    <row r="1104" spans="1:22" x14ac:dyDescent="0.2">
      <c r="A1104" s="92" t="s">
        <v>946</v>
      </c>
      <c r="B1104" s="93" t="s">
        <v>47</v>
      </c>
      <c r="C1104" s="93" t="s">
        <v>394</v>
      </c>
      <c r="D1104" s="93" t="s">
        <v>1018</v>
      </c>
      <c r="E1104" s="94" t="s">
        <v>1019</v>
      </c>
      <c r="F1104" s="93" t="s">
        <v>397</v>
      </c>
      <c r="G1104" s="93" t="s">
        <v>332</v>
      </c>
      <c r="H1104" s="93" t="s">
        <v>10</v>
      </c>
      <c r="I1104" s="93" t="s">
        <v>255</v>
      </c>
      <c r="J1104" s="93" t="s">
        <v>47</v>
      </c>
      <c r="K1104" s="93"/>
      <c r="L1104" s="95">
        <v>97.61999999999999</v>
      </c>
      <c r="M1104" s="95">
        <f>L1104*VLOOKUP(H1104,dagsoorttabel1,2,FALSE)</f>
        <v>97.61999999999999</v>
      </c>
      <c r="N1104" s="96">
        <f>prodnorm104</f>
        <v>0</v>
      </c>
      <c r="O1104" s="37">
        <f>dagwerk104</f>
        <v>0</v>
      </c>
      <c r="P1104" s="93" t="s">
        <v>105</v>
      </c>
      <c r="Q1104" s="24">
        <f>uurtarief104</f>
        <v>0</v>
      </c>
      <c r="R1104" s="95" t="e">
        <f>IF(ISBLANK(N1104),0,M1104/ROUND(N1104,4))</f>
        <v>#DIV/0!</v>
      </c>
      <c r="S1104" s="95" t="e">
        <f>IF(ISBLANK(N1104),0,R1104*ROUND(O1104,2))</f>
        <v>#DIV/0!</v>
      </c>
      <c r="T1104" s="24" t="e">
        <f>ROUND(Q1104,2)*R1104</f>
        <v>#DIV/0!</v>
      </c>
      <c r="U1104" s="95" t="e">
        <f>R1104*dagenperjaar1</f>
        <v>#DIV/0!</v>
      </c>
      <c r="V1104" s="25" t="e">
        <f>U1104*ROUND(Q1104,2)</f>
        <v>#DIV/0!</v>
      </c>
    </row>
    <row r="1105" spans="1:22" x14ac:dyDescent="0.2">
      <c r="A1105" s="92" t="s">
        <v>946</v>
      </c>
      <c r="B1105" s="93" t="s">
        <v>47</v>
      </c>
      <c r="C1105" s="93" t="s">
        <v>394</v>
      </c>
      <c r="D1105" s="93" t="s">
        <v>1020</v>
      </c>
      <c r="E1105" s="94" t="s">
        <v>1021</v>
      </c>
      <c r="F1105" s="93" t="s">
        <v>397</v>
      </c>
      <c r="G1105" s="93" t="s">
        <v>330</v>
      </c>
      <c r="H1105" s="93" t="s">
        <v>10</v>
      </c>
      <c r="I1105" s="93" t="s">
        <v>255</v>
      </c>
      <c r="J1105" s="93" t="s">
        <v>47</v>
      </c>
      <c r="K1105" s="93"/>
      <c r="L1105" s="95">
        <v>20.310000000000002</v>
      </c>
      <c r="M1105" s="95">
        <f>L1105*VLOOKUP(H1105,dagsoorttabel1,2,FALSE)</f>
        <v>20.310000000000002</v>
      </c>
      <c r="N1105" s="96">
        <f>prodnorm102</f>
        <v>0</v>
      </c>
      <c r="O1105" s="37">
        <f>dagwerk102</f>
        <v>0</v>
      </c>
      <c r="P1105" s="93" t="s">
        <v>105</v>
      </c>
      <c r="Q1105" s="24">
        <f>uurtarief102</f>
        <v>0</v>
      </c>
      <c r="R1105" s="95" t="e">
        <f>IF(ISBLANK(N1105),0,M1105/ROUND(N1105,4))</f>
        <v>#DIV/0!</v>
      </c>
      <c r="S1105" s="95" t="e">
        <f>IF(ISBLANK(N1105),0,R1105*ROUND(O1105,2))</f>
        <v>#DIV/0!</v>
      </c>
      <c r="T1105" s="24" t="e">
        <f>ROUND(Q1105,2)*R1105</f>
        <v>#DIV/0!</v>
      </c>
      <c r="U1105" s="95" t="e">
        <f>R1105*dagenperjaar1</f>
        <v>#DIV/0!</v>
      </c>
      <c r="V1105" s="25" t="e">
        <f>U1105*ROUND(Q1105,2)</f>
        <v>#DIV/0!</v>
      </c>
    </row>
    <row r="1106" spans="1:22" x14ac:dyDescent="0.2">
      <c r="A1106" s="92" t="s">
        <v>946</v>
      </c>
      <c r="B1106" s="93" t="s">
        <v>47</v>
      </c>
      <c r="C1106" s="93" t="s">
        <v>394</v>
      </c>
      <c r="D1106" s="93" t="s">
        <v>1020</v>
      </c>
      <c r="E1106" s="94" t="s">
        <v>1021</v>
      </c>
      <c r="F1106" s="93" t="s">
        <v>397</v>
      </c>
      <c r="G1106" s="93" t="s">
        <v>332</v>
      </c>
      <c r="H1106" s="93" t="s">
        <v>10</v>
      </c>
      <c r="I1106" s="93" t="s">
        <v>255</v>
      </c>
      <c r="J1106" s="93" t="s">
        <v>47</v>
      </c>
      <c r="K1106" s="93"/>
      <c r="L1106" s="95">
        <v>20.310000000000002</v>
      </c>
      <c r="M1106" s="95">
        <f>L1106*VLOOKUP(H1106,dagsoorttabel1,2,FALSE)</f>
        <v>20.310000000000002</v>
      </c>
      <c r="N1106" s="96">
        <f>prodnorm104</f>
        <v>0</v>
      </c>
      <c r="O1106" s="37">
        <f>dagwerk104</f>
        <v>0</v>
      </c>
      <c r="P1106" s="93" t="s">
        <v>105</v>
      </c>
      <c r="Q1106" s="24">
        <f>uurtarief104</f>
        <v>0</v>
      </c>
      <c r="R1106" s="95" t="e">
        <f>IF(ISBLANK(N1106),0,M1106/ROUND(N1106,4))</f>
        <v>#DIV/0!</v>
      </c>
      <c r="S1106" s="95" t="e">
        <f>IF(ISBLANK(N1106),0,R1106*ROUND(O1106,2))</f>
        <v>#DIV/0!</v>
      </c>
      <c r="T1106" s="24" t="e">
        <f>ROUND(Q1106,2)*R1106</f>
        <v>#DIV/0!</v>
      </c>
      <c r="U1106" s="95" t="e">
        <f>R1106*dagenperjaar1</f>
        <v>#DIV/0!</v>
      </c>
      <c r="V1106" s="25" t="e">
        <f>U1106*ROUND(Q1106,2)</f>
        <v>#DIV/0!</v>
      </c>
    </row>
    <row r="1107" spans="1:22" x14ac:dyDescent="0.2">
      <c r="A1107" s="92" t="s">
        <v>946</v>
      </c>
      <c r="B1107" s="93" t="s">
        <v>47</v>
      </c>
      <c r="C1107" s="93" t="s">
        <v>394</v>
      </c>
      <c r="D1107" s="93" t="s">
        <v>1022</v>
      </c>
      <c r="E1107" s="94" t="s">
        <v>1023</v>
      </c>
      <c r="F1107" s="93" t="s">
        <v>397</v>
      </c>
      <c r="G1107" s="93" t="s">
        <v>330</v>
      </c>
      <c r="H1107" s="93" t="s">
        <v>10</v>
      </c>
      <c r="I1107" s="93" t="s">
        <v>255</v>
      </c>
      <c r="J1107" s="93" t="s">
        <v>47</v>
      </c>
      <c r="K1107" s="93"/>
      <c r="L1107" s="95">
        <v>20.310000000000002</v>
      </c>
      <c r="M1107" s="95">
        <f>L1107*VLOOKUP(H1107,dagsoorttabel1,2,FALSE)</f>
        <v>20.310000000000002</v>
      </c>
      <c r="N1107" s="96">
        <f>prodnorm102</f>
        <v>0</v>
      </c>
      <c r="O1107" s="37">
        <f>dagwerk102</f>
        <v>0</v>
      </c>
      <c r="P1107" s="93" t="s">
        <v>105</v>
      </c>
      <c r="Q1107" s="24">
        <f>uurtarief102</f>
        <v>0</v>
      </c>
      <c r="R1107" s="95" t="e">
        <f>IF(ISBLANK(N1107),0,M1107/ROUND(N1107,4))</f>
        <v>#DIV/0!</v>
      </c>
      <c r="S1107" s="95" t="e">
        <f>IF(ISBLANK(N1107),0,R1107*ROUND(O1107,2))</f>
        <v>#DIV/0!</v>
      </c>
      <c r="T1107" s="24" t="e">
        <f>ROUND(Q1107,2)*R1107</f>
        <v>#DIV/0!</v>
      </c>
      <c r="U1107" s="95" t="e">
        <f>R1107*dagenperjaar1</f>
        <v>#DIV/0!</v>
      </c>
      <c r="V1107" s="25" t="e">
        <f>U1107*ROUND(Q1107,2)</f>
        <v>#DIV/0!</v>
      </c>
    </row>
    <row r="1108" spans="1:22" x14ac:dyDescent="0.2">
      <c r="A1108" s="92" t="s">
        <v>946</v>
      </c>
      <c r="B1108" s="93" t="s">
        <v>47</v>
      </c>
      <c r="C1108" s="93" t="s">
        <v>394</v>
      </c>
      <c r="D1108" s="93" t="s">
        <v>1022</v>
      </c>
      <c r="E1108" s="94" t="s">
        <v>1023</v>
      </c>
      <c r="F1108" s="93" t="s">
        <v>397</v>
      </c>
      <c r="G1108" s="93" t="s">
        <v>332</v>
      </c>
      <c r="H1108" s="93" t="s">
        <v>10</v>
      </c>
      <c r="I1108" s="93" t="s">
        <v>255</v>
      </c>
      <c r="J1108" s="93" t="s">
        <v>47</v>
      </c>
      <c r="K1108" s="93"/>
      <c r="L1108" s="95">
        <v>20.310000000000002</v>
      </c>
      <c r="M1108" s="95">
        <f>L1108*VLOOKUP(H1108,dagsoorttabel1,2,FALSE)</f>
        <v>20.310000000000002</v>
      </c>
      <c r="N1108" s="96">
        <f>prodnorm104</f>
        <v>0</v>
      </c>
      <c r="O1108" s="37">
        <f>dagwerk104</f>
        <v>0</v>
      </c>
      <c r="P1108" s="93" t="s">
        <v>105</v>
      </c>
      <c r="Q1108" s="24">
        <f>uurtarief104</f>
        <v>0</v>
      </c>
      <c r="R1108" s="95" t="e">
        <f>IF(ISBLANK(N1108),0,M1108/ROUND(N1108,4))</f>
        <v>#DIV/0!</v>
      </c>
      <c r="S1108" s="95" t="e">
        <f>IF(ISBLANK(N1108),0,R1108*ROUND(O1108,2))</f>
        <v>#DIV/0!</v>
      </c>
      <c r="T1108" s="24" t="e">
        <f>ROUND(Q1108,2)*R1108</f>
        <v>#DIV/0!</v>
      </c>
      <c r="U1108" s="95" t="e">
        <f>R1108*dagenperjaar1</f>
        <v>#DIV/0!</v>
      </c>
      <c r="V1108" s="25" t="e">
        <f>U1108*ROUND(Q1108,2)</f>
        <v>#DIV/0!</v>
      </c>
    </row>
    <row r="1109" spans="1:22" x14ac:dyDescent="0.2">
      <c r="A1109" s="92" t="s">
        <v>946</v>
      </c>
      <c r="B1109" s="93" t="s">
        <v>47</v>
      </c>
      <c r="C1109" s="93" t="s">
        <v>394</v>
      </c>
      <c r="D1109" s="93" t="s">
        <v>1024</v>
      </c>
      <c r="E1109" s="94" t="s">
        <v>1025</v>
      </c>
      <c r="F1109" s="93" t="s">
        <v>397</v>
      </c>
      <c r="G1109" s="93" t="s">
        <v>330</v>
      </c>
      <c r="H1109" s="93" t="s">
        <v>10</v>
      </c>
      <c r="I1109" s="93" t="s">
        <v>255</v>
      </c>
      <c r="J1109" s="93" t="s">
        <v>47</v>
      </c>
      <c r="K1109" s="93"/>
      <c r="L1109" s="95">
        <v>20.310000000000002</v>
      </c>
      <c r="M1109" s="95">
        <f>L1109*VLOOKUP(H1109,dagsoorttabel1,2,FALSE)</f>
        <v>20.310000000000002</v>
      </c>
      <c r="N1109" s="96">
        <f>prodnorm102</f>
        <v>0</v>
      </c>
      <c r="O1109" s="37">
        <f>dagwerk102</f>
        <v>0</v>
      </c>
      <c r="P1109" s="93" t="s">
        <v>105</v>
      </c>
      <c r="Q1109" s="24">
        <f>uurtarief102</f>
        <v>0</v>
      </c>
      <c r="R1109" s="95" t="e">
        <f>IF(ISBLANK(N1109),0,M1109/ROUND(N1109,4))</f>
        <v>#DIV/0!</v>
      </c>
      <c r="S1109" s="95" t="e">
        <f>IF(ISBLANK(N1109),0,R1109*ROUND(O1109,2))</f>
        <v>#DIV/0!</v>
      </c>
      <c r="T1109" s="24" t="e">
        <f>ROUND(Q1109,2)*R1109</f>
        <v>#DIV/0!</v>
      </c>
      <c r="U1109" s="95" t="e">
        <f>R1109*dagenperjaar1</f>
        <v>#DIV/0!</v>
      </c>
      <c r="V1109" s="25" t="e">
        <f>U1109*ROUND(Q1109,2)</f>
        <v>#DIV/0!</v>
      </c>
    </row>
    <row r="1110" spans="1:22" x14ac:dyDescent="0.2">
      <c r="A1110" s="92" t="s">
        <v>946</v>
      </c>
      <c r="B1110" s="93" t="s">
        <v>47</v>
      </c>
      <c r="C1110" s="93" t="s">
        <v>394</v>
      </c>
      <c r="D1110" s="93" t="s">
        <v>1024</v>
      </c>
      <c r="E1110" s="94" t="s">
        <v>1025</v>
      </c>
      <c r="F1110" s="93" t="s">
        <v>397</v>
      </c>
      <c r="G1110" s="93" t="s">
        <v>332</v>
      </c>
      <c r="H1110" s="93" t="s">
        <v>10</v>
      </c>
      <c r="I1110" s="93" t="s">
        <v>255</v>
      </c>
      <c r="J1110" s="93" t="s">
        <v>47</v>
      </c>
      <c r="K1110" s="93"/>
      <c r="L1110" s="95">
        <v>20.310000000000002</v>
      </c>
      <c r="M1110" s="95">
        <f>L1110*VLOOKUP(H1110,dagsoorttabel1,2,FALSE)</f>
        <v>20.310000000000002</v>
      </c>
      <c r="N1110" s="96">
        <f>prodnorm104</f>
        <v>0</v>
      </c>
      <c r="O1110" s="37">
        <f>dagwerk104</f>
        <v>0</v>
      </c>
      <c r="P1110" s="93" t="s">
        <v>105</v>
      </c>
      <c r="Q1110" s="24">
        <f>uurtarief104</f>
        <v>0</v>
      </c>
      <c r="R1110" s="95" t="e">
        <f>IF(ISBLANK(N1110),0,M1110/ROUND(N1110,4))</f>
        <v>#DIV/0!</v>
      </c>
      <c r="S1110" s="95" t="e">
        <f>IF(ISBLANK(N1110),0,R1110*ROUND(O1110,2))</f>
        <v>#DIV/0!</v>
      </c>
      <c r="T1110" s="24" t="e">
        <f>ROUND(Q1110,2)*R1110</f>
        <v>#DIV/0!</v>
      </c>
      <c r="U1110" s="95" t="e">
        <f>R1110*dagenperjaar1</f>
        <v>#DIV/0!</v>
      </c>
      <c r="V1110" s="25" t="e">
        <f>U1110*ROUND(Q1110,2)</f>
        <v>#DIV/0!</v>
      </c>
    </row>
    <row r="1111" spans="1:22" x14ac:dyDescent="0.2">
      <c r="A1111" s="92" t="s">
        <v>946</v>
      </c>
      <c r="B1111" s="93" t="s">
        <v>47</v>
      </c>
      <c r="C1111" s="93" t="s">
        <v>394</v>
      </c>
      <c r="D1111" s="93" t="s">
        <v>1026</v>
      </c>
      <c r="E1111" s="94" t="s">
        <v>1027</v>
      </c>
      <c r="F1111" s="93" t="s">
        <v>397</v>
      </c>
      <c r="G1111" s="93" t="s">
        <v>330</v>
      </c>
      <c r="H1111" s="93" t="s">
        <v>10</v>
      </c>
      <c r="I1111" s="93" t="s">
        <v>255</v>
      </c>
      <c r="J1111" s="93" t="s">
        <v>47</v>
      </c>
      <c r="K1111" s="93"/>
      <c r="L1111" s="95">
        <v>20.310000000000002</v>
      </c>
      <c r="M1111" s="95">
        <f>L1111*VLOOKUP(H1111,dagsoorttabel1,2,FALSE)</f>
        <v>20.310000000000002</v>
      </c>
      <c r="N1111" s="96">
        <f>prodnorm102</f>
        <v>0</v>
      </c>
      <c r="O1111" s="37">
        <f>dagwerk102</f>
        <v>0</v>
      </c>
      <c r="P1111" s="93" t="s">
        <v>105</v>
      </c>
      <c r="Q1111" s="24">
        <f>uurtarief102</f>
        <v>0</v>
      </c>
      <c r="R1111" s="95" t="e">
        <f>IF(ISBLANK(N1111),0,M1111/ROUND(N1111,4))</f>
        <v>#DIV/0!</v>
      </c>
      <c r="S1111" s="95" t="e">
        <f>IF(ISBLANK(N1111),0,R1111*ROUND(O1111,2))</f>
        <v>#DIV/0!</v>
      </c>
      <c r="T1111" s="24" t="e">
        <f>ROUND(Q1111,2)*R1111</f>
        <v>#DIV/0!</v>
      </c>
      <c r="U1111" s="95" t="e">
        <f>R1111*dagenperjaar1</f>
        <v>#DIV/0!</v>
      </c>
      <c r="V1111" s="25" t="e">
        <f>U1111*ROUND(Q1111,2)</f>
        <v>#DIV/0!</v>
      </c>
    </row>
    <row r="1112" spans="1:22" x14ac:dyDescent="0.2">
      <c r="A1112" s="92" t="s">
        <v>946</v>
      </c>
      <c r="B1112" s="93" t="s">
        <v>47</v>
      </c>
      <c r="C1112" s="93" t="s">
        <v>394</v>
      </c>
      <c r="D1112" s="93" t="s">
        <v>1026</v>
      </c>
      <c r="E1112" s="94" t="s">
        <v>1027</v>
      </c>
      <c r="F1112" s="93" t="s">
        <v>397</v>
      </c>
      <c r="G1112" s="93" t="s">
        <v>332</v>
      </c>
      <c r="H1112" s="93" t="s">
        <v>10</v>
      </c>
      <c r="I1112" s="93" t="s">
        <v>255</v>
      </c>
      <c r="J1112" s="93" t="s">
        <v>47</v>
      </c>
      <c r="K1112" s="93"/>
      <c r="L1112" s="95">
        <v>20.310000000000002</v>
      </c>
      <c r="M1112" s="95">
        <f>L1112*VLOOKUP(H1112,dagsoorttabel1,2,FALSE)</f>
        <v>20.310000000000002</v>
      </c>
      <c r="N1112" s="96">
        <f>prodnorm104</f>
        <v>0</v>
      </c>
      <c r="O1112" s="37">
        <f>dagwerk104</f>
        <v>0</v>
      </c>
      <c r="P1112" s="93" t="s">
        <v>105</v>
      </c>
      <c r="Q1112" s="24">
        <f>uurtarief104</f>
        <v>0</v>
      </c>
      <c r="R1112" s="95" t="e">
        <f>IF(ISBLANK(N1112),0,M1112/ROUND(N1112,4))</f>
        <v>#DIV/0!</v>
      </c>
      <c r="S1112" s="95" t="e">
        <f>IF(ISBLANK(N1112),0,R1112*ROUND(O1112,2))</f>
        <v>#DIV/0!</v>
      </c>
      <c r="T1112" s="24" t="e">
        <f>ROUND(Q1112,2)*R1112</f>
        <v>#DIV/0!</v>
      </c>
      <c r="U1112" s="95" t="e">
        <f>R1112*dagenperjaar1</f>
        <v>#DIV/0!</v>
      </c>
      <c r="V1112" s="25" t="e">
        <f>U1112*ROUND(Q1112,2)</f>
        <v>#DIV/0!</v>
      </c>
    </row>
    <row r="1113" spans="1:22" x14ac:dyDescent="0.2">
      <c r="A1113" s="92" t="s">
        <v>946</v>
      </c>
      <c r="B1113" s="93" t="s">
        <v>47</v>
      </c>
      <c r="C1113" s="93" t="s">
        <v>394</v>
      </c>
      <c r="D1113" s="93" t="s">
        <v>1028</v>
      </c>
      <c r="E1113" s="94" t="s">
        <v>1029</v>
      </c>
      <c r="F1113" s="93" t="s">
        <v>397</v>
      </c>
      <c r="G1113" s="93" t="s">
        <v>330</v>
      </c>
      <c r="H1113" s="93" t="s">
        <v>10</v>
      </c>
      <c r="I1113" s="93" t="s">
        <v>255</v>
      </c>
      <c r="J1113" s="93" t="s">
        <v>47</v>
      </c>
      <c r="K1113" s="93"/>
      <c r="L1113" s="95">
        <v>104.47</v>
      </c>
      <c r="M1113" s="95">
        <f>L1113*VLOOKUP(H1113,dagsoorttabel1,2,FALSE)</f>
        <v>104.47</v>
      </c>
      <c r="N1113" s="96">
        <f>prodnorm102</f>
        <v>0</v>
      </c>
      <c r="O1113" s="37">
        <f>dagwerk102</f>
        <v>0</v>
      </c>
      <c r="P1113" s="93" t="s">
        <v>105</v>
      </c>
      <c r="Q1113" s="24">
        <f>uurtarief102</f>
        <v>0</v>
      </c>
      <c r="R1113" s="95" t="e">
        <f>IF(ISBLANK(N1113),0,M1113/ROUND(N1113,4))</f>
        <v>#DIV/0!</v>
      </c>
      <c r="S1113" s="95" t="e">
        <f>IF(ISBLANK(N1113),0,R1113*ROUND(O1113,2))</f>
        <v>#DIV/0!</v>
      </c>
      <c r="T1113" s="24" t="e">
        <f>ROUND(Q1113,2)*R1113</f>
        <v>#DIV/0!</v>
      </c>
      <c r="U1113" s="95" t="e">
        <f>R1113*dagenperjaar1</f>
        <v>#DIV/0!</v>
      </c>
      <c r="V1113" s="25" t="e">
        <f>U1113*ROUND(Q1113,2)</f>
        <v>#DIV/0!</v>
      </c>
    </row>
    <row r="1114" spans="1:22" x14ac:dyDescent="0.2">
      <c r="A1114" s="92" t="s">
        <v>946</v>
      </c>
      <c r="B1114" s="93" t="s">
        <v>47</v>
      </c>
      <c r="C1114" s="93" t="s">
        <v>394</v>
      </c>
      <c r="D1114" s="93" t="s">
        <v>1028</v>
      </c>
      <c r="E1114" s="94" t="s">
        <v>1029</v>
      </c>
      <c r="F1114" s="93" t="s">
        <v>397</v>
      </c>
      <c r="G1114" s="93" t="s">
        <v>332</v>
      </c>
      <c r="H1114" s="93" t="s">
        <v>10</v>
      </c>
      <c r="I1114" s="93" t="s">
        <v>255</v>
      </c>
      <c r="J1114" s="93" t="s">
        <v>47</v>
      </c>
      <c r="K1114" s="93"/>
      <c r="L1114" s="95">
        <v>104.47</v>
      </c>
      <c r="M1114" s="95">
        <f>L1114*VLOOKUP(H1114,dagsoorttabel1,2,FALSE)</f>
        <v>104.47</v>
      </c>
      <c r="N1114" s="96">
        <f>prodnorm104</f>
        <v>0</v>
      </c>
      <c r="O1114" s="37">
        <f>dagwerk104</f>
        <v>0</v>
      </c>
      <c r="P1114" s="93" t="s">
        <v>105</v>
      </c>
      <c r="Q1114" s="24">
        <f>uurtarief104</f>
        <v>0</v>
      </c>
      <c r="R1114" s="95" t="e">
        <f>IF(ISBLANK(N1114),0,M1114/ROUND(N1114,4))</f>
        <v>#DIV/0!</v>
      </c>
      <c r="S1114" s="95" t="e">
        <f>IF(ISBLANK(N1114),0,R1114*ROUND(O1114,2))</f>
        <v>#DIV/0!</v>
      </c>
      <c r="T1114" s="24" t="e">
        <f>ROUND(Q1114,2)*R1114</f>
        <v>#DIV/0!</v>
      </c>
      <c r="U1114" s="95" t="e">
        <f>R1114*dagenperjaar1</f>
        <v>#DIV/0!</v>
      </c>
      <c r="V1114" s="25" t="e">
        <f>U1114*ROUND(Q1114,2)</f>
        <v>#DIV/0!</v>
      </c>
    </row>
    <row r="1115" spans="1:22" x14ac:dyDescent="0.2">
      <c r="A1115" s="92" t="s">
        <v>946</v>
      </c>
      <c r="B1115" s="93" t="s">
        <v>47</v>
      </c>
      <c r="C1115" s="93" t="s">
        <v>394</v>
      </c>
      <c r="D1115" s="93" t="s">
        <v>1030</v>
      </c>
      <c r="E1115" s="94" t="s">
        <v>1031</v>
      </c>
      <c r="F1115" s="93" t="s">
        <v>397</v>
      </c>
      <c r="G1115" s="93" t="s">
        <v>330</v>
      </c>
      <c r="H1115" s="93" t="s">
        <v>10</v>
      </c>
      <c r="I1115" s="93" t="s">
        <v>255</v>
      </c>
      <c r="J1115" s="93" t="s">
        <v>47</v>
      </c>
      <c r="K1115" s="93"/>
      <c r="L1115" s="95">
        <v>20.310000000000002</v>
      </c>
      <c r="M1115" s="95">
        <f>L1115*VLOOKUP(H1115,dagsoorttabel1,2,FALSE)</f>
        <v>20.310000000000002</v>
      </c>
      <c r="N1115" s="96">
        <f>prodnorm102</f>
        <v>0</v>
      </c>
      <c r="O1115" s="37">
        <f>dagwerk102</f>
        <v>0</v>
      </c>
      <c r="P1115" s="93" t="s">
        <v>105</v>
      </c>
      <c r="Q1115" s="24">
        <f>uurtarief102</f>
        <v>0</v>
      </c>
      <c r="R1115" s="95" t="e">
        <f>IF(ISBLANK(N1115),0,M1115/ROUND(N1115,4))</f>
        <v>#DIV/0!</v>
      </c>
      <c r="S1115" s="95" t="e">
        <f>IF(ISBLANK(N1115),0,R1115*ROUND(O1115,2))</f>
        <v>#DIV/0!</v>
      </c>
      <c r="T1115" s="24" t="e">
        <f>ROUND(Q1115,2)*R1115</f>
        <v>#DIV/0!</v>
      </c>
      <c r="U1115" s="95" t="e">
        <f>R1115*dagenperjaar1</f>
        <v>#DIV/0!</v>
      </c>
      <c r="V1115" s="25" t="e">
        <f>U1115*ROUND(Q1115,2)</f>
        <v>#DIV/0!</v>
      </c>
    </row>
    <row r="1116" spans="1:22" x14ac:dyDescent="0.2">
      <c r="A1116" s="92" t="s">
        <v>946</v>
      </c>
      <c r="B1116" s="93" t="s">
        <v>47</v>
      </c>
      <c r="C1116" s="93" t="s">
        <v>394</v>
      </c>
      <c r="D1116" s="93" t="s">
        <v>1030</v>
      </c>
      <c r="E1116" s="94" t="s">
        <v>1031</v>
      </c>
      <c r="F1116" s="93" t="s">
        <v>397</v>
      </c>
      <c r="G1116" s="93" t="s">
        <v>332</v>
      </c>
      <c r="H1116" s="93" t="s">
        <v>10</v>
      </c>
      <c r="I1116" s="93" t="s">
        <v>255</v>
      </c>
      <c r="J1116" s="93" t="s">
        <v>47</v>
      </c>
      <c r="K1116" s="93"/>
      <c r="L1116" s="95">
        <v>20.310000000000002</v>
      </c>
      <c r="M1116" s="95">
        <f>L1116*VLOOKUP(H1116,dagsoorttabel1,2,FALSE)</f>
        <v>20.310000000000002</v>
      </c>
      <c r="N1116" s="96">
        <f>prodnorm104</f>
        <v>0</v>
      </c>
      <c r="O1116" s="37">
        <f>dagwerk104</f>
        <v>0</v>
      </c>
      <c r="P1116" s="93" t="s">
        <v>105</v>
      </c>
      <c r="Q1116" s="24">
        <f>uurtarief104</f>
        <v>0</v>
      </c>
      <c r="R1116" s="95" t="e">
        <f>IF(ISBLANK(N1116),0,M1116/ROUND(N1116,4))</f>
        <v>#DIV/0!</v>
      </c>
      <c r="S1116" s="95" t="e">
        <f>IF(ISBLANK(N1116),0,R1116*ROUND(O1116,2))</f>
        <v>#DIV/0!</v>
      </c>
      <c r="T1116" s="24" t="e">
        <f>ROUND(Q1116,2)*R1116</f>
        <v>#DIV/0!</v>
      </c>
      <c r="U1116" s="95" t="e">
        <f>R1116*dagenperjaar1</f>
        <v>#DIV/0!</v>
      </c>
      <c r="V1116" s="25" t="e">
        <f>U1116*ROUND(Q1116,2)</f>
        <v>#DIV/0!</v>
      </c>
    </row>
    <row r="1117" spans="1:22" x14ac:dyDescent="0.2">
      <c r="A1117" s="92" t="s">
        <v>946</v>
      </c>
      <c r="B1117" s="93" t="s">
        <v>47</v>
      </c>
      <c r="C1117" s="93" t="s">
        <v>394</v>
      </c>
      <c r="D1117" s="93" t="s">
        <v>1032</v>
      </c>
      <c r="E1117" s="94" t="s">
        <v>1033</v>
      </c>
      <c r="F1117" s="93" t="s">
        <v>397</v>
      </c>
      <c r="G1117" s="93" t="s">
        <v>330</v>
      </c>
      <c r="H1117" s="93" t="s">
        <v>10</v>
      </c>
      <c r="I1117" s="93" t="s">
        <v>255</v>
      </c>
      <c r="J1117" s="93" t="s">
        <v>47</v>
      </c>
      <c r="K1117" s="93"/>
      <c r="L1117" s="95">
        <v>20.310000000000002</v>
      </c>
      <c r="M1117" s="95">
        <f>L1117*VLOOKUP(H1117,dagsoorttabel1,2,FALSE)</f>
        <v>20.310000000000002</v>
      </c>
      <c r="N1117" s="96">
        <f>prodnorm102</f>
        <v>0</v>
      </c>
      <c r="O1117" s="37">
        <f>dagwerk102</f>
        <v>0</v>
      </c>
      <c r="P1117" s="93" t="s">
        <v>105</v>
      </c>
      <c r="Q1117" s="24">
        <f>uurtarief102</f>
        <v>0</v>
      </c>
      <c r="R1117" s="95" t="e">
        <f>IF(ISBLANK(N1117),0,M1117/ROUND(N1117,4))</f>
        <v>#DIV/0!</v>
      </c>
      <c r="S1117" s="95" t="e">
        <f>IF(ISBLANK(N1117),0,R1117*ROUND(O1117,2))</f>
        <v>#DIV/0!</v>
      </c>
      <c r="T1117" s="24" t="e">
        <f>ROUND(Q1117,2)*R1117</f>
        <v>#DIV/0!</v>
      </c>
      <c r="U1117" s="95" t="e">
        <f>R1117*dagenperjaar1</f>
        <v>#DIV/0!</v>
      </c>
      <c r="V1117" s="25" t="e">
        <f>U1117*ROUND(Q1117,2)</f>
        <v>#DIV/0!</v>
      </c>
    </row>
    <row r="1118" spans="1:22" x14ac:dyDescent="0.2">
      <c r="A1118" s="92" t="s">
        <v>946</v>
      </c>
      <c r="B1118" s="93" t="s">
        <v>47</v>
      </c>
      <c r="C1118" s="93" t="s">
        <v>394</v>
      </c>
      <c r="D1118" s="93" t="s">
        <v>1032</v>
      </c>
      <c r="E1118" s="94" t="s">
        <v>1033</v>
      </c>
      <c r="F1118" s="93" t="s">
        <v>397</v>
      </c>
      <c r="G1118" s="93" t="s">
        <v>332</v>
      </c>
      <c r="H1118" s="93" t="s">
        <v>10</v>
      </c>
      <c r="I1118" s="93" t="s">
        <v>255</v>
      </c>
      <c r="J1118" s="93" t="s">
        <v>47</v>
      </c>
      <c r="K1118" s="93"/>
      <c r="L1118" s="95">
        <v>20.310000000000002</v>
      </c>
      <c r="M1118" s="95">
        <f>L1118*VLOOKUP(H1118,dagsoorttabel1,2,FALSE)</f>
        <v>20.310000000000002</v>
      </c>
      <c r="N1118" s="96">
        <f>prodnorm104</f>
        <v>0</v>
      </c>
      <c r="O1118" s="37">
        <f>dagwerk104</f>
        <v>0</v>
      </c>
      <c r="P1118" s="93" t="s">
        <v>105</v>
      </c>
      <c r="Q1118" s="24">
        <f>uurtarief104</f>
        <v>0</v>
      </c>
      <c r="R1118" s="95" t="e">
        <f>IF(ISBLANK(N1118),0,M1118/ROUND(N1118,4))</f>
        <v>#DIV/0!</v>
      </c>
      <c r="S1118" s="95" t="e">
        <f>IF(ISBLANK(N1118),0,R1118*ROUND(O1118,2))</f>
        <v>#DIV/0!</v>
      </c>
      <c r="T1118" s="24" t="e">
        <f>ROUND(Q1118,2)*R1118</f>
        <v>#DIV/0!</v>
      </c>
      <c r="U1118" s="95" t="e">
        <f>R1118*dagenperjaar1</f>
        <v>#DIV/0!</v>
      </c>
      <c r="V1118" s="25" t="e">
        <f>U1118*ROUND(Q1118,2)</f>
        <v>#DIV/0!</v>
      </c>
    </row>
    <row r="1119" spans="1:22" x14ac:dyDescent="0.2">
      <c r="A1119" s="92" t="s">
        <v>946</v>
      </c>
      <c r="B1119" s="93" t="s">
        <v>47</v>
      </c>
      <c r="C1119" s="93" t="s">
        <v>394</v>
      </c>
      <c r="D1119" s="93" t="s">
        <v>1034</v>
      </c>
      <c r="E1119" s="94" t="s">
        <v>1035</v>
      </c>
      <c r="F1119" s="93" t="s">
        <v>397</v>
      </c>
      <c r="G1119" s="93" t="s">
        <v>330</v>
      </c>
      <c r="H1119" s="93" t="s">
        <v>10</v>
      </c>
      <c r="I1119" s="93" t="s">
        <v>255</v>
      </c>
      <c r="J1119" s="93" t="s">
        <v>47</v>
      </c>
      <c r="K1119" s="93"/>
      <c r="L1119" s="95">
        <v>20.310000000000002</v>
      </c>
      <c r="M1119" s="95">
        <f>L1119*VLOOKUP(H1119,dagsoorttabel1,2,FALSE)</f>
        <v>20.310000000000002</v>
      </c>
      <c r="N1119" s="96">
        <f>prodnorm102</f>
        <v>0</v>
      </c>
      <c r="O1119" s="37">
        <f>dagwerk102</f>
        <v>0</v>
      </c>
      <c r="P1119" s="93" t="s">
        <v>105</v>
      </c>
      <c r="Q1119" s="24">
        <f>uurtarief102</f>
        <v>0</v>
      </c>
      <c r="R1119" s="95" t="e">
        <f>IF(ISBLANK(N1119),0,M1119/ROUND(N1119,4))</f>
        <v>#DIV/0!</v>
      </c>
      <c r="S1119" s="95" t="e">
        <f>IF(ISBLANK(N1119),0,R1119*ROUND(O1119,2))</f>
        <v>#DIV/0!</v>
      </c>
      <c r="T1119" s="24" t="e">
        <f>ROUND(Q1119,2)*R1119</f>
        <v>#DIV/0!</v>
      </c>
      <c r="U1119" s="95" t="e">
        <f>R1119*dagenperjaar1</f>
        <v>#DIV/0!</v>
      </c>
      <c r="V1119" s="25" t="e">
        <f>U1119*ROUND(Q1119,2)</f>
        <v>#DIV/0!</v>
      </c>
    </row>
    <row r="1120" spans="1:22" x14ac:dyDescent="0.2">
      <c r="A1120" s="92" t="s">
        <v>946</v>
      </c>
      <c r="B1120" s="93" t="s">
        <v>47</v>
      </c>
      <c r="C1120" s="93" t="s">
        <v>394</v>
      </c>
      <c r="D1120" s="93" t="s">
        <v>1034</v>
      </c>
      <c r="E1120" s="94" t="s">
        <v>1035</v>
      </c>
      <c r="F1120" s="93" t="s">
        <v>397</v>
      </c>
      <c r="G1120" s="93" t="s">
        <v>332</v>
      </c>
      <c r="H1120" s="93" t="s">
        <v>10</v>
      </c>
      <c r="I1120" s="93" t="s">
        <v>255</v>
      </c>
      <c r="J1120" s="93" t="s">
        <v>47</v>
      </c>
      <c r="K1120" s="93"/>
      <c r="L1120" s="95">
        <v>20.310000000000002</v>
      </c>
      <c r="M1120" s="95">
        <f>L1120*VLOOKUP(H1120,dagsoorttabel1,2,FALSE)</f>
        <v>20.310000000000002</v>
      </c>
      <c r="N1120" s="96">
        <f>prodnorm104</f>
        <v>0</v>
      </c>
      <c r="O1120" s="37">
        <f>dagwerk104</f>
        <v>0</v>
      </c>
      <c r="P1120" s="93" t="s">
        <v>105</v>
      </c>
      <c r="Q1120" s="24">
        <f>uurtarief104</f>
        <v>0</v>
      </c>
      <c r="R1120" s="95" t="e">
        <f>IF(ISBLANK(N1120),0,M1120/ROUND(N1120,4))</f>
        <v>#DIV/0!</v>
      </c>
      <c r="S1120" s="95" t="e">
        <f>IF(ISBLANK(N1120),0,R1120*ROUND(O1120,2))</f>
        <v>#DIV/0!</v>
      </c>
      <c r="T1120" s="24" t="e">
        <f>ROUND(Q1120,2)*R1120</f>
        <v>#DIV/0!</v>
      </c>
      <c r="U1120" s="95" t="e">
        <f>R1120*dagenperjaar1</f>
        <v>#DIV/0!</v>
      </c>
      <c r="V1120" s="25" t="e">
        <f>U1120*ROUND(Q1120,2)</f>
        <v>#DIV/0!</v>
      </c>
    </row>
    <row r="1121" spans="1:22" x14ac:dyDescent="0.2">
      <c r="A1121" s="92" t="s">
        <v>946</v>
      </c>
      <c r="B1121" s="93" t="s">
        <v>47</v>
      </c>
      <c r="C1121" s="93" t="s">
        <v>394</v>
      </c>
      <c r="D1121" s="93" t="s">
        <v>1036</v>
      </c>
      <c r="E1121" s="94" t="s">
        <v>1037</v>
      </c>
      <c r="F1121" s="93" t="s">
        <v>397</v>
      </c>
      <c r="G1121" s="93" t="s">
        <v>330</v>
      </c>
      <c r="H1121" s="93" t="s">
        <v>10</v>
      </c>
      <c r="I1121" s="93" t="s">
        <v>255</v>
      </c>
      <c r="J1121" s="93" t="s">
        <v>47</v>
      </c>
      <c r="K1121" s="93"/>
      <c r="L1121" s="95">
        <v>20.310000000000002</v>
      </c>
      <c r="M1121" s="95">
        <f>L1121*VLOOKUP(H1121,dagsoorttabel1,2,FALSE)</f>
        <v>20.310000000000002</v>
      </c>
      <c r="N1121" s="96">
        <f>prodnorm102</f>
        <v>0</v>
      </c>
      <c r="O1121" s="37">
        <f>dagwerk102</f>
        <v>0</v>
      </c>
      <c r="P1121" s="93" t="s">
        <v>105</v>
      </c>
      <c r="Q1121" s="24">
        <f>uurtarief102</f>
        <v>0</v>
      </c>
      <c r="R1121" s="95" t="e">
        <f>IF(ISBLANK(N1121),0,M1121/ROUND(N1121,4))</f>
        <v>#DIV/0!</v>
      </c>
      <c r="S1121" s="95" t="e">
        <f>IF(ISBLANK(N1121),0,R1121*ROUND(O1121,2))</f>
        <v>#DIV/0!</v>
      </c>
      <c r="T1121" s="24" t="e">
        <f>ROUND(Q1121,2)*R1121</f>
        <v>#DIV/0!</v>
      </c>
      <c r="U1121" s="95" t="e">
        <f>R1121*dagenperjaar1</f>
        <v>#DIV/0!</v>
      </c>
      <c r="V1121" s="25" t="e">
        <f>U1121*ROUND(Q1121,2)</f>
        <v>#DIV/0!</v>
      </c>
    </row>
    <row r="1122" spans="1:22" x14ac:dyDescent="0.2">
      <c r="A1122" s="92" t="s">
        <v>946</v>
      </c>
      <c r="B1122" s="93" t="s">
        <v>47</v>
      </c>
      <c r="C1122" s="93" t="s">
        <v>394</v>
      </c>
      <c r="D1122" s="93" t="s">
        <v>1036</v>
      </c>
      <c r="E1122" s="94" t="s">
        <v>1037</v>
      </c>
      <c r="F1122" s="93" t="s">
        <v>397</v>
      </c>
      <c r="G1122" s="93" t="s">
        <v>332</v>
      </c>
      <c r="H1122" s="93" t="s">
        <v>10</v>
      </c>
      <c r="I1122" s="93" t="s">
        <v>255</v>
      </c>
      <c r="J1122" s="93" t="s">
        <v>47</v>
      </c>
      <c r="K1122" s="93"/>
      <c r="L1122" s="95">
        <v>20.310000000000002</v>
      </c>
      <c r="M1122" s="95">
        <f>L1122*VLOOKUP(H1122,dagsoorttabel1,2,FALSE)</f>
        <v>20.310000000000002</v>
      </c>
      <c r="N1122" s="96">
        <f>prodnorm104</f>
        <v>0</v>
      </c>
      <c r="O1122" s="37">
        <f>dagwerk104</f>
        <v>0</v>
      </c>
      <c r="P1122" s="93" t="s">
        <v>105</v>
      </c>
      <c r="Q1122" s="24">
        <f>uurtarief104</f>
        <v>0</v>
      </c>
      <c r="R1122" s="95" t="e">
        <f>IF(ISBLANK(N1122),0,M1122/ROUND(N1122,4))</f>
        <v>#DIV/0!</v>
      </c>
      <c r="S1122" s="95" t="e">
        <f>IF(ISBLANK(N1122),0,R1122*ROUND(O1122,2))</f>
        <v>#DIV/0!</v>
      </c>
      <c r="T1122" s="24" t="e">
        <f>ROUND(Q1122,2)*R1122</f>
        <v>#DIV/0!</v>
      </c>
      <c r="U1122" s="95" t="e">
        <f>R1122*dagenperjaar1</f>
        <v>#DIV/0!</v>
      </c>
      <c r="V1122" s="25" t="e">
        <f>U1122*ROUND(Q1122,2)</f>
        <v>#DIV/0!</v>
      </c>
    </row>
    <row r="1123" spans="1:22" x14ac:dyDescent="0.2">
      <c r="A1123" s="92" t="s">
        <v>946</v>
      </c>
      <c r="B1123" s="93" t="s">
        <v>47</v>
      </c>
      <c r="C1123" s="93" t="s">
        <v>394</v>
      </c>
      <c r="D1123" s="93" t="s">
        <v>1038</v>
      </c>
      <c r="E1123" s="94" t="s">
        <v>1039</v>
      </c>
      <c r="F1123" s="93" t="s">
        <v>397</v>
      </c>
      <c r="G1123" s="93" t="s">
        <v>346</v>
      </c>
      <c r="H1123" s="93" t="s">
        <v>10</v>
      </c>
      <c r="I1123" s="93" t="s">
        <v>255</v>
      </c>
      <c r="J1123" s="93" t="s">
        <v>47</v>
      </c>
      <c r="K1123" s="93"/>
      <c r="L1123" s="95">
        <v>136.30000000000001</v>
      </c>
      <c r="M1123" s="95">
        <f>L1123*VLOOKUP(H1123,dagsoorttabel1,2,FALSE)</f>
        <v>136.30000000000001</v>
      </c>
      <c r="N1123" s="96">
        <f>prodnorm112</f>
        <v>0</v>
      </c>
      <c r="O1123" s="37">
        <f>dagwerk112</f>
        <v>0</v>
      </c>
      <c r="P1123" s="93" t="s">
        <v>105</v>
      </c>
      <c r="Q1123" s="24">
        <f>uurtarief112</f>
        <v>0</v>
      </c>
      <c r="R1123" s="95" t="e">
        <f>IF(ISBLANK(N1123),0,M1123/ROUND(N1123,4))</f>
        <v>#DIV/0!</v>
      </c>
      <c r="S1123" s="95" t="e">
        <f>IF(ISBLANK(N1123),0,R1123*ROUND(O1123,2))</f>
        <v>#DIV/0!</v>
      </c>
      <c r="T1123" s="24" t="e">
        <f>ROUND(Q1123,2)*R1123</f>
        <v>#DIV/0!</v>
      </c>
      <c r="U1123" s="95" t="e">
        <f>R1123*dagenperjaar1</f>
        <v>#DIV/0!</v>
      </c>
      <c r="V1123" s="25" t="e">
        <f>U1123*ROUND(Q1123,2)</f>
        <v>#DIV/0!</v>
      </c>
    </row>
    <row r="1124" spans="1:22" x14ac:dyDescent="0.2">
      <c r="A1124" s="92" t="s">
        <v>946</v>
      </c>
      <c r="B1124" s="93" t="s">
        <v>47</v>
      </c>
      <c r="C1124" s="93" t="s">
        <v>394</v>
      </c>
      <c r="D1124" s="93" t="s">
        <v>1038</v>
      </c>
      <c r="E1124" s="94" t="s">
        <v>1039</v>
      </c>
      <c r="F1124" s="93" t="s">
        <v>397</v>
      </c>
      <c r="G1124" s="93" t="s">
        <v>348</v>
      </c>
      <c r="H1124" s="93" t="s">
        <v>10</v>
      </c>
      <c r="I1124" s="93" t="s">
        <v>255</v>
      </c>
      <c r="J1124" s="93" t="s">
        <v>47</v>
      </c>
      <c r="K1124" s="93"/>
      <c r="L1124" s="95">
        <v>136.30000000000001</v>
      </c>
      <c r="M1124" s="95">
        <f>L1124*VLOOKUP(H1124,dagsoorttabel1,2,FALSE)</f>
        <v>136.30000000000001</v>
      </c>
      <c r="N1124" s="96">
        <f>prodnorm114</f>
        <v>0</v>
      </c>
      <c r="O1124" s="37">
        <f>dagwerk114</f>
        <v>0</v>
      </c>
      <c r="P1124" s="93" t="s">
        <v>105</v>
      </c>
      <c r="Q1124" s="24">
        <f>uurtarief114</f>
        <v>0</v>
      </c>
      <c r="R1124" s="95" t="e">
        <f>IF(ISBLANK(N1124),0,M1124/ROUND(N1124,4))</f>
        <v>#DIV/0!</v>
      </c>
      <c r="S1124" s="95" t="e">
        <f>IF(ISBLANK(N1124),0,R1124*ROUND(O1124,2))</f>
        <v>#DIV/0!</v>
      </c>
      <c r="T1124" s="24" t="e">
        <f>ROUND(Q1124,2)*R1124</f>
        <v>#DIV/0!</v>
      </c>
      <c r="U1124" s="95" t="e">
        <f>R1124*dagenperjaar1</f>
        <v>#DIV/0!</v>
      </c>
      <c r="V1124" s="25" t="e">
        <f>U1124*ROUND(Q1124,2)</f>
        <v>#DIV/0!</v>
      </c>
    </row>
    <row r="1125" spans="1:22" x14ac:dyDescent="0.2">
      <c r="A1125" s="92" t="s">
        <v>946</v>
      </c>
      <c r="B1125" s="93" t="s">
        <v>47</v>
      </c>
      <c r="C1125" s="93" t="s">
        <v>394</v>
      </c>
      <c r="D1125" s="93" t="s">
        <v>1040</v>
      </c>
      <c r="E1125" s="94" t="s">
        <v>650</v>
      </c>
      <c r="F1125" s="93" t="s">
        <v>442</v>
      </c>
      <c r="G1125" s="93" t="s">
        <v>346</v>
      </c>
      <c r="H1125" s="93" t="s">
        <v>10</v>
      </c>
      <c r="I1125" s="93" t="s">
        <v>255</v>
      </c>
      <c r="J1125" s="93" t="s">
        <v>47</v>
      </c>
      <c r="K1125" s="93"/>
      <c r="L1125" s="95">
        <v>7.76</v>
      </c>
      <c r="M1125" s="95">
        <f>L1125*VLOOKUP(H1125,dagsoorttabel1,2,FALSE)</f>
        <v>7.76</v>
      </c>
      <c r="N1125" s="96">
        <f>prodnorm112</f>
        <v>0</v>
      </c>
      <c r="O1125" s="37">
        <f>dagwerk112</f>
        <v>0</v>
      </c>
      <c r="P1125" s="93" t="s">
        <v>105</v>
      </c>
      <c r="Q1125" s="24">
        <f>uurtarief112</f>
        <v>0</v>
      </c>
      <c r="R1125" s="95" t="e">
        <f>IF(ISBLANK(N1125),0,M1125/ROUND(N1125,4))</f>
        <v>#DIV/0!</v>
      </c>
      <c r="S1125" s="95" t="e">
        <f>IF(ISBLANK(N1125),0,R1125*ROUND(O1125,2))</f>
        <v>#DIV/0!</v>
      </c>
      <c r="T1125" s="24" t="e">
        <f>ROUND(Q1125,2)*R1125</f>
        <v>#DIV/0!</v>
      </c>
      <c r="U1125" s="95" t="e">
        <f>R1125*dagenperjaar1</f>
        <v>#DIV/0!</v>
      </c>
      <c r="V1125" s="25" t="e">
        <f>U1125*ROUND(Q1125,2)</f>
        <v>#DIV/0!</v>
      </c>
    </row>
    <row r="1126" spans="1:22" x14ac:dyDescent="0.2">
      <c r="A1126" s="92" t="s">
        <v>946</v>
      </c>
      <c r="B1126" s="93" t="s">
        <v>47</v>
      </c>
      <c r="C1126" s="93" t="s">
        <v>394</v>
      </c>
      <c r="D1126" s="93" t="s">
        <v>1041</v>
      </c>
      <c r="E1126" s="94" t="s">
        <v>1042</v>
      </c>
      <c r="F1126" s="93" t="s">
        <v>442</v>
      </c>
      <c r="G1126" s="93" t="s">
        <v>346</v>
      </c>
      <c r="H1126" s="93" t="s">
        <v>10</v>
      </c>
      <c r="I1126" s="93" t="s">
        <v>255</v>
      </c>
      <c r="J1126" s="93" t="s">
        <v>47</v>
      </c>
      <c r="K1126" s="93"/>
      <c r="L1126" s="95">
        <v>18.38</v>
      </c>
      <c r="M1126" s="95">
        <f>L1126*VLOOKUP(H1126,dagsoorttabel1,2,FALSE)</f>
        <v>18.38</v>
      </c>
      <c r="N1126" s="96">
        <f>prodnorm112</f>
        <v>0</v>
      </c>
      <c r="O1126" s="37">
        <f>dagwerk112</f>
        <v>0</v>
      </c>
      <c r="P1126" s="93" t="s">
        <v>105</v>
      </c>
      <c r="Q1126" s="24">
        <f>uurtarief112</f>
        <v>0</v>
      </c>
      <c r="R1126" s="95" t="e">
        <f>IF(ISBLANK(N1126),0,M1126/ROUND(N1126,4))</f>
        <v>#DIV/0!</v>
      </c>
      <c r="S1126" s="95" t="e">
        <f>IF(ISBLANK(N1126),0,R1126*ROUND(O1126,2))</f>
        <v>#DIV/0!</v>
      </c>
      <c r="T1126" s="24" t="e">
        <f>ROUND(Q1126,2)*R1126</f>
        <v>#DIV/0!</v>
      </c>
      <c r="U1126" s="95" t="e">
        <f>R1126*dagenperjaar1</f>
        <v>#DIV/0!</v>
      </c>
      <c r="V1126" s="25" t="e">
        <f>U1126*ROUND(Q1126,2)</f>
        <v>#DIV/0!</v>
      </c>
    </row>
    <row r="1127" spans="1:22" x14ac:dyDescent="0.2">
      <c r="A1127" s="92" t="s">
        <v>946</v>
      </c>
      <c r="B1127" s="93" t="s">
        <v>47</v>
      </c>
      <c r="C1127" s="93" t="s">
        <v>394</v>
      </c>
      <c r="D1127" s="93" t="s">
        <v>1043</v>
      </c>
      <c r="E1127" s="94" t="s">
        <v>1044</v>
      </c>
      <c r="F1127" s="93" t="s">
        <v>442</v>
      </c>
      <c r="G1127" s="93" t="s">
        <v>270</v>
      </c>
      <c r="H1127" s="93" t="s">
        <v>10</v>
      </c>
      <c r="I1127" s="93" t="s">
        <v>255</v>
      </c>
      <c r="J1127" s="93" t="s">
        <v>47</v>
      </c>
      <c r="K1127" s="93"/>
      <c r="L1127" s="95">
        <v>24.47</v>
      </c>
      <c r="M1127" s="95">
        <f>L1127*VLOOKUP(H1127,dagsoorttabel1,2,FALSE)</f>
        <v>24.47</v>
      </c>
      <c r="N1127" s="96">
        <f>prodnorm44</f>
        <v>0</v>
      </c>
      <c r="O1127" s="37">
        <f>dagwerk44</f>
        <v>0</v>
      </c>
      <c r="P1127" s="93" t="s">
        <v>105</v>
      </c>
      <c r="Q1127" s="24">
        <f>uurtarief44</f>
        <v>0</v>
      </c>
      <c r="R1127" s="95" t="e">
        <f>IF(ISBLANK(N1127),0,M1127/ROUND(N1127,4))</f>
        <v>#DIV/0!</v>
      </c>
      <c r="S1127" s="95" t="e">
        <f>IF(ISBLANK(N1127),0,R1127*ROUND(O1127,2))</f>
        <v>#DIV/0!</v>
      </c>
      <c r="T1127" s="24" t="e">
        <f>ROUND(Q1127,2)*R1127</f>
        <v>#DIV/0!</v>
      </c>
      <c r="U1127" s="95" t="e">
        <f>R1127*dagenperjaar1</f>
        <v>#DIV/0!</v>
      </c>
      <c r="V1127" s="25" t="e">
        <f>U1127*ROUND(Q1127,2)</f>
        <v>#DIV/0!</v>
      </c>
    </row>
    <row r="1128" spans="1:22" x14ac:dyDescent="0.2">
      <c r="A1128" s="92" t="s">
        <v>946</v>
      </c>
      <c r="B1128" s="93" t="s">
        <v>47</v>
      </c>
      <c r="C1128" s="93" t="s">
        <v>394</v>
      </c>
      <c r="D1128" s="93" t="s">
        <v>1045</v>
      </c>
      <c r="E1128" s="94" t="s">
        <v>703</v>
      </c>
      <c r="F1128" s="93" t="s">
        <v>442</v>
      </c>
      <c r="G1128" s="93" t="s">
        <v>308</v>
      </c>
      <c r="H1128" s="93" t="s">
        <v>10</v>
      </c>
      <c r="I1128" s="93" t="s">
        <v>255</v>
      </c>
      <c r="J1128" s="93" t="s">
        <v>47</v>
      </c>
      <c r="K1128" s="93"/>
      <c r="L1128" s="95">
        <v>29.67</v>
      </c>
      <c r="M1128" s="95">
        <f>L1128*VLOOKUP(H1128,dagsoorttabel1,2,FALSE)</f>
        <v>29.67</v>
      </c>
      <c r="N1128" s="96">
        <f>prodnorm82</f>
        <v>0</v>
      </c>
      <c r="O1128" s="37">
        <f>dagwerk82</f>
        <v>0</v>
      </c>
      <c r="P1128" s="93" t="s">
        <v>105</v>
      </c>
      <c r="Q1128" s="24">
        <f>uurtarief82</f>
        <v>0</v>
      </c>
      <c r="R1128" s="95" t="e">
        <f>IF(ISBLANK(N1128),0,M1128/ROUND(N1128,4))</f>
        <v>#DIV/0!</v>
      </c>
      <c r="S1128" s="95" t="e">
        <f>IF(ISBLANK(N1128),0,R1128*ROUND(O1128,2))</f>
        <v>#DIV/0!</v>
      </c>
      <c r="T1128" s="24" t="e">
        <f>ROUND(Q1128,2)*R1128</f>
        <v>#DIV/0!</v>
      </c>
      <c r="U1128" s="95" t="e">
        <f>R1128*dagenperjaar1</f>
        <v>#DIV/0!</v>
      </c>
      <c r="V1128" s="25" t="e">
        <f>U1128*ROUND(Q1128,2)</f>
        <v>#DIV/0!</v>
      </c>
    </row>
    <row r="1129" spans="1:22" x14ac:dyDescent="0.2">
      <c r="A1129" s="92" t="s">
        <v>946</v>
      </c>
      <c r="B1129" s="93" t="s">
        <v>47</v>
      </c>
      <c r="C1129" s="93" t="s">
        <v>394</v>
      </c>
      <c r="D1129" s="93" t="s">
        <v>1046</v>
      </c>
      <c r="E1129" s="94" t="s">
        <v>703</v>
      </c>
      <c r="F1129" s="93" t="s">
        <v>442</v>
      </c>
      <c r="G1129" s="93" t="s">
        <v>308</v>
      </c>
      <c r="H1129" s="93" t="s">
        <v>10</v>
      </c>
      <c r="I1129" s="93" t="s">
        <v>255</v>
      </c>
      <c r="J1129" s="93" t="s">
        <v>47</v>
      </c>
      <c r="K1129" s="93"/>
      <c r="L1129" s="95">
        <v>6.03</v>
      </c>
      <c r="M1129" s="95">
        <f>L1129*VLOOKUP(H1129,dagsoorttabel1,2,FALSE)</f>
        <v>6.03</v>
      </c>
      <c r="N1129" s="96">
        <f>prodnorm82</f>
        <v>0</v>
      </c>
      <c r="O1129" s="37">
        <f>dagwerk82</f>
        <v>0</v>
      </c>
      <c r="P1129" s="93" t="s">
        <v>105</v>
      </c>
      <c r="Q1129" s="24">
        <f>uurtarief82</f>
        <v>0</v>
      </c>
      <c r="R1129" s="95" t="e">
        <f>IF(ISBLANK(N1129),0,M1129/ROUND(N1129,4))</f>
        <v>#DIV/0!</v>
      </c>
      <c r="S1129" s="95" t="e">
        <f>IF(ISBLANK(N1129),0,R1129*ROUND(O1129,2))</f>
        <v>#DIV/0!</v>
      </c>
      <c r="T1129" s="24" t="e">
        <f>ROUND(Q1129,2)*R1129</f>
        <v>#DIV/0!</v>
      </c>
      <c r="U1129" s="95" t="e">
        <f>R1129*dagenperjaar1</f>
        <v>#DIV/0!</v>
      </c>
      <c r="V1129" s="25" t="e">
        <f>U1129*ROUND(Q1129,2)</f>
        <v>#DIV/0!</v>
      </c>
    </row>
    <row r="1130" spans="1:22" x14ac:dyDescent="0.2">
      <c r="A1130" s="92" t="s">
        <v>946</v>
      </c>
      <c r="B1130" s="93" t="s">
        <v>47</v>
      </c>
      <c r="C1130" s="93" t="s">
        <v>394</v>
      </c>
      <c r="D1130" s="93" t="s">
        <v>1047</v>
      </c>
      <c r="E1130" s="94" t="s">
        <v>1048</v>
      </c>
      <c r="F1130" s="93" t="s">
        <v>442</v>
      </c>
      <c r="G1130" s="93" t="s">
        <v>308</v>
      </c>
      <c r="H1130" s="93" t="s">
        <v>10</v>
      </c>
      <c r="I1130" s="93" t="s">
        <v>255</v>
      </c>
      <c r="J1130" s="93" t="s">
        <v>47</v>
      </c>
      <c r="K1130" s="93"/>
      <c r="L1130" s="95">
        <v>38.230000000000004</v>
      </c>
      <c r="M1130" s="95">
        <f>L1130*VLOOKUP(H1130,dagsoorttabel1,2,FALSE)</f>
        <v>38.230000000000004</v>
      </c>
      <c r="N1130" s="96">
        <f>prodnorm82</f>
        <v>0</v>
      </c>
      <c r="O1130" s="37">
        <f>dagwerk82</f>
        <v>0</v>
      </c>
      <c r="P1130" s="93" t="s">
        <v>105</v>
      </c>
      <c r="Q1130" s="24">
        <f>uurtarief82</f>
        <v>0</v>
      </c>
      <c r="R1130" s="95" t="e">
        <f>IF(ISBLANK(N1130),0,M1130/ROUND(N1130,4))</f>
        <v>#DIV/0!</v>
      </c>
      <c r="S1130" s="95" t="e">
        <f>IF(ISBLANK(N1130),0,R1130*ROUND(O1130,2))</f>
        <v>#DIV/0!</v>
      </c>
      <c r="T1130" s="24" t="e">
        <f>ROUND(Q1130,2)*R1130</f>
        <v>#DIV/0!</v>
      </c>
      <c r="U1130" s="95" t="e">
        <f>R1130*dagenperjaar1</f>
        <v>#DIV/0!</v>
      </c>
      <c r="V1130" s="25" t="e">
        <f>U1130*ROUND(Q1130,2)</f>
        <v>#DIV/0!</v>
      </c>
    </row>
    <row r="1131" spans="1:22" x14ac:dyDescent="0.2">
      <c r="A1131" s="92" t="s">
        <v>946</v>
      </c>
      <c r="B1131" s="93" t="s">
        <v>47</v>
      </c>
      <c r="C1131" s="93" t="s">
        <v>394</v>
      </c>
      <c r="D1131" s="93" t="s">
        <v>1049</v>
      </c>
      <c r="E1131" s="94" t="s">
        <v>650</v>
      </c>
      <c r="F1131" s="93" t="s">
        <v>442</v>
      </c>
      <c r="G1131" s="93" t="s">
        <v>314</v>
      </c>
      <c r="H1131" s="93" t="s">
        <v>10</v>
      </c>
      <c r="I1131" s="93" t="s">
        <v>255</v>
      </c>
      <c r="J1131" s="93" t="s">
        <v>47</v>
      </c>
      <c r="K1131" s="93"/>
      <c r="L1131" s="95">
        <v>17.34</v>
      </c>
      <c r="M1131" s="95">
        <f>L1131*VLOOKUP(H1131,dagsoorttabel1,2,FALSE)</f>
        <v>17.34</v>
      </c>
      <c r="N1131" s="96">
        <f>prodnorm89</f>
        <v>0</v>
      </c>
      <c r="O1131" s="37">
        <f>dagwerk89</f>
        <v>0</v>
      </c>
      <c r="P1131" s="93" t="s">
        <v>105</v>
      </c>
      <c r="Q1131" s="24">
        <f>uurtarief89</f>
        <v>0</v>
      </c>
      <c r="R1131" s="95" t="e">
        <f>IF(ISBLANK(N1131),0,M1131/ROUND(N1131,4))</f>
        <v>#DIV/0!</v>
      </c>
      <c r="S1131" s="95" t="e">
        <f>IF(ISBLANK(N1131),0,R1131*ROUND(O1131,2))</f>
        <v>#DIV/0!</v>
      </c>
      <c r="T1131" s="24" t="e">
        <f>ROUND(Q1131,2)*R1131</f>
        <v>#DIV/0!</v>
      </c>
      <c r="U1131" s="95" t="e">
        <f>R1131*dagenperjaar1</f>
        <v>#DIV/0!</v>
      </c>
      <c r="V1131" s="25" t="e">
        <f>U1131*ROUND(Q1131,2)</f>
        <v>#DIV/0!</v>
      </c>
    </row>
    <row r="1132" spans="1:22" x14ac:dyDescent="0.2">
      <c r="A1132" s="92" t="s">
        <v>946</v>
      </c>
      <c r="B1132" s="93" t="s">
        <v>47</v>
      </c>
      <c r="C1132" s="93" t="s">
        <v>394</v>
      </c>
      <c r="D1132" s="93" t="s">
        <v>1050</v>
      </c>
      <c r="E1132" s="94" t="s">
        <v>1051</v>
      </c>
      <c r="F1132" s="93" t="s">
        <v>397</v>
      </c>
      <c r="G1132" s="93" t="s">
        <v>308</v>
      </c>
      <c r="H1132" s="93" t="s">
        <v>21</v>
      </c>
      <c r="I1132" s="93" t="s">
        <v>255</v>
      </c>
      <c r="J1132" s="93" t="s">
        <v>47</v>
      </c>
      <c r="K1132" s="93"/>
      <c r="L1132" s="95">
        <v>7.42</v>
      </c>
      <c r="M1132" s="95">
        <f>L1132*VLOOKUP(H1132,dagsoorttabel1,2,FALSE)</f>
        <v>1.484</v>
      </c>
      <c r="N1132" s="96">
        <f>prodnorm84</f>
        <v>0</v>
      </c>
      <c r="O1132" s="37">
        <f>dagwerk84</f>
        <v>0</v>
      </c>
      <c r="P1132" s="93" t="s">
        <v>105</v>
      </c>
      <c r="Q1132" s="24">
        <f>uurtarief84</f>
        <v>0</v>
      </c>
      <c r="R1132" s="95" t="e">
        <f>IF(ISBLANK(N1132),0,M1132/ROUND(N1132,4))</f>
        <v>#DIV/0!</v>
      </c>
      <c r="S1132" s="95" t="e">
        <f>IF(ISBLANK(N1132),0,R1132*ROUND(O1132,2))</f>
        <v>#DIV/0!</v>
      </c>
      <c r="T1132" s="24" t="e">
        <f>ROUND(Q1132,2)*R1132</f>
        <v>#DIV/0!</v>
      </c>
      <c r="U1132" s="95" t="e">
        <f>R1132*dagenperjaar1</f>
        <v>#DIV/0!</v>
      </c>
      <c r="V1132" s="25" t="e">
        <f>U1132*ROUND(Q1132,2)</f>
        <v>#DIV/0!</v>
      </c>
    </row>
    <row r="1133" spans="1:22" x14ac:dyDescent="0.2">
      <c r="A1133" s="92" t="s">
        <v>946</v>
      </c>
      <c r="B1133" s="93" t="s">
        <v>47</v>
      </c>
      <c r="C1133" s="93" t="s">
        <v>394</v>
      </c>
      <c r="D1133" s="93" t="s">
        <v>1052</v>
      </c>
      <c r="E1133" s="94" t="s">
        <v>1053</v>
      </c>
      <c r="F1133" s="93" t="s">
        <v>397</v>
      </c>
      <c r="G1133" s="93" t="s">
        <v>278</v>
      </c>
      <c r="H1133" s="93" t="s">
        <v>10</v>
      </c>
      <c r="I1133" s="93" t="s">
        <v>255</v>
      </c>
      <c r="J1133" s="93" t="s">
        <v>47</v>
      </c>
      <c r="K1133" s="93"/>
      <c r="L1133" s="95">
        <v>2.52</v>
      </c>
      <c r="M1133" s="95">
        <f>L1133*VLOOKUP(H1133,dagsoorttabel1,2,FALSE)</f>
        <v>2.52</v>
      </c>
      <c r="N1133" s="96">
        <f>prodnorm51</f>
        <v>0</v>
      </c>
      <c r="O1133" s="37">
        <f>dagwerk51</f>
        <v>0</v>
      </c>
      <c r="P1133" s="93" t="s">
        <v>105</v>
      </c>
      <c r="Q1133" s="24">
        <f>uurtarief51</f>
        <v>0</v>
      </c>
      <c r="R1133" s="95" t="e">
        <f>IF(ISBLANK(N1133),0,M1133/ROUND(N1133,4))</f>
        <v>#DIV/0!</v>
      </c>
      <c r="S1133" s="95" t="e">
        <f>IF(ISBLANK(N1133),0,R1133*ROUND(O1133,2))</f>
        <v>#DIV/0!</v>
      </c>
      <c r="T1133" s="24" t="e">
        <f>ROUND(Q1133,2)*R1133</f>
        <v>#DIV/0!</v>
      </c>
      <c r="U1133" s="95" t="e">
        <f>R1133*dagenperjaar1</f>
        <v>#DIV/0!</v>
      </c>
      <c r="V1133" s="25" t="e">
        <f>U1133*ROUND(Q1133,2)</f>
        <v>#DIV/0!</v>
      </c>
    </row>
    <row r="1134" spans="1:22" x14ac:dyDescent="0.2">
      <c r="A1134" s="92" t="s">
        <v>946</v>
      </c>
      <c r="B1134" s="93" t="s">
        <v>47</v>
      </c>
      <c r="C1134" s="93" t="s">
        <v>394</v>
      </c>
      <c r="D1134" s="93" t="s">
        <v>1054</v>
      </c>
      <c r="E1134" s="94" t="s">
        <v>1053</v>
      </c>
      <c r="F1134" s="93" t="s">
        <v>397</v>
      </c>
      <c r="G1134" s="93" t="s">
        <v>278</v>
      </c>
      <c r="H1134" s="93" t="s">
        <v>10</v>
      </c>
      <c r="I1134" s="93" t="s">
        <v>255</v>
      </c>
      <c r="J1134" s="93" t="s">
        <v>47</v>
      </c>
      <c r="K1134" s="93"/>
      <c r="L1134" s="95">
        <v>2.52</v>
      </c>
      <c r="M1134" s="95">
        <f>L1134*VLOOKUP(H1134,dagsoorttabel1,2,FALSE)</f>
        <v>2.52</v>
      </c>
      <c r="N1134" s="96">
        <f>prodnorm51</f>
        <v>0</v>
      </c>
      <c r="O1134" s="37">
        <f>dagwerk51</f>
        <v>0</v>
      </c>
      <c r="P1134" s="93" t="s">
        <v>105</v>
      </c>
      <c r="Q1134" s="24">
        <f>uurtarief51</f>
        <v>0</v>
      </c>
      <c r="R1134" s="95" t="e">
        <f>IF(ISBLANK(N1134),0,M1134/ROUND(N1134,4))</f>
        <v>#DIV/0!</v>
      </c>
      <c r="S1134" s="95" t="e">
        <f>IF(ISBLANK(N1134),0,R1134*ROUND(O1134,2))</f>
        <v>#DIV/0!</v>
      </c>
      <c r="T1134" s="24" t="e">
        <f>ROUND(Q1134,2)*R1134</f>
        <v>#DIV/0!</v>
      </c>
      <c r="U1134" s="95" t="e">
        <f>R1134*dagenperjaar1</f>
        <v>#DIV/0!</v>
      </c>
      <c r="V1134" s="25" t="e">
        <f>U1134*ROUND(Q1134,2)</f>
        <v>#DIV/0!</v>
      </c>
    </row>
    <row r="1135" spans="1:22" x14ac:dyDescent="0.2">
      <c r="A1135" s="92" t="s">
        <v>946</v>
      </c>
      <c r="B1135" s="93" t="s">
        <v>47</v>
      </c>
      <c r="C1135" s="93" t="s">
        <v>558</v>
      </c>
      <c r="D1135" s="93" t="s">
        <v>1055</v>
      </c>
      <c r="E1135" s="94" t="s">
        <v>1056</v>
      </c>
      <c r="F1135" s="93" t="s">
        <v>442</v>
      </c>
      <c r="G1135" s="93" t="s">
        <v>308</v>
      </c>
      <c r="H1135" s="93" t="s">
        <v>10</v>
      </c>
      <c r="I1135" s="93" t="s">
        <v>255</v>
      </c>
      <c r="J1135" s="93" t="s">
        <v>47</v>
      </c>
      <c r="K1135" s="93"/>
      <c r="L1135" s="95">
        <v>49.97</v>
      </c>
      <c r="M1135" s="95">
        <f>L1135*VLOOKUP(H1135,dagsoorttabel1,2,FALSE)</f>
        <v>49.97</v>
      </c>
      <c r="N1135" s="96">
        <f>prodnorm82</f>
        <v>0</v>
      </c>
      <c r="O1135" s="37">
        <f>dagwerk82</f>
        <v>0</v>
      </c>
      <c r="P1135" s="93" t="s">
        <v>105</v>
      </c>
      <c r="Q1135" s="24">
        <f>uurtarief82</f>
        <v>0</v>
      </c>
      <c r="R1135" s="95" t="e">
        <f>IF(ISBLANK(N1135),0,M1135/ROUND(N1135,4))</f>
        <v>#DIV/0!</v>
      </c>
      <c r="S1135" s="95" t="e">
        <f>IF(ISBLANK(N1135),0,R1135*ROUND(O1135,2))</f>
        <v>#DIV/0!</v>
      </c>
      <c r="T1135" s="24" t="e">
        <f>ROUND(Q1135,2)*R1135</f>
        <v>#DIV/0!</v>
      </c>
      <c r="U1135" s="95" t="e">
        <f>R1135*dagenperjaar1</f>
        <v>#DIV/0!</v>
      </c>
      <c r="V1135" s="25" t="e">
        <f>U1135*ROUND(Q1135,2)</f>
        <v>#DIV/0!</v>
      </c>
    </row>
    <row r="1136" spans="1:22" x14ac:dyDescent="0.2">
      <c r="A1136" s="92" t="s">
        <v>946</v>
      </c>
      <c r="B1136" s="93" t="s">
        <v>47</v>
      </c>
      <c r="C1136" s="93" t="s">
        <v>558</v>
      </c>
      <c r="D1136" s="93" t="s">
        <v>1057</v>
      </c>
      <c r="E1136" s="94" t="s">
        <v>954</v>
      </c>
      <c r="F1136" s="93" t="s">
        <v>397</v>
      </c>
      <c r="G1136" s="93" t="s">
        <v>304</v>
      </c>
      <c r="H1136" s="93" t="s">
        <v>10</v>
      </c>
      <c r="I1136" s="93" t="s">
        <v>255</v>
      </c>
      <c r="J1136" s="93" t="s">
        <v>47</v>
      </c>
      <c r="K1136" s="93"/>
      <c r="L1136" s="95">
        <v>13.350000000000001</v>
      </c>
      <c r="M1136" s="95">
        <f>L1136*VLOOKUP(H1136,dagsoorttabel1,2,FALSE)</f>
        <v>13.350000000000001</v>
      </c>
      <c r="N1136" s="96">
        <f>prodnorm75</f>
        <v>0</v>
      </c>
      <c r="O1136" s="37">
        <f>dagwerk75</f>
        <v>0</v>
      </c>
      <c r="P1136" s="93" t="s">
        <v>105</v>
      </c>
      <c r="Q1136" s="24">
        <f>uurtarief75</f>
        <v>0</v>
      </c>
      <c r="R1136" s="95" t="e">
        <f>IF(ISBLANK(N1136),0,M1136/ROUND(N1136,4))</f>
        <v>#DIV/0!</v>
      </c>
      <c r="S1136" s="95" t="e">
        <f>IF(ISBLANK(N1136),0,R1136*ROUND(O1136,2))</f>
        <v>#DIV/0!</v>
      </c>
      <c r="T1136" s="24" t="e">
        <f>ROUND(Q1136,2)*R1136</f>
        <v>#DIV/0!</v>
      </c>
      <c r="U1136" s="95" t="e">
        <f>R1136*dagenperjaar1</f>
        <v>#DIV/0!</v>
      </c>
      <c r="V1136" s="25" t="e">
        <f>U1136*ROUND(Q1136,2)</f>
        <v>#DIV/0!</v>
      </c>
    </row>
    <row r="1137" spans="1:22" x14ac:dyDescent="0.2">
      <c r="A1137" s="92" t="s">
        <v>946</v>
      </c>
      <c r="B1137" s="93" t="s">
        <v>47</v>
      </c>
      <c r="C1137" s="93" t="s">
        <v>558</v>
      </c>
      <c r="D1137" s="93" t="s">
        <v>1057</v>
      </c>
      <c r="E1137" s="94" t="s">
        <v>954</v>
      </c>
      <c r="F1137" s="93" t="s">
        <v>397</v>
      </c>
      <c r="G1137" s="93" t="s">
        <v>306</v>
      </c>
      <c r="H1137" s="93" t="s">
        <v>10</v>
      </c>
      <c r="I1137" s="93" t="s">
        <v>255</v>
      </c>
      <c r="J1137" s="93" t="s">
        <v>47</v>
      </c>
      <c r="K1137" s="93"/>
      <c r="L1137" s="95">
        <v>13.350000000000001</v>
      </c>
      <c r="M1137" s="95">
        <f>L1137*VLOOKUP(H1137,dagsoorttabel1,2,FALSE)</f>
        <v>13.350000000000001</v>
      </c>
      <c r="N1137" s="96">
        <f>prodnorm79</f>
        <v>0</v>
      </c>
      <c r="O1137" s="37">
        <f>dagwerk79</f>
        <v>0</v>
      </c>
      <c r="P1137" s="93" t="s">
        <v>105</v>
      </c>
      <c r="Q1137" s="24">
        <f>uurtarief79</f>
        <v>0</v>
      </c>
      <c r="R1137" s="95" t="e">
        <f>IF(ISBLANK(N1137),0,M1137/ROUND(N1137,4))</f>
        <v>#DIV/0!</v>
      </c>
      <c r="S1137" s="95" t="e">
        <f>IF(ISBLANK(N1137),0,R1137*ROUND(O1137,2))</f>
        <v>#DIV/0!</v>
      </c>
      <c r="T1137" s="24" t="e">
        <f>ROUND(Q1137,2)*R1137</f>
        <v>#DIV/0!</v>
      </c>
      <c r="U1137" s="95" t="e">
        <f>R1137*dagenperjaar1</f>
        <v>#DIV/0!</v>
      </c>
      <c r="V1137" s="25" t="e">
        <f>U1137*ROUND(Q1137,2)</f>
        <v>#DIV/0!</v>
      </c>
    </row>
    <row r="1138" spans="1:22" x14ac:dyDescent="0.2">
      <c r="A1138" s="92" t="s">
        <v>946</v>
      </c>
      <c r="B1138" s="93" t="s">
        <v>47</v>
      </c>
      <c r="C1138" s="93" t="s">
        <v>558</v>
      </c>
      <c r="D1138" s="93" t="s">
        <v>1058</v>
      </c>
      <c r="E1138" s="94" t="s">
        <v>956</v>
      </c>
      <c r="F1138" s="93" t="s">
        <v>397</v>
      </c>
      <c r="G1138" s="93" t="s">
        <v>304</v>
      </c>
      <c r="H1138" s="93" t="s">
        <v>10</v>
      </c>
      <c r="I1138" s="93" t="s">
        <v>255</v>
      </c>
      <c r="J1138" s="93" t="s">
        <v>47</v>
      </c>
      <c r="K1138" s="93"/>
      <c r="L1138" s="95">
        <v>10.27</v>
      </c>
      <c r="M1138" s="95">
        <f>L1138*VLOOKUP(H1138,dagsoorttabel1,2,FALSE)</f>
        <v>10.27</v>
      </c>
      <c r="N1138" s="96">
        <f>prodnorm75</f>
        <v>0</v>
      </c>
      <c r="O1138" s="37">
        <f>dagwerk75</f>
        <v>0</v>
      </c>
      <c r="P1138" s="93" t="s">
        <v>105</v>
      </c>
      <c r="Q1138" s="24">
        <f>uurtarief75</f>
        <v>0</v>
      </c>
      <c r="R1138" s="95" t="e">
        <f>IF(ISBLANK(N1138),0,M1138/ROUND(N1138,4))</f>
        <v>#DIV/0!</v>
      </c>
      <c r="S1138" s="95" t="e">
        <f>IF(ISBLANK(N1138),0,R1138*ROUND(O1138,2))</f>
        <v>#DIV/0!</v>
      </c>
      <c r="T1138" s="24" t="e">
        <f>ROUND(Q1138,2)*R1138</f>
        <v>#DIV/0!</v>
      </c>
      <c r="U1138" s="95" t="e">
        <f>R1138*dagenperjaar1</f>
        <v>#DIV/0!</v>
      </c>
      <c r="V1138" s="25" t="e">
        <f>U1138*ROUND(Q1138,2)</f>
        <v>#DIV/0!</v>
      </c>
    </row>
    <row r="1139" spans="1:22" x14ac:dyDescent="0.2">
      <c r="A1139" s="92" t="s">
        <v>946</v>
      </c>
      <c r="B1139" s="93" t="s">
        <v>47</v>
      </c>
      <c r="C1139" s="93" t="s">
        <v>558</v>
      </c>
      <c r="D1139" s="93" t="s">
        <v>1058</v>
      </c>
      <c r="E1139" s="94" t="s">
        <v>956</v>
      </c>
      <c r="F1139" s="93" t="s">
        <v>397</v>
      </c>
      <c r="G1139" s="93" t="s">
        <v>306</v>
      </c>
      <c r="H1139" s="93" t="s">
        <v>10</v>
      </c>
      <c r="I1139" s="93" t="s">
        <v>255</v>
      </c>
      <c r="J1139" s="93" t="s">
        <v>47</v>
      </c>
      <c r="K1139" s="93"/>
      <c r="L1139" s="95">
        <v>10.27</v>
      </c>
      <c r="M1139" s="95">
        <f>L1139*VLOOKUP(H1139,dagsoorttabel1,2,FALSE)</f>
        <v>10.27</v>
      </c>
      <c r="N1139" s="96">
        <f>prodnorm79</f>
        <v>0</v>
      </c>
      <c r="O1139" s="37">
        <f>dagwerk79</f>
        <v>0</v>
      </c>
      <c r="P1139" s="93" t="s">
        <v>105</v>
      </c>
      <c r="Q1139" s="24">
        <f>uurtarief79</f>
        <v>0</v>
      </c>
      <c r="R1139" s="95" t="e">
        <f>IF(ISBLANK(N1139),0,M1139/ROUND(N1139,4))</f>
        <v>#DIV/0!</v>
      </c>
      <c r="S1139" s="95" t="e">
        <f>IF(ISBLANK(N1139),0,R1139*ROUND(O1139,2))</f>
        <v>#DIV/0!</v>
      </c>
      <c r="T1139" s="24" t="e">
        <f>ROUND(Q1139,2)*R1139</f>
        <v>#DIV/0!</v>
      </c>
      <c r="U1139" s="95" t="e">
        <f>R1139*dagenperjaar1</f>
        <v>#DIV/0!</v>
      </c>
      <c r="V1139" s="25" t="e">
        <f>U1139*ROUND(Q1139,2)</f>
        <v>#DIV/0!</v>
      </c>
    </row>
    <row r="1140" spans="1:22" x14ac:dyDescent="0.2">
      <c r="A1140" s="92" t="s">
        <v>946</v>
      </c>
      <c r="B1140" s="93" t="s">
        <v>47</v>
      </c>
      <c r="C1140" s="93" t="s">
        <v>558</v>
      </c>
      <c r="D1140" s="93" t="s">
        <v>1059</v>
      </c>
      <c r="E1140" s="94" t="s">
        <v>1060</v>
      </c>
      <c r="F1140" s="93" t="s">
        <v>397</v>
      </c>
      <c r="G1140" s="93" t="s">
        <v>314</v>
      </c>
      <c r="H1140" s="93" t="s">
        <v>10</v>
      </c>
      <c r="I1140" s="93" t="s">
        <v>255</v>
      </c>
      <c r="J1140" s="93" t="s">
        <v>47</v>
      </c>
      <c r="K1140" s="93"/>
      <c r="L1140" s="95">
        <v>97.36999999999999</v>
      </c>
      <c r="M1140" s="95">
        <f>L1140*VLOOKUP(H1140,dagsoorttabel1,2,FALSE)</f>
        <v>97.36999999999999</v>
      </c>
      <c r="N1140" s="96">
        <f>prodnorm89</f>
        <v>0</v>
      </c>
      <c r="O1140" s="37">
        <f>dagwerk89</f>
        <v>0</v>
      </c>
      <c r="P1140" s="93" t="s">
        <v>105</v>
      </c>
      <c r="Q1140" s="24">
        <f>uurtarief89</f>
        <v>0</v>
      </c>
      <c r="R1140" s="95" t="e">
        <f>IF(ISBLANK(N1140),0,M1140/ROUND(N1140,4))</f>
        <v>#DIV/0!</v>
      </c>
      <c r="S1140" s="95" t="e">
        <f>IF(ISBLANK(N1140),0,R1140*ROUND(O1140,2))</f>
        <v>#DIV/0!</v>
      </c>
      <c r="T1140" s="24" t="e">
        <f>ROUND(Q1140,2)*R1140</f>
        <v>#DIV/0!</v>
      </c>
      <c r="U1140" s="95" t="e">
        <f>R1140*dagenperjaar1</f>
        <v>#DIV/0!</v>
      </c>
      <c r="V1140" s="25" t="e">
        <f>U1140*ROUND(Q1140,2)</f>
        <v>#DIV/0!</v>
      </c>
    </row>
    <row r="1141" spans="1:22" x14ac:dyDescent="0.2">
      <c r="A1141" s="92" t="s">
        <v>946</v>
      </c>
      <c r="B1141" s="93" t="s">
        <v>47</v>
      </c>
      <c r="C1141" s="93" t="s">
        <v>558</v>
      </c>
      <c r="D1141" s="93" t="s">
        <v>1061</v>
      </c>
      <c r="E1141" s="94" t="s">
        <v>1062</v>
      </c>
      <c r="F1141" s="93" t="s">
        <v>1063</v>
      </c>
      <c r="G1141" s="93" t="s">
        <v>280</v>
      </c>
      <c r="H1141" s="93" t="s">
        <v>13</v>
      </c>
      <c r="I1141" s="93" t="s">
        <v>255</v>
      </c>
      <c r="J1141" s="93" t="s">
        <v>47</v>
      </c>
      <c r="K1141" s="93"/>
      <c r="L1141" s="95">
        <v>1793.7</v>
      </c>
      <c r="M1141" s="95">
        <f>L1141*VLOOKUP(H1141,dagsoorttabel1,2,FALSE)</f>
        <v>1406.8235294117646</v>
      </c>
      <c r="N1141" s="96">
        <f>prodnorm52</f>
        <v>0</v>
      </c>
      <c r="O1141" s="37">
        <f>dagwerk52</f>
        <v>0</v>
      </c>
      <c r="P1141" s="93" t="s">
        <v>105</v>
      </c>
      <c r="Q1141" s="24">
        <f>uurtarief52</f>
        <v>0</v>
      </c>
      <c r="R1141" s="95" t="e">
        <f>IF(ISBLANK(N1141),0,M1141/ROUND(N1141,4))</f>
        <v>#DIV/0!</v>
      </c>
      <c r="S1141" s="95" t="e">
        <f>IF(ISBLANK(N1141),0,R1141*ROUND(O1141,2))</f>
        <v>#DIV/0!</v>
      </c>
      <c r="T1141" s="24" t="e">
        <f>ROUND(Q1141,2)*R1141</f>
        <v>#DIV/0!</v>
      </c>
      <c r="U1141" s="95" t="e">
        <f>R1141*dagenperjaar1</f>
        <v>#DIV/0!</v>
      </c>
      <c r="V1141" s="25" t="e">
        <f>U1141*ROUND(Q1141,2)</f>
        <v>#DIV/0!</v>
      </c>
    </row>
    <row r="1142" spans="1:22" x14ac:dyDescent="0.2">
      <c r="A1142" s="92" t="s">
        <v>946</v>
      </c>
      <c r="B1142" s="93" t="s">
        <v>47</v>
      </c>
      <c r="C1142" s="93" t="s">
        <v>558</v>
      </c>
      <c r="D1142" s="93" t="s">
        <v>1064</v>
      </c>
      <c r="E1142" s="94" t="s">
        <v>1065</v>
      </c>
      <c r="F1142" s="93" t="s">
        <v>397</v>
      </c>
      <c r="G1142" s="93" t="s">
        <v>280</v>
      </c>
      <c r="H1142" s="93" t="s">
        <v>22</v>
      </c>
      <c r="I1142" s="93" t="s">
        <v>255</v>
      </c>
      <c r="J1142" s="93" t="s">
        <v>47</v>
      </c>
      <c r="K1142" s="93"/>
      <c r="L1142" s="95">
        <v>48.44</v>
      </c>
      <c r="M1142" s="95">
        <f>L1142*VLOOKUP(H1142,dagsoorttabel1,2,FALSE)</f>
        <v>7.5984313725490189</v>
      </c>
      <c r="N1142" s="96">
        <f>prodnorm54</f>
        <v>0</v>
      </c>
      <c r="O1142" s="37">
        <f>dagwerk54</f>
        <v>0</v>
      </c>
      <c r="P1142" s="93" t="s">
        <v>105</v>
      </c>
      <c r="Q1142" s="24">
        <f>uurtarief54</f>
        <v>0</v>
      </c>
      <c r="R1142" s="95" t="e">
        <f>IF(ISBLANK(N1142),0,M1142/ROUND(N1142,4))</f>
        <v>#DIV/0!</v>
      </c>
      <c r="S1142" s="95" t="e">
        <f>IF(ISBLANK(N1142),0,R1142*ROUND(O1142,2))</f>
        <v>#DIV/0!</v>
      </c>
      <c r="T1142" s="24" t="e">
        <f>ROUND(Q1142,2)*R1142</f>
        <v>#DIV/0!</v>
      </c>
      <c r="U1142" s="95" t="e">
        <f>R1142*dagenperjaar1</f>
        <v>#DIV/0!</v>
      </c>
      <c r="V1142" s="25" t="e">
        <f>U1142*ROUND(Q1142,2)</f>
        <v>#DIV/0!</v>
      </c>
    </row>
    <row r="1143" spans="1:22" x14ac:dyDescent="0.2">
      <c r="A1143" s="92" t="s">
        <v>946</v>
      </c>
      <c r="B1143" s="93" t="s">
        <v>47</v>
      </c>
      <c r="C1143" s="93" t="s">
        <v>558</v>
      </c>
      <c r="D1143" s="93" t="s">
        <v>1066</v>
      </c>
      <c r="E1143" s="94" t="s">
        <v>1067</v>
      </c>
      <c r="F1143" s="93" t="s">
        <v>397</v>
      </c>
      <c r="G1143" s="93" t="s">
        <v>280</v>
      </c>
      <c r="H1143" s="93" t="s">
        <v>22</v>
      </c>
      <c r="I1143" s="93" t="s">
        <v>255</v>
      </c>
      <c r="J1143" s="93" t="s">
        <v>47</v>
      </c>
      <c r="K1143" s="93"/>
      <c r="L1143" s="95">
        <v>63.07</v>
      </c>
      <c r="M1143" s="95">
        <f>L1143*VLOOKUP(H1143,dagsoorttabel1,2,FALSE)</f>
        <v>9.8933333333333326</v>
      </c>
      <c r="N1143" s="96">
        <f>prodnorm54</f>
        <v>0</v>
      </c>
      <c r="O1143" s="37">
        <f>dagwerk54</f>
        <v>0</v>
      </c>
      <c r="P1143" s="93" t="s">
        <v>105</v>
      </c>
      <c r="Q1143" s="24">
        <f>uurtarief54</f>
        <v>0</v>
      </c>
      <c r="R1143" s="95" t="e">
        <f>IF(ISBLANK(N1143),0,M1143/ROUND(N1143,4))</f>
        <v>#DIV/0!</v>
      </c>
      <c r="S1143" s="95" t="e">
        <f>IF(ISBLANK(N1143),0,R1143*ROUND(O1143,2))</f>
        <v>#DIV/0!</v>
      </c>
      <c r="T1143" s="24" t="e">
        <f>ROUND(Q1143,2)*R1143</f>
        <v>#DIV/0!</v>
      </c>
      <c r="U1143" s="95" t="e">
        <f>R1143*dagenperjaar1</f>
        <v>#DIV/0!</v>
      </c>
      <c r="V1143" s="25" t="e">
        <f>U1143*ROUND(Q1143,2)</f>
        <v>#DIV/0!</v>
      </c>
    </row>
    <row r="1144" spans="1:22" x14ac:dyDescent="0.2">
      <c r="A1144" s="92" t="s">
        <v>946</v>
      </c>
      <c r="B1144" s="93" t="s">
        <v>47</v>
      </c>
      <c r="C1144" s="93" t="s">
        <v>558</v>
      </c>
      <c r="D1144" s="93" t="s">
        <v>1068</v>
      </c>
      <c r="E1144" s="94" t="s">
        <v>1069</v>
      </c>
      <c r="F1144" s="93" t="s">
        <v>397</v>
      </c>
      <c r="G1144" s="93" t="s">
        <v>280</v>
      </c>
      <c r="H1144" s="93" t="s">
        <v>22</v>
      </c>
      <c r="I1144" s="93" t="s">
        <v>255</v>
      </c>
      <c r="J1144" s="93" t="s">
        <v>47</v>
      </c>
      <c r="K1144" s="93"/>
      <c r="L1144" s="95">
        <v>65.27</v>
      </c>
      <c r="M1144" s="95">
        <f>L1144*VLOOKUP(H1144,dagsoorttabel1,2,FALSE)</f>
        <v>10.238431372549019</v>
      </c>
      <c r="N1144" s="96">
        <f>prodnorm54</f>
        <v>0</v>
      </c>
      <c r="O1144" s="37">
        <f>dagwerk54</f>
        <v>0</v>
      </c>
      <c r="P1144" s="93" t="s">
        <v>105</v>
      </c>
      <c r="Q1144" s="24">
        <f>uurtarief54</f>
        <v>0</v>
      </c>
      <c r="R1144" s="95" t="e">
        <f>IF(ISBLANK(N1144),0,M1144/ROUND(N1144,4))</f>
        <v>#DIV/0!</v>
      </c>
      <c r="S1144" s="95" t="e">
        <f>IF(ISBLANK(N1144),0,R1144*ROUND(O1144,2))</f>
        <v>#DIV/0!</v>
      </c>
      <c r="T1144" s="24" t="e">
        <f>ROUND(Q1144,2)*R1144</f>
        <v>#DIV/0!</v>
      </c>
      <c r="U1144" s="95" t="e">
        <f>R1144*dagenperjaar1</f>
        <v>#DIV/0!</v>
      </c>
      <c r="V1144" s="25" t="e">
        <f>U1144*ROUND(Q1144,2)</f>
        <v>#DIV/0!</v>
      </c>
    </row>
    <row r="1145" spans="1:22" x14ac:dyDescent="0.2">
      <c r="A1145" s="92" t="s">
        <v>946</v>
      </c>
      <c r="B1145" s="93" t="s">
        <v>47</v>
      </c>
      <c r="C1145" s="93" t="s">
        <v>558</v>
      </c>
      <c r="D1145" s="93" t="s">
        <v>1070</v>
      </c>
      <c r="E1145" s="94" t="s">
        <v>1071</v>
      </c>
      <c r="F1145" s="93" t="s">
        <v>397</v>
      </c>
      <c r="G1145" s="93" t="s">
        <v>280</v>
      </c>
      <c r="H1145" s="93" t="s">
        <v>22</v>
      </c>
      <c r="I1145" s="93" t="s">
        <v>255</v>
      </c>
      <c r="J1145" s="93" t="s">
        <v>47</v>
      </c>
      <c r="K1145" s="93"/>
      <c r="L1145" s="95">
        <v>7.83</v>
      </c>
      <c r="M1145" s="95">
        <f>L1145*VLOOKUP(H1145,dagsoorttabel1,2,FALSE)</f>
        <v>1.2282352941176471</v>
      </c>
      <c r="N1145" s="96">
        <f>prodnorm54</f>
        <v>0</v>
      </c>
      <c r="O1145" s="37">
        <f>dagwerk54</f>
        <v>0</v>
      </c>
      <c r="P1145" s="93" t="s">
        <v>105</v>
      </c>
      <c r="Q1145" s="24">
        <f>uurtarief54</f>
        <v>0</v>
      </c>
      <c r="R1145" s="95" t="e">
        <f>IF(ISBLANK(N1145),0,M1145/ROUND(N1145,4))</f>
        <v>#DIV/0!</v>
      </c>
      <c r="S1145" s="95" t="e">
        <f>IF(ISBLANK(N1145),0,R1145*ROUND(O1145,2))</f>
        <v>#DIV/0!</v>
      </c>
      <c r="T1145" s="24" t="e">
        <f>ROUND(Q1145,2)*R1145</f>
        <v>#DIV/0!</v>
      </c>
      <c r="U1145" s="95" t="e">
        <f>R1145*dagenperjaar1</f>
        <v>#DIV/0!</v>
      </c>
      <c r="V1145" s="25" t="e">
        <f>U1145*ROUND(Q1145,2)</f>
        <v>#DIV/0!</v>
      </c>
    </row>
    <row r="1146" spans="1:22" ht="25.2" x14ac:dyDescent="0.2">
      <c r="A1146" s="92" t="s">
        <v>946</v>
      </c>
      <c r="B1146" s="93" t="s">
        <v>47</v>
      </c>
      <c r="C1146" s="93" t="s">
        <v>558</v>
      </c>
      <c r="D1146" s="93" t="s">
        <v>1072</v>
      </c>
      <c r="E1146" s="94" t="s">
        <v>1073</v>
      </c>
      <c r="F1146" s="93" t="s">
        <v>397</v>
      </c>
      <c r="G1146" s="93" t="s">
        <v>284</v>
      </c>
      <c r="H1146" s="93" t="s">
        <v>18</v>
      </c>
      <c r="I1146" s="93" t="s">
        <v>255</v>
      </c>
      <c r="J1146" s="93" t="s">
        <v>47</v>
      </c>
      <c r="K1146" s="93"/>
      <c r="L1146" s="95">
        <v>4.6499999999999995</v>
      </c>
      <c r="M1146" s="95">
        <f>L1146*VLOOKUP(H1146,dagsoorttabel1,2,FALSE)</f>
        <v>1.8599999999999999</v>
      </c>
      <c r="N1146" s="96">
        <f>prodnorm57</f>
        <v>0</v>
      </c>
      <c r="O1146" s="37">
        <f>dagwerk57</f>
        <v>0</v>
      </c>
      <c r="P1146" s="93" t="s">
        <v>105</v>
      </c>
      <c r="Q1146" s="24">
        <f>uurtarief57</f>
        <v>0</v>
      </c>
      <c r="R1146" s="95" t="e">
        <f>IF(ISBLANK(N1146),0,M1146/ROUND(N1146,4))</f>
        <v>#DIV/0!</v>
      </c>
      <c r="S1146" s="95" t="e">
        <f>IF(ISBLANK(N1146),0,R1146*ROUND(O1146,2))</f>
        <v>#DIV/0!</v>
      </c>
      <c r="T1146" s="24" t="e">
        <f>ROUND(Q1146,2)*R1146</f>
        <v>#DIV/0!</v>
      </c>
      <c r="U1146" s="95" t="e">
        <f>R1146*dagenperjaar1</f>
        <v>#DIV/0!</v>
      </c>
      <c r="V1146" s="25" t="e">
        <f>U1146*ROUND(Q1146,2)</f>
        <v>#DIV/0!</v>
      </c>
    </row>
    <row r="1147" spans="1:22" x14ac:dyDescent="0.2">
      <c r="A1147" s="92" t="s">
        <v>946</v>
      </c>
      <c r="B1147" s="93" t="s">
        <v>47</v>
      </c>
      <c r="C1147" s="93" t="s">
        <v>558</v>
      </c>
      <c r="D1147" s="93" t="s">
        <v>1074</v>
      </c>
      <c r="E1147" s="94" t="s">
        <v>677</v>
      </c>
      <c r="F1147" s="93" t="s">
        <v>397</v>
      </c>
      <c r="G1147" s="93" t="s">
        <v>304</v>
      </c>
      <c r="H1147" s="93" t="s">
        <v>10</v>
      </c>
      <c r="I1147" s="93" t="s">
        <v>255</v>
      </c>
      <c r="J1147" s="93" t="s">
        <v>47</v>
      </c>
      <c r="K1147" s="93"/>
      <c r="L1147" s="95">
        <v>1.57</v>
      </c>
      <c r="M1147" s="95">
        <f>L1147*VLOOKUP(H1147,dagsoorttabel1,2,FALSE)</f>
        <v>1.57</v>
      </c>
      <c r="N1147" s="96">
        <f>prodnorm75</f>
        <v>0</v>
      </c>
      <c r="O1147" s="37">
        <f>dagwerk75</f>
        <v>0</v>
      </c>
      <c r="P1147" s="93" t="s">
        <v>105</v>
      </c>
      <c r="Q1147" s="24">
        <f>uurtarief75</f>
        <v>0</v>
      </c>
      <c r="R1147" s="95" t="e">
        <f>IF(ISBLANK(N1147),0,M1147/ROUND(N1147,4))</f>
        <v>#DIV/0!</v>
      </c>
      <c r="S1147" s="95" t="e">
        <f>IF(ISBLANK(N1147),0,R1147*ROUND(O1147,2))</f>
        <v>#DIV/0!</v>
      </c>
      <c r="T1147" s="24" t="e">
        <f>ROUND(Q1147,2)*R1147</f>
        <v>#DIV/0!</v>
      </c>
      <c r="U1147" s="95" t="e">
        <f>R1147*dagenperjaar1</f>
        <v>#DIV/0!</v>
      </c>
      <c r="V1147" s="25" t="e">
        <f>U1147*ROUND(Q1147,2)</f>
        <v>#DIV/0!</v>
      </c>
    </row>
    <row r="1148" spans="1:22" ht="25.2" x14ac:dyDescent="0.2">
      <c r="A1148" s="92" t="s">
        <v>946</v>
      </c>
      <c r="B1148" s="93" t="s">
        <v>47</v>
      </c>
      <c r="C1148" s="93" t="s">
        <v>558</v>
      </c>
      <c r="D1148" s="93" t="s">
        <v>1075</v>
      </c>
      <c r="E1148" s="94" t="s">
        <v>1073</v>
      </c>
      <c r="F1148" s="93" t="s">
        <v>397</v>
      </c>
      <c r="G1148" s="93" t="s">
        <v>284</v>
      </c>
      <c r="H1148" s="93" t="s">
        <v>13</v>
      </c>
      <c r="I1148" s="93" t="s">
        <v>255</v>
      </c>
      <c r="J1148" s="93" t="s">
        <v>47</v>
      </c>
      <c r="K1148" s="93"/>
      <c r="L1148" s="95">
        <v>4.6399999999999997</v>
      </c>
      <c r="M1148" s="95">
        <f>L1148*VLOOKUP(H1148,dagsoorttabel1,2,FALSE)</f>
        <v>3.6392156862745093</v>
      </c>
      <c r="N1148" s="96">
        <f>prodnorm58</f>
        <v>0</v>
      </c>
      <c r="O1148" s="37">
        <f>dagwerk58</f>
        <v>0</v>
      </c>
      <c r="P1148" s="93" t="s">
        <v>105</v>
      </c>
      <c r="Q1148" s="24">
        <f>uurtarief58</f>
        <v>0</v>
      </c>
      <c r="R1148" s="95" t="e">
        <f>IF(ISBLANK(N1148),0,M1148/ROUND(N1148,4))</f>
        <v>#DIV/0!</v>
      </c>
      <c r="S1148" s="95" t="e">
        <f>IF(ISBLANK(N1148),0,R1148*ROUND(O1148,2))</f>
        <v>#DIV/0!</v>
      </c>
      <c r="T1148" s="24" t="e">
        <f>ROUND(Q1148,2)*R1148</f>
        <v>#DIV/0!</v>
      </c>
      <c r="U1148" s="95" t="e">
        <f>R1148*dagenperjaar1</f>
        <v>#DIV/0!</v>
      </c>
      <c r="V1148" s="25" t="e">
        <f>U1148*ROUND(Q1148,2)</f>
        <v>#DIV/0!</v>
      </c>
    </row>
    <row r="1149" spans="1:22" x14ac:dyDescent="0.2">
      <c r="A1149" s="92" t="s">
        <v>946</v>
      </c>
      <c r="B1149" s="93" t="s">
        <v>47</v>
      </c>
      <c r="C1149" s="93" t="s">
        <v>558</v>
      </c>
      <c r="D1149" s="93" t="s">
        <v>1076</v>
      </c>
      <c r="E1149" s="94" t="s">
        <v>677</v>
      </c>
      <c r="F1149" s="93" t="s">
        <v>397</v>
      </c>
      <c r="G1149" s="93" t="s">
        <v>302</v>
      </c>
      <c r="H1149" s="93" t="s">
        <v>13</v>
      </c>
      <c r="I1149" s="93" t="s">
        <v>255</v>
      </c>
      <c r="J1149" s="93" t="s">
        <v>47</v>
      </c>
      <c r="K1149" s="93"/>
      <c r="L1149" s="95">
        <v>1.57</v>
      </c>
      <c r="M1149" s="95">
        <f>L1149*VLOOKUP(H1149,dagsoorttabel1,2,FALSE)</f>
        <v>1.2313725490196079</v>
      </c>
      <c r="N1149" s="96">
        <f>prodnorm73</f>
        <v>0</v>
      </c>
      <c r="O1149" s="37">
        <f>dagwerk73</f>
        <v>0</v>
      </c>
      <c r="P1149" s="93" t="s">
        <v>105</v>
      </c>
      <c r="Q1149" s="24">
        <f>uurtarief73</f>
        <v>0</v>
      </c>
      <c r="R1149" s="95" t="e">
        <f>IF(ISBLANK(N1149),0,M1149/ROUND(N1149,4))</f>
        <v>#DIV/0!</v>
      </c>
      <c r="S1149" s="95" t="e">
        <f>IF(ISBLANK(N1149),0,R1149*ROUND(O1149,2))</f>
        <v>#DIV/0!</v>
      </c>
      <c r="T1149" s="24" t="e">
        <f>ROUND(Q1149,2)*R1149</f>
        <v>#DIV/0!</v>
      </c>
      <c r="U1149" s="95" t="e">
        <f>R1149*dagenperjaar1</f>
        <v>#DIV/0!</v>
      </c>
      <c r="V1149" s="25" t="e">
        <f>U1149*ROUND(Q1149,2)</f>
        <v>#DIV/0!</v>
      </c>
    </row>
    <row r="1150" spans="1:22" x14ac:dyDescent="0.2">
      <c r="A1150" s="92" t="s">
        <v>946</v>
      </c>
      <c r="B1150" s="93" t="s">
        <v>47</v>
      </c>
      <c r="C1150" s="93" t="s">
        <v>558</v>
      </c>
      <c r="D1150" s="93" t="s">
        <v>1077</v>
      </c>
      <c r="E1150" s="94" t="s">
        <v>637</v>
      </c>
      <c r="F1150" s="93" t="s">
        <v>397</v>
      </c>
      <c r="G1150" s="93" t="s">
        <v>308</v>
      </c>
      <c r="H1150" s="93" t="s">
        <v>10</v>
      </c>
      <c r="I1150" s="93" t="s">
        <v>255</v>
      </c>
      <c r="J1150" s="93" t="s">
        <v>47</v>
      </c>
      <c r="K1150" s="93"/>
      <c r="L1150" s="95">
        <v>18.810000000000002</v>
      </c>
      <c r="M1150" s="95">
        <f>L1150*VLOOKUP(H1150,dagsoorttabel1,2,FALSE)</f>
        <v>18.810000000000002</v>
      </c>
      <c r="N1150" s="96">
        <f>prodnorm82</f>
        <v>0</v>
      </c>
      <c r="O1150" s="37">
        <f>dagwerk82</f>
        <v>0</v>
      </c>
      <c r="P1150" s="93" t="s">
        <v>105</v>
      </c>
      <c r="Q1150" s="24">
        <f>uurtarief82</f>
        <v>0</v>
      </c>
      <c r="R1150" s="95" t="e">
        <f>IF(ISBLANK(N1150),0,M1150/ROUND(N1150,4))</f>
        <v>#DIV/0!</v>
      </c>
      <c r="S1150" s="95" t="e">
        <f>IF(ISBLANK(N1150),0,R1150*ROUND(O1150,2))</f>
        <v>#DIV/0!</v>
      </c>
      <c r="T1150" s="24" t="e">
        <f>ROUND(Q1150,2)*R1150</f>
        <v>#DIV/0!</v>
      </c>
      <c r="U1150" s="95" t="e">
        <f>R1150*dagenperjaar1</f>
        <v>#DIV/0!</v>
      </c>
      <c r="V1150" s="25" t="e">
        <f>U1150*ROUND(Q1150,2)</f>
        <v>#DIV/0!</v>
      </c>
    </row>
    <row r="1151" spans="1:22" x14ac:dyDescent="0.2">
      <c r="A1151" s="92" t="s">
        <v>946</v>
      </c>
      <c r="B1151" s="93" t="s">
        <v>47</v>
      </c>
      <c r="C1151" s="93" t="s">
        <v>558</v>
      </c>
      <c r="D1151" s="93" t="s">
        <v>1078</v>
      </c>
      <c r="E1151" s="94" t="s">
        <v>1079</v>
      </c>
      <c r="F1151" s="93" t="s">
        <v>397</v>
      </c>
      <c r="G1151" s="93" t="s">
        <v>314</v>
      </c>
      <c r="H1151" s="93" t="s">
        <v>13</v>
      </c>
      <c r="I1151" s="93" t="s">
        <v>255</v>
      </c>
      <c r="J1151" s="93" t="s">
        <v>47</v>
      </c>
      <c r="K1151" s="93"/>
      <c r="L1151" s="95">
        <v>69.069999999999993</v>
      </c>
      <c r="M1151" s="95">
        <f>L1151*VLOOKUP(H1151,dagsoorttabel1,2,FALSE)</f>
        <v>54.172549019607835</v>
      </c>
      <c r="N1151" s="96">
        <f>prodnorm88</f>
        <v>0</v>
      </c>
      <c r="O1151" s="37">
        <f>dagwerk88</f>
        <v>0</v>
      </c>
      <c r="P1151" s="93" t="s">
        <v>105</v>
      </c>
      <c r="Q1151" s="24">
        <f>uurtarief88</f>
        <v>0</v>
      </c>
      <c r="R1151" s="95" t="e">
        <f>IF(ISBLANK(N1151),0,M1151/ROUND(N1151,4))</f>
        <v>#DIV/0!</v>
      </c>
      <c r="S1151" s="95" t="e">
        <f>IF(ISBLANK(N1151),0,R1151*ROUND(O1151,2))</f>
        <v>#DIV/0!</v>
      </c>
      <c r="T1151" s="24" t="e">
        <f>ROUND(Q1151,2)*R1151</f>
        <v>#DIV/0!</v>
      </c>
      <c r="U1151" s="95" t="e">
        <f>R1151*dagenperjaar1</f>
        <v>#DIV/0!</v>
      </c>
      <c r="V1151" s="25" t="e">
        <f>U1151*ROUND(Q1151,2)</f>
        <v>#DIV/0!</v>
      </c>
    </row>
    <row r="1152" spans="1:22" x14ac:dyDescent="0.2">
      <c r="A1152" s="92" t="s">
        <v>946</v>
      </c>
      <c r="B1152" s="93" t="s">
        <v>47</v>
      </c>
      <c r="C1152" s="93" t="s">
        <v>558</v>
      </c>
      <c r="D1152" s="93" t="s">
        <v>1080</v>
      </c>
      <c r="E1152" s="94" t="s">
        <v>1081</v>
      </c>
      <c r="F1152" s="93" t="s">
        <v>397</v>
      </c>
      <c r="G1152" s="93" t="s">
        <v>284</v>
      </c>
      <c r="H1152" s="93" t="s">
        <v>13</v>
      </c>
      <c r="I1152" s="93" t="s">
        <v>255</v>
      </c>
      <c r="J1152" s="93" t="s">
        <v>47</v>
      </c>
      <c r="K1152" s="93"/>
      <c r="L1152" s="95">
        <v>29.37</v>
      </c>
      <c r="M1152" s="95">
        <f>L1152*VLOOKUP(H1152,dagsoorttabel1,2,FALSE)</f>
        <v>23.035294117647059</v>
      </c>
      <c r="N1152" s="96">
        <f>prodnorm58</f>
        <v>0</v>
      </c>
      <c r="O1152" s="37">
        <f>dagwerk58</f>
        <v>0</v>
      </c>
      <c r="P1152" s="93" t="s">
        <v>105</v>
      </c>
      <c r="Q1152" s="24">
        <f>uurtarief58</f>
        <v>0</v>
      </c>
      <c r="R1152" s="95" t="e">
        <f>IF(ISBLANK(N1152),0,M1152/ROUND(N1152,4))</f>
        <v>#DIV/0!</v>
      </c>
      <c r="S1152" s="95" t="e">
        <f>IF(ISBLANK(N1152),0,R1152*ROUND(O1152,2))</f>
        <v>#DIV/0!</v>
      </c>
      <c r="T1152" s="24" t="e">
        <f>ROUND(Q1152,2)*R1152</f>
        <v>#DIV/0!</v>
      </c>
      <c r="U1152" s="95" t="e">
        <f>R1152*dagenperjaar1</f>
        <v>#DIV/0!</v>
      </c>
      <c r="V1152" s="25" t="e">
        <f>U1152*ROUND(Q1152,2)</f>
        <v>#DIV/0!</v>
      </c>
    </row>
    <row r="1153" spans="1:22" x14ac:dyDescent="0.2">
      <c r="A1153" s="92" t="s">
        <v>946</v>
      </c>
      <c r="B1153" s="93" t="s">
        <v>47</v>
      </c>
      <c r="C1153" s="93" t="s">
        <v>558</v>
      </c>
      <c r="D1153" s="93" t="s">
        <v>1082</v>
      </c>
      <c r="E1153" s="94" t="s">
        <v>1003</v>
      </c>
      <c r="F1153" s="93" t="s">
        <v>397</v>
      </c>
      <c r="G1153" s="93" t="s">
        <v>266</v>
      </c>
      <c r="H1153" s="93" t="s">
        <v>13</v>
      </c>
      <c r="I1153" s="93" t="s">
        <v>255</v>
      </c>
      <c r="J1153" s="93" t="s">
        <v>47</v>
      </c>
      <c r="K1153" s="93"/>
      <c r="L1153" s="95">
        <v>10.01</v>
      </c>
      <c r="M1153" s="95">
        <f>L1153*VLOOKUP(H1153,dagsoorttabel1,2,FALSE)</f>
        <v>7.8509803921568624</v>
      </c>
      <c r="N1153" s="96">
        <f>prodnorm40</f>
        <v>0</v>
      </c>
      <c r="O1153" s="37">
        <f>dagwerk40</f>
        <v>0</v>
      </c>
      <c r="P1153" s="93" t="s">
        <v>105</v>
      </c>
      <c r="Q1153" s="24">
        <f>uurtarief40</f>
        <v>0</v>
      </c>
      <c r="R1153" s="95" t="e">
        <f>IF(ISBLANK(N1153),0,M1153/ROUND(N1153,4))</f>
        <v>#DIV/0!</v>
      </c>
      <c r="S1153" s="95" t="e">
        <f>IF(ISBLANK(N1153),0,R1153*ROUND(O1153,2))</f>
        <v>#DIV/0!</v>
      </c>
      <c r="T1153" s="24" t="e">
        <f>ROUND(Q1153,2)*R1153</f>
        <v>#DIV/0!</v>
      </c>
      <c r="U1153" s="95" t="e">
        <f>R1153*dagenperjaar1</f>
        <v>#DIV/0!</v>
      </c>
      <c r="V1153" s="25" t="e">
        <f>U1153*ROUND(Q1153,2)</f>
        <v>#DIV/0!</v>
      </c>
    </row>
    <row r="1154" spans="1:22" x14ac:dyDescent="0.2">
      <c r="A1154" s="92" t="s">
        <v>946</v>
      </c>
      <c r="B1154" s="93" t="s">
        <v>47</v>
      </c>
      <c r="C1154" s="93" t="s">
        <v>558</v>
      </c>
      <c r="D1154" s="93" t="s">
        <v>1083</v>
      </c>
      <c r="E1154" s="94" t="s">
        <v>677</v>
      </c>
      <c r="F1154" s="93" t="s">
        <v>397</v>
      </c>
      <c r="G1154" s="93" t="s">
        <v>304</v>
      </c>
      <c r="H1154" s="93" t="s">
        <v>13</v>
      </c>
      <c r="I1154" s="93" t="s">
        <v>255</v>
      </c>
      <c r="J1154" s="93" t="s">
        <v>47</v>
      </c>
      <c r="K1154" s="93"/>
      <c r="L1154" s="95">
        <v>3.4099999999999997</v>
      </c>
      <c r="M1154" s="95">
        <f>L1154*VLOOKUP(H1154,dagsoorttabel1,2,FALSE)</f>
        <v>2.6745098039215685</v>
      </c>
      <c r="N1154" s="96">
        <f>prodnorm74</f>
        <v>0</v>
      </c>
      <c r="O1154" s="37">
        <f>dagwerk74</f>
        <v>0</v>
      </c>
      <c r="P1154" s="93" t="s">
        <v>105</v>
      </c>
      <c r="Q1154" s="24">
        <f>uurtarief74</f>
        <v>0</v>
      </c>
      <c r="R1154" s="95" t="e">
        <f>IF(ISBLANK(N1154),0,M1154/ROUND(N1154,4))</f>
        <v>#DIV/0!</v>
      </c>
      <c r="S1154" s="95" t="e">
        <f>IF(ISBLANK(N1154),0,R1154*ROUND(O1154,2))</f>
        <v>#DIV/0!</v>
      </c>
      <c r="T1154" s="24" t="e">
        <f>ROUND(Q1154,2)*R1154</f>
        <v>#DIV/0!</v>
      </c>
      <c r="U1154" s="95" t="e">
        <f>R1154*dagenperjaar1</f>
        <v>#DIV/0!</v>
      </c>
      <c r="V1154" s="25" t="e">
        <f>U1154*ROUND(Q1154,2)</f>
        <v>#DIV/0!</v>
      </c>
    </row>
    <row r="1155" spans="1:22" x14ac:dyDescent="0.2">
      <c r="A1155" s="92" t="s">
        <v>946</v>
      </c>
      <c r="B1155" s="93" t="s">
        <v>47</v>
      </c>
      <c r="C1155" s="93" t="s">
        <v>558</v>
      </c>
      <c r="D1155" s="93" t="s">
        <v>1084</v>
      </c>
      <c r="E1155" s="94" t="s">
        <v>1085</v>
      </c>
      <c r="F1155" s="93" t="s">
        <v>397</v>
      </c>
      <c r="G1155" s="93" t="s">
        <v>284</v>
      </c>
      <c r="H1155" s="93" t="s">
        <v>13</v>
      </c>
      <c r="I1155" s="93" t="s">
        <v>255</v>
      </c>
      <c r="J1155" s="93" t="s">
        <v>47</v>
      </c>
      <c r="K1155" s="93"/>
      <c r="L1155" s="95">
        <v>29.17</v>
      </c>
      <c r="M1155" s="95">
        <f>L1155*VLOOKUP(H1155,dagsoorttabel1,2,FALSE)</f>
        <v>22.87843137254902</v>
      </c>
      <c r="N1155" s="96">
        <f>prodnorm58</f>
        <v>0</v>
      </c>
      <c r="O1155" s="37">
        <f>dagwerk58</f>
        <v>0</v>
      </c>
      <c r="P1155" s="93" t="s">
        <v>105</v>
      </c>
      <c r="Q1155" s="24">
        <f>uurtarief58</f>
        <v>0</v>
      </c>
      <c r="R1155" s="95" t="e">
        <f>IF(ISBLANK(N1155),0,M1155/ROUND(N1155,4))</f>
        <v>#DIV/0!</v>
      </c>
      <c r="S1155" s="95" t="e">
        <f>IF(ISBLANK(N1155),0,R1155*ROUND(O1155,2))</f>
        <v>#DIV/0!</v>
      </c>
      <c r="T1155" s="24" t="e">
        <f>ROUND(Q1155,2)*R1155</f>
        <v>#DIV/0!</v>
      </c>
      <c r="U1155" s="95" t="e">
        <f>R1155*dagenperjaar1</f>
        <v>#DIV/0!</v>
      </c>
      <c r="V1155" s="25" t="e">
        <f>U1155*ROUND(Q1155,2)</f>
        <v>#DIV/0!</v>
      </c>
    </row>
    <row r="1156" spans="1:22" x14ac:dyDescent="0.2">
      <c r="A1156" s="92" t="s">
        <v>946</v>
      </c>
      <c r="B1156" s="93" t="s">
        <v>47</v>
      </c>
      <c r="C1156" s="93" t="s">
        <v>558</v>
      </c>
      <c r="D1156" s="93" t="s">
        <v>1086</v>
      </c>
      <c r="E1156" s="94" t="s">
        <v>1003</v>
      </c>
      <c r="F1156" s="93" t="s">
        <v>397</v>
      </c>
      <c r="G1156" s="93" t="s">
        <v>266</v>
      </c>
      <c r="H1156" s="93" t="s">
        <v>13</v>
      </c>
      <c r="I1156" s="93" t="s">
        <v>255</v>
      </c>
      <c r="J1156" s="93" t="s">
        <v>47</v>
      </c>
      <c r="K1156" s="93"/>
      <c r="L1156" s="95">
        <v>9.17</v>
      </c>
      <c r="M1156" s="95">
        <f>L1156*VLOOKUP(H1156,dagsoorttabel1,2,FALSE)</f>
        <v>7.1921568627450982</v>
      </c>
      <c r="N1156" s="96">
        <f>prodnorm40</f>
        <v>0</v>
      </c>
      <c r="O1156" s="37">
        <f>dagwerk40</f>
        <v>0</v>
      </c>
      <c r="P1156" s="93" t="s">
        <v>105</v>
      </c>
      <c r="Q1156" s="24">
        <f>uurtarief40</f>
        <v>0</v>
      </c>
      <c r="R1156" s="95" t="e">
        <f>IF(ISBLANK(N1156),0,M1156/ROUND(N1156,4))</f>
        <v>#DIV/0!</v>
      </c>
      <c r="S1156" s="95" t="e">
        <f>IF(ISBLANK(N1156),0,R1156*ROUND(O1156,2))</f>
        <v>#DIV/0!</v>
      </c>
      <c r="T1156" s="24" t="e">
        <f>ROUND(Q1156,2)*R1156</f>
        <v>#DIV/0!</v>
      </c>
      <c r="U1156" s="95" t="e">
        <f>R1156*dagenperjaar1</f>
        <v>#DIV/0!</v>
      </c>
      <c r="V1156" s="25" t="e">
        <f>U1156*ROUND(Q1156,2)</f>
        <v>#DIV/0!</v>
      </c>
    </row>
    <row r="1157" spans="1:22" x14ac:dyDescent="0.2">
      <c r="A1157" s="92" t="s">
        <v>946</v>
      </c>
      <c r="B1157" s="93" t="s">
        <v>47</v>
      </c>
      <c r="C1157" s="93" t="s">
        <v>558</v>
      </c>
      <c r="D1157" s="93" t="s">
        <v>1087</v>
      </c>
      <c r="E1157" s="94" t="s">
        <v>677</v>
      </c>
      <c r="F1157" s="93" t="s">
        <v>397</v>
      </c>
      <c r="G1157" s="93" t="s">
        <v>304</v>
      </c>
      <c r="H1157" s="93" t="s">
        <v>13</v>
      </c>
      <c r="I1157" s="93" t="s">
        <v>255</v>
      </c>
      <c r="J1157" s="93" t="s">
        <v>47</v>
      </c>
      <c r="K1157" s="93"/>
      <c r="L1157" s="95">
        <v>3.4099999999999997</v>
      </c>
      <c r="M1157" s="95">
        <f>L1157*VLOOKUP(H1157,dagsoorttabel1,2,FALSE)</f>
        <v>2.6745098039215685</v>
      </c>
      <c r="N1157" s="96">
        <f>prodnorm74</f>
        <v>0</v>
      </c>
      <c r="O1157" s="37">
        <f>dagwerk74</f>
        <v>0</v>
      </c>
      <c r="P1157" s="93" t="s">
        <v>105</v>
      </c>
      <c r="Q1157" s="24">
        <f>uurtarief74</f>
        <v>0</v>
      </c>
      <c r="R1157" s="95" t="e">
        <f>IF(ISBLANK(N1157),0,M1157/ROUND(N1157,4))</f>
        <v>#DIV/0!</v>
      </c>
      <c r="S1157" s="95" t="e">
        <f>IF(ISBLANK(N1157),0,R1157*ROUND(O1157,2))</f>
        <v>#DIV/0!</v>
      </c>
      <c r="T1157" s="24" t="e">
        <f>ROUND(Q1157,2)*R1157</f>
        <v>#DIV/0!</v>
      </c>
      <c r="U1157" s="95" t="e">
        <f>R1157*dagenperjaar1</f>
        <v>#DIV/0!</v>
      </c>
      <c r="V1157" s="25" t="e">
        <f>U1157*ROUND(Q1157,2)</f>
        <v>#DIV/0!</v>
      </c>
    </row>
    <row r="1158" spans="1:22" x14ac:dyDescent="0.2">
      <c r="A1158" s="92" t="s">
        <v>946</v>
      </c>
      <c r="B1158" s="93" t="s">
        <v>47</v>
      </c>
      <c r="C1158" s="93" t="s">
        <v>558</v>
      </c>
      <c r="D1158" s="93" t="s">
        <v>1087</v>
      </c>
      <c r="E1158" s="94" t="s">
        <v>677</v>
      </c>
      <c r="F1158" s="93" t="s">
        <v>397</v>
      </c>
      <c r="G1158" s="93" t="s">
        <v>306</v>
      </c>
      <c r="H1158" s="93" t="s">
        <v>13</v>
      </c>
      <c r="I1158" s="93" t="s">
        <v>255</v>
      </c>
      <c r="J1158" s="93" t="s">
        <v>47</v>
      </c>
      <c r="K1158" s="93"/>
      <c r="L1158" s="95">
        <v>3.4099999999999997</v>
      </c>
      <c r="M1158" s="95">
        <f>L1158*VLOOKUP(H1158,dagsoorttabel1,2,FALSE)</f>
        <v>2.6745098039215685</v>
      </c>
      <c r="N1158" s="96">
        <f>prodnorm78</f>
        <v>0</v>
      </c>
      <c r="O1158" s="37">
        <f>dagwerk78</f>
        <v>0</v>
      </c>
      <c r="P1158" s="93" t="s">
        <v>105</v>
      </c>
      <c r="Q1158" s="24">
        <f>uurtarief78</f>
        <v>0</v>
      </c>
      <c r="R1158" s="95" t="e">
        <f>IF(ISBLANK(N1158),0,M1158/ROUND(N1158,4))</f>
        <v>#DIV/0!</v>
      </c>
      <c r="S1158" s="95" t="e">
        <f>IF(ISBLANK(N1158),0,R1158*ROUND(O1158,2))</f>
        <v>#DIV/0!</v>
      </c>
      <c r="T1158" s="24" t="e">
        <f>ROUND(Q1158,2)*R1158</f>
        <v>#DIV/0!</v>
      </c>
      <c r="U1158" s="95" t="e">
        <f>R1158*dagenperjaar1</f>
        <v>#DIV/0!</v>
      </c>
      <c r="V1158" s="25" t="e">
        <f>U1158*ROUND(Q1158,2)</f>
        <v>#DIV/0!</v>
      </c>
    </row>
    <row r="1159" spans="1:22" x14ac:dyDescent="0.2">
      <c r="A1159" s="92" t="s">
        <v>946</v>
      </c>
      <c r="B1159" s="93" t="s">
        <v>47</v>
      </c>
      <c r="C1159" s="93" t="s">
        <v>558</v>
      </c>
      <c r="D1159" s="93" t="s">
        <v>1088</v>
      </c>
      <c r="E1159" s="94" t="s">
        <v>1089</v>
      </c>
      <c r="F1159" s="93" t="s">
        <v>397</v>
      </c>
      <c r="G1159" s="93" t="s">
        <v>284</v>
      </c>
      <c r="H1159" s="93" t="s">
        <v>13</v>
      </c>
      <c r="I1159" s="93" t="s">
        <v>255</v>
      </c>
      <c r="J1159" s="93" t="s">
        <v>47</v>
      </c>
      <c r="K1159" s="93"/>
      <c r="L1159" s="95">
        <v>29.07</v>
      </c>
      <c r="M1159" s="95">
        <f>L1159*VLOOKUP(H1159,dagsoorttabel1,2,FALSE)</f>
        <v>22.8</v>
      </c>
      <c r="N1159" s="96">
        <f>prodnorm58</f>
        <v>0</v>
      </c>
      <c r="O1159" s="37">
        <f>dagwerk58</f>
        <v>0</v>
      </c>
      <c r="P1159" s="93" t="s">
        <v>105</v>
      </c>
      <c r="Q1159" s="24">
        <f>uurtarief58</f>
        <v>0</v>
      </c>
      <c r="R1159" s="95" t="e">
        <f>IF(ISBLANK(N1159),0,M1159/ROUND(N1159,4))</f>
        <v>#DIV/0!</v>
      </c>
      <c r="S1159" s="95" t="e">
        <f>IF(ISBLANK(N1159),0,R1159*ROUND(O1159,2))</f>
        <v>#DIV/0!</v>
      </c>
      <c r="T1159" s="24" t="e">
        <f>ROUND(Q1159,2)*R1159</f>
        <v>#DIV/0!</v>
      </c>
      <c r="U1159" s="95" t="e">
        <f>R1159*dagenperjaar1</f>
        <v>#DIV/0!</v>
      </c>
      <c r="V1159" s="25" t="e">
        <f>U1159*ROUND(Q1159,2)</f>
        <v>#DIV/0!</v>
      </c>
    </row>
    <row r="1160" spans="1:22" x14ac:dyDescent="0.2">
      <c r="A1160" s="92" t="s">
        <v>946</v>
      </c>
      <c r="B1160" s="93" t="s">
        <v>47</v>
      </c>
      <c r="C1160" s="93" t="s">
        <v>558</v>
      </c>
      <c r="D1160" s="93" t="s">
        <v>1090</v>
      </c>
      <c r="E1160" s="94" t="s">
        <v>1003</v>
      </c>
      <c r="F1160" s="93" t="s">
        <v>397</v>
      </c>
      <c r="G1160" s="93" t="s">
        <v>266</v>
      </c>
      <c r="H1160" s="93" t="s">
        <v>13</v>
      </c>
      <c r="I1160" s="93" t="s">
        <v>255</v>
      </c>
      <c r="J1160" s="93" t="s">
        <v>47</v>
      </c>
      <c r="K1160" s="93"/>
      <c r="L1160" s="95">
        <v>10.01</v>
      </c>
      <c r="M1160" s="95">
        <f>L1160*VLOOKUP(H1160,dagsoorttabel1,2,FALSE)</f>
        <v>7.8509803921568624</v>
      </c>
      <c r="N1160" s="96">
        <f>prodnorm40</f>
        <v>0</v>
      </c>
      <c r="O1160" s="37">
        <f>dagwerk40</f>
        <v>0</v>
      </c>
      <c r="P1160" s="93" t="s">
        <v>105</v>
      </c>
      <c r="Q1160" s="24">
        <f>uurtarief40</f>
        <v>0</v>
      </c>
      <c r="R1160" s="95" t="e">
        <f>IF(ISBLANK(N1160),0,M1160/ROUND(N1160,4))</f>
        <v>#DIV/0!</v>
      </c>
      <c r="S1160" s="95" t="e">
        <f>IF(ISBLANK(N1160),0,R1160*ROUND(O1160,2))</f>
        <v>#DIV/0!</v>
      </c>
      <c r="T1160" s="24" t="e">
        <f>ROUND(Q1160,2)*R1160</f>
        <v>#DIV/0!</v>
      </c>
      <c r="U1160" s="95" t="e">
        <f>R1160*dagenperjaar1</f>
        <v>#DIV/0!</v>
      </c>
      <c r="V1160" s="25" t="e">
        <f>U1160*ROUND(Q1160,2)</f>
        <v>#DIV/0!</v>
      </c>
    </row>
    <row r="1161" spans="1:22" x14ac:dyDescent="0.2">
      <c r="A1161" s="92" t="s">
        <v>946</v>
      </c>
      <c r="B1161" s="93" t="s">
        <v>47</v>
      </c>
      <c r="C1161" s="93" t="s">
        <v>558</v>
      </c>
      <c r="D1161" s="93" t="s">
        <v>1091</v>
      </c>
      <c r="E1161" s="94" t="s">
        <v>677</v>
      </c>
      <c r="F1161" s="93" t="s">
        <v>397</v>
      </c>
      <c r="G1161" s="93" t="s">
        <v>304</v>
      </c>
      <c r="H1161" s="93" t="s">
        <v>13</v>
      </c>
      <c r="I1161" s="93" t="s">
        <v>255</v>
      </c>
      <c r="J1161" s="93" t="s">
        <v>47</v>
      </c>
      <c r="K1161" s="93"/>
      <c r="L1161" s="95">
        <v>3.24</v>
      </c>
      <c r="M1161" s="95">
        <f>L1161*VLOOKUP(H1161,dagsoorttabel1,2,FALSE)</f>
        <v>2.5411764705882356</v>
      </c>
      <c r="N1161" s="96">
        <f>prodnorm74</f>
        <v>0</v>
      </c>
      <c r="O1161" s="37">
        <f>dagwerk74</f>
        <v>0</v>
      </c>
      <c r="P1161" s="93" t="s">
        <v>105</v>
      </c>
      <c r="Q1161" s="24">
        <f>uurtarief74</f>
        <v>0</v>
      </c>
      <c r="R1161" s="95" t="e">
        <f>IF(ISBLANK(N1161),0,M1161/ROUND(N1161,4))</f>
        <v>#DIV/0!</v>
      </c>
      <c r="S1161" s="95" t="e">
        <f>IF(ISBLANK(N1161),0,R1161*ROUND(O1161,2))</f>
        <v>#DIV/0!</v>
      </c>
      <c r="T1161" s="24" t="e">
        <f>ROUND(Q1161,2)*R1161</f>
        <v>#DIV/0!</v>
      </c>
      <c r="U1161" s="95" t="e">
        <f>R1161*dagenperjaar1</f>
        <v>#DIV/0!</v>
      </c>
      <c r="V1161" s="25" t="e">
        <f>U1161*ROUND(Q1161,2)</f>
        <v>#DIV/0!</v>
      </c>
    </row>
    <row r="1162" spans="1:22" x14ac:dyDescent="0.2">
      <c r="A1162" s="92" t="s">
        <v>946</v>
      </c>
      <c r="B1162" s="93" t="s">
        <v>47</v>
      </c>
      <c r="C1162" s="93" t="s">
        <v>558</v>
      </c>
      <c r="D1162" s="93" t="s">
        <v>1092</v>
      </c>
      <c r="E1162" s="94" t="s">
        <v>1093</v>
      </c>
      <c r="F1162" s="93" t="s">
        <v>397</v>
      </c>
      <c r="G1162" s="93" t="s">
        <v>284</v>
      </c>
      <c r="H1162" s="93" t="s">
        <v>13</v>
      </c>
      <c r="I1162" s="93" t="s">
        <v>255</v>
      </c>
      <c r="J1162" s="93" t="s">
        <v>47</v>
      </c>
      <c r="K1162" s="93"/>
      <c r="L1162" s="95">
        <v>29.27</v>
      </c>
      <c r="M1162" s="95">
        <f>L1162*VLOOKUP(H1162,dagsoorttabel1,2,FALSE)</f>
        <v>22.956862745098039</v>
      </c>
      <c r="N1162" s="96">
        <f>prodnorm58</f>
        <v>0</v>
      </c>
      <c r="O1162" s="37">
        <f>dagwerk58</f>
        <v>0</v>
      </c>
      <c r="P1162" s="93" t="s">
        <v>105</v>
      </c>
      <c r="Q1162" s="24">
        <f>uurtarief58</f>
        <v>0</v>
      </c>
      <c r="R1162" s="95" t="e">
        <f>IF(ISBLANK(N1162),0,M1162/ROUND(N1162,4))</f>
        <v>#DIV/0!</v>
      </c>
      <c r="S1162" s="95" t="e">
        <f>IF(ISBLANK(N1162),0,R1162*ROUND(O1162,2))</f>
        <v>#DIV/0!</v>
      </c>
      <c r="T1162" s="24" t="e">
        <f>ROUND(Q1162,2)*R1162</f>
        <v>#DIV/0!</v>
      </c>
      <c r="U1162" s="95" t="e">
        <f>R1162*dagenperjaar1</f>
        <v>#DIV/0!</v>
      </c>
      <c r="V1162" s="25" t="e">
        <f>U1162*ROUND(Q1162,2)</f>
        <v>#DIV/0!</v>
      </c>
    </row>
    <row r="1163" spans="1:22" x14ac:dyDescent="0.2">
      <c r="A1163" s="92" t="s">
        <v>946</v>
      </c>
      <c r="B1163" s="93" t="s">
        <v>47</v>
      </c>
      <c r="C1163" s="93" t="s">
        <v>558</v>
      </c>
      <c r="D1163" s="93" t="s">
        <v>1094</v>
      </c>
      <c r="E1163" s="94" t="s">
        <v>1003</v>
      </c>
      <c r="F1163" s="93" t="s">
        <v>397</v>
      </c>
      <c r="G1163" s="93" t="s">
        <v>266</v>
      </c>
      <c r="H1163" s="93" t="s">
        <v>13</v>
      </c>
      <c r="I1163" s="93" t="s">
        <v>255</v>
      </c>
      <c r="J1163" s="93" t="s">
        <v>47</v>
      </c>
      <c r="K1163" s="93"/>
      <c r="L1163" s="95">
        <v>9.19</v>
      </c>
      <c r="M1163" s="95">
        <f>L1163*VLOOKUP(H1163,dagsoorttabel1,2,FALSE)</f>
        <v>7.2078431372549012</v>
      </c>
      <c r="N1163" s="96">
        <f>prodnorm40</f>
        <v>0</v>
      </c>
      <c r="O1163" s="37">
        <f>dagwerk40</f>
        <v>0</v>
      </c>
      <c r="P1163" s="93" t="s">
        <v>105</v>
      </c>
      <c r="Q1163" s="24">
        <f>uurtarief40</f>
        <v>0</v>
      </c>
      <c r="R1163" s="95" t="e">
        <f>IF(ISBLANK(N1163),0,M1163/ROUND(N1163,4))</f>
        <v>#DIV/0!</v>
      </c>
      <c r="S1163" s="95" t="e">
        <f>IF(ISBLANK(N1163),0,R1163*ROUND(O1163,2))</f>
        <v>#DIV/0!</v>
      </c>
      <c r="T1163" s="24" t="e">
        <f>ROUND(Q1163,2)*R1163</f>
        <v>#DIV/0!</v>
      </c>
      <c r="U1163" s="95" t="e">
        <f>R1163*dagenperjaar1</f>
        <v>#DIV/0!</v>
      </c>
      <c r="V1163" s="25" t="e">
        <f>U1163*ROUND(Q1163,2)</f>
        <v>#DIV/0!</v>
      </c>
    </row>
    <row r="1164" spans="1:22" x14ac:dyDescent="0.2">
      <c r="A1164" s="92" t="s">
        <v>946</v>
      </c>
      <c r="B1164" s="93" t="s">
        <v>47</v>
      </c>
      <c r="C1164" s="93" t="s">
        <v>558</v>
      </c>
      <c r="D1164" s="93" t="s">
        <v>1095</v>
      </c>
      <c r="E1164" s="94" t="s">
        <v>958</v>
      </c>
      <c r="F1164" s="93" t="s">
        <v>397</v>
      </c>
      <c r="G1164" s="93" t="s">
        <v>304</v>
      </c>
      <c r="H1164" s="93" t="s">
        <v>13</v>
      </c>
      <c r="I1164" s="93" t="s">
        <v>255</v>
      </c>
      <c r="J1164" s="93" t="s">
        <v>47</v>
      </c>
      <c r="K1164" s="93"/>
      <c r="L1164" s="95">
        <v>3.75</v>
      </c>
      <c r="M1164" s="95">
        <f>L1164*VLOOKUP(H1164,dagsoorttabel1,2,FALSE)</f>
        <v>2.9411764705882351</v>
      </c>
      <c r="N1164" s="96">
        <f>prodnorm74</f>
        <v>0</v>
      </c>
      <c r="O1164" s="37">
        <f>dagwerk74</f>
        <v>0</v>
      </c>
      <c r="P1164" s="93" t="s">
        <v>105</v>
      </c>
      <c r="Q1164" s="24">
        <f>uurtarief74</f>
        <v>0</v>
      </c>
      <c r="R1164" s="95" t="e">
        <f>IF(ISBLANK(N1164),0,M1164/ROUND(N1164,4))</f>
        <v>#DIV/0!</v>
      </c>
      <c r="S1164" s="95" t="e">
        <f>IF(ISBLANK(N1164),0,R1164*ROUND(O1164,2))</f>
        <v>#DIV/0!</v>
      </c>
      <c r="T1164" s="24" t="e">
        <f>ROUND(Q1164,2)*R1164</f>
        <v>#DIV/0!</v>
      </c>
      <c r="U1164" s="95" t="e">
        <f>R1164*dagenperjaar1</f>
        <v>#DIV/0!</v>
      </c>
      <c r="V1164" s="25" t="e">
        <f>U1164*ROUND(Q1164,2)</f>
        <v>#DIV/0!</v>
      </c>
    </row>
    <row r="1165" spans="1:22" x14ac:dyDescent="0.2">
      <c r="A1165" s="92" t="s">
        <v>946</v>
      </c>
      <c r="B1165" s="93" t="s">
        <v>47</v>
      </c>
      <c r="C1165" s="93" t="s">
        <v>558</v>
      </c>
      <c r="D1165" s="93" t="s">
        <v>1095</v>
      </c>
      <c r="E1165" s="94" t="s">
        <v>958</v>
      </c>
      <c r="F1165" s="93" t="s">
        <v>397</v>
      </c>
      <c r="G1165" s="93" t="s">
        <v>306</v>
      </c>
      <c r="H1165" s="93" t="s">
        <v>13</v>
      </c>
      <c r="I1165" s="93" t="s">
        <v>255</v>
      </c>
      <c r="J1165" s="93" t="s">
        <v>47</v>
      </c>
      <c r="K1165" s="93"/>
      <c r="L1165" s="95">
        <v>3.75</v>
      </c>
      <c r="M1165" s="95">
        <f>L1165*VLOOKUP(H1165,dagsoorttabel1,2,FALSE)</f>
        <v>2.9411764705882351</v>
      </c>
      <c r="N1165" s="96">
        <f>prodnorm78</f>
        <v>0</v>
      </c>
      <c r="O1165" s="37">
        <f>dagwerk78</f>
        <v>0</v>
      </c>
      <c r="P1165" s="93" t="s">
        <v>105</v>
      </c>
      <c r="Q1165" s="24">
        <f>uurtarief78</f>
        <v>0</v>
      </c>
      <c r="R1165" s="95" t="e">
        <f>IF(ISBLANK(N1165),0,M1165/ROUND(N1165,4))</f>
        <v>#DIV/0!</v>
      </c>
      <c r="S1165" s="95" t="e">
        <f>IF(ISBLANK(N1165),0,R1165*ROUND(O1165,2))</f>
        <v>#DIV/0!</v>
      </c>
      <c r="T1165" s="24" t="e">
        <f>ROUND(Q1165,2)*R1165</f>
        <v>#DIV/0!</v>
      </c>
      <c r="U1165" s="95" t="e">
        <f>R1165*dagenperjaar1</f>
        <v>#DIV/0!</v>
      </c>
      <c r="V1165" s="25" t="e">
        <f>U1165*ROUND(Q1165,2)</f>
        <v>#DIV/0!</v>
      </c>
    </row>
    <row r="1166" spans="1:22" x14ac:dyDescent="0.2">
      <c r="A1166" s="92" t="s">
        <v>946</v>
      </c>
      <c r="B1166" s="93" t="s">
        <v>47</v>
      </c>
      <c r="C1166" s="93" t="s">
        <v>558</v>
      </c>
      <c r="D1166" s="93" t="s">
        <v>1096</v>
      </c>
      <c r="E1166" s="94" t="s">
        <v>1097</v>
      </c>
      <c r="F1166" s="93" t="s">
        <v>397</v>
      </c>
      <c r="G1166" s="93" t="s">
        <v>284</v>
      </c>
      <c r="H1166" s="93" t="s">
        <v>13</v>
      </c>
      <c r="I1166" s="93" t="s">
        <v>255</v>
      </c>
      <c r="J1166" s="93" t="s">
        <v>47</v>
      </c>
      <c r="K1166" s="93"/>
      <c r="L1166" s="95">
        <v>29.610000000000003</v>
      </c>
      <c r="M1166" s="95">
        <f>L1166*VLOOKUP(H1166,dagsoorttabel1,2,FALSE)</f>
        <v>23.223529411764709</v>
      </c>
      <c r="N1166" s="96">
        <f>prodnorm58</f>
        <v>0</v>
      </c>
      <c r="O1166" s="37">
        <f>dagwerk58</f>
        <v>0</v>
      </c>
      <c r="P1166" s="93" t="s">
        <v>105</v>
      </c>
      <c r="Q1166" s="24">
        <f>uurtarief58</f>
        <v>0</v>
      </c>
      <c r="R1166" s="95" t="e">
        <f>IF(ISBLANK(N1166),0,M1166/ROUND(N1166,4))</f>
        <v>#DIV/0!</v>
      </c>
      <c r="S1166" s="95" t="e">
        <f>IF(ISBLANK(N1166),0,R1166*ROUND(O1166,2))</f>
        <v>#DIV/0!</v>
      </c>
      <c r="T1166" s="24" t="e">
        <f>ROUND(Q1166,2)*R1166</f>
        <v>#DIV/0!</v>
      </c>
      <c r="U1166" s="95" t="e">
        <f>R1166*dagenperjaar1</f>
        <v>#DIV/0!</v>
      </c>
      <c r="V1166" s="25" t="e">
        <f>U1166*ROUND(Q1166,2)</f>
        <v>#DIV/0!</v>
      </c>
    </row>
    <row r="1167" spans="1:22" x14ac:dyDescent="0.2">
      <c r="A1167" s="92" t="s">
        <v>946</v>
      </c>
      <c r="B1167" s="93" t="s">
        <v>47</v>
      </c>
      <c r="C1167" s="93" t="s">
        <v>558</v>
      </c>
      <c r="D1167" s="93" t="s">
        <v>1098</v>
      </c>
      <c r="E1167" s="94" t="s">
        <v>1003</v>
      </c>
      <c r="F1167" s="93" t="s">
        <v>397</v>
      </c>
      <c r="G1167" s="93" t="s">
        <v>266</v>
      </c>
      <c r="H1167" s="93" t="s">
        <v>13</v>
      </c>
      <c r="I1167" s="93" t="s">
        <v>255</v>
      </c>
      <c r="J1167" s="93" t="s">
        <v>47</v>
      </c>
      <c r="K1167" s="93"/>
      <c r="L1167" s="95">
        <v>9.7199999999999989</v>
      </c>
      <c r="M1167" s="95">
        <f>L1167*VLOOKUP(H1167,dagsoorttabel1,2,FALSE)</f>
        <v>7.6235294117647046</v>
      </c>
      <c r="N1167" s="96">
        <f>prodnorm40</f>
        <v>0</v>
      </c>
      <c r="O1167" s="37">
        <f>dagwerk40</f>
        <v>0</v>
      </c>
      <c r="P1167" s="93" t="s">
        <v>105</v>
      </c>
      <c r="Q1167" s="24">
        <f>uurtarief40</f>
        <v>0</v>
      </c>
      <c r="R1167" s="95" t="e">
        <f>IF(ISBLANK(N1167),0,M1167/ROUND(N1167,4))</f>
        <v>#DIV/0!</v>
      </c>
      <c r="S1167" s="95" t="e">
        <f>IF(ISBLANK(N1167),0,R1167*ROUND(O1167,2))</f>
        <v>#DIV/0!</v>
      </c>
      <c r="T1167" s="24" t="e">
        <f>ROUND(Q1167,2)*R1167</f>
        <v>#DIV/0!</v>
      </c>
      <c r="U1167" s="95" t="e">
        <f>R1167*dagenperjaar1</f>
        <v>#DIV/0!</v>
      </c>
      <c r="V1167" s="25" t="e">
        <f>U1167*ROUND(Q1167,2)</f>
        <v>#DIV/0!</v>
      </c>
    </row>
    <row r="1168" spans="1:22" x14ac:dyDescent="0.2">
      <c r="A1168" s="92" t="s">
        <v>946</v>
      </c>
      <c r="B1168" s="93" t="s">
        <v>47</v>
      </c>
      <c r="C1168" s="93" t="s">
        <v>558</v>
      </c>
      <c r="D1168" s="93" t="s">
        <v>1099</v>
      </c>
      <c r="E1168" s="94" t="s">
        <v>677</v>
      </c>
      <c r="F1168" s="93" t="s">
        <v>397</v>
      </c>
      <c r="G1168" s="93" t="s">
        <v>304</v>
      </c>
      <c r="H1168" s="93" t="s">
        <v>13</v>
      </c>
      <c r="I1168" s="93" t="s">
        <v>255</v>
      </c>
      <c r="J1168" s="93" t="s">
        <v>47</v>
      </c>
      <c r="K1168" s="93"/>
      <c r="L1168" s="95">
        <v>3.07</v>
      </c>
      <c r="M1168" s="95">
        <f>L1168*VLOOKUP(H1168,dagsoorttabel1,2,FALSE)</f>
        <v>2.4078431372549018</v>
      </c>
      <c r="N1168" s="96">
        <f>prodnorm74</f>
        <v>0</v>
      </c>
      <c r="O1168" s="37">
        <f>dagwerk74</f>
        <v>0</v>
      </c>
      <c r="P1168" s="93" t="s">
        <v>105</v>
      </c>
      <c r="Q1168" s="24">
        <f>uurtarief74</f>
        <v>0</v>
      </c>
      <c r="R1168" s="95" t="e">
        <f>IF(ISBLANK(N1168),0,M1168/ROUND(N1168,4))</f>
        <v>#DIV/0!</v>
      </c>
      <c r="S1168" s="95" t="e">
        <f>IF(ISBLANK(N1168),0,R1168*ROUND(O1168,2))</f>
        <v>#DIV/0!</v>
      </c>
      <c r="T1168" s="24" t="e">
        <f>ROUND(Q1168,2)*R1168</f>
        <v>#DIV/0!</v>
      </c>
      <c r="U1168" s="95" t="e">
        <f>R1168*dagenperjaar1</f>
        <v>#DIV/0!</v>
      </c>
      <c r="V1168" s="25" t="e">
        <f>U1168*ROUND(Q1168,2)</f>
        <v>#DIV/0!</v>
      </c>
    </row>
    <row r="1169" spans="1:22" x14ac:dyDescent="0.2">
      <c r="A1169" s="92" t="s">
        <v>946</v>
      </c>
      <c r="B1169" s="93" t="s">
        <v>47</v>
      </c>
      <c r="C1169" s="93" t="s">
        <v>558</v>
      </c>
      <c r="D1169" s="93" t="s">
        <v>1100</v>
      </c>
      <c r="E1169" s="94" t="s">
        <v>1101</v>
      </c>
      <c r="F1169" s="93" t="s">
        <v>397</v>
      </c>
      <c r="G1169" s="93" t="s">
        <v>284</v>
      </c>
      <c r="H1169" s="93" t="s">
        <v>13</v>
      </c>
      <c r="I1169" s="93" t="s">
        <v>255</v>
      </c>
      <c r="J1169" s="93" t="s">
        <v>47</v>
      </c>
      <c r="K1169" s="93"/>
      <c r="L1169" s="95">
        <v>29.37</v>
      </c>
      <c r="M1169" s="95">
        <f>L1169*VLOOKUP(H1169,dagsoorttabel1,2,FALSE)</f>
        <v>23.035294117647059</v>
      </c>
      <c r="N1169" s="96">
        <f>prodnorm58</f>
        <v>0</v>
      </c>
      <c r="O1169" s="37">
        <f>dagwerk58</f>
        <v>0</v>
      </c>
      <c r="P1169" s="93" t="s">
        <v>105</v>
      </c>
      <c r="Q1169" s="24">
        <f>uurtarief58</f>
        <v>0</v>
      </c>
      <c r="R1169" s="95" t="e">
        <f>IF(ISBLANK(N1169),0,M1169/ROUND(N1169,4))</f>
        <v>#DIV/0!</v>
      </c>
      <c r="S1169" s="95" t="e">
        <f>IF(ISBLANK(N1169),0,R1169*ROUND(O1169,2))</f>
        <v>#DIV/0!</v>
      </c>
      <c r="T1169" s="24" t="e">
        <f>ROUND(Q1169,2)*R1169</f>
        <v>#DIV/0!</v>
      </c>
      <c r="U1169" s="95" t="e">
        <f>R1169*dagenperjaar1</f>
        <v>#DIV/0!</v>
      </c>
      <c r="V1169" s="25" t="e">
        <f>U1169*ROUND(Q1169,2)</f>
        <v>#DIV/0!</v>
      </c>
    </row>
    <row r="1170" spans="1:22" x14ac:dyDescent="0.2">
      <c r="A1170" s="92" t="s">
        <v>946</v>
      </c>
      <c r="B1170" s="93" t="s">
        <v>47</v>
      </c>
      <c r="C1170" s="93" t="s">
        <v>558</v>
      </c>
      <c r="D1170" s="93" t="s">
        <v>1102</v>
      </c>
      <c r="E1170" s="94" t="s">
        <v>1003</v>
      </c>
      <c r="F1170" s="93" t="s">
        <v>397</v>
      </c>
      <c r="G1170" s="93" t="s">
        <v>266</v>
      </c>
      <c r="H1170" s="93" t="s">
        <v>13</v>
      </c>
      <c r="I1170" s="93" t="s">
        <v>255</v>
      </c>
      <c r="J1170" s="93" t="s">
        <v>47</v>
      </c>
      <c r="K1170" s="93"/>
      <c r="L1170" s="95">
        <v>9.75</v>
      </c>
      <c r="M1170" s="95">
        <f>L1170*VLOOKUP(H1170,dagsoorttabel1,2,FALSE)</f>
        <v>7.6470588235294112</v>
      </c>
      <c r="N1170" s="96">
        <f>prodnorm40</f>
        <v>0</v>
      </c>
      <c r="O1170" s="37">
        <f>dagwerk40</f>
        <v>0</v>
      </c>
      <c r="P1170" s="93" t="s">
        <v>105</v>
      </c>
      <c r="Q1170" s="24">
        <f>uurtarief40</f>
        <v>0</v>
      </c>
      <c r="R1170" s="95" t="e">
        <f>IF(ISBLANK(N1170),0,M1170/ROUND(N1170,4))</f>
        <v>#DIV/0!</v>
      </c>
      <c r="S1170" s="95" t="e">
        <f>IF(ISBLANK(N1170),0,R1170*ROUND(O1170,2))</f>
        <v>#DIV/0!</v>
      </c>
      <c r="T1170" s="24" t="e">
        <f>ROUND(Q1170,2)*R1170</f>
        <v>#DIV/0!</v>
      </c>
      <c r="U1170" s="95" t="e">
        <f>R1170*dagenperjaar1</f>
        <v>#DIV/0!</v>
      </c>
      <c r="V1170" s="25" t="e">
        <f>U1170*ROUND(Q1170,2)</f>
        <v>#DIV/0!</v>
      </c>
    </row>
    <row r="1171" spans="1:22" x14ac:dyDescent="0.2">
      <c r="A1171" s="92" t="s">
        <v>946</v>
      </c>
      <c r="B1171" s="93" t="s">
        <v>47</v>
      </c>
      <c r="C1171" s="93" t="s">
        <v>558</v>
      </c>
      <c r="D1171" s="93" t="s">
        <v>1103</v>
      </c>
      <c r="E1171" s="94" t="s">
        <v>958</v>
      </c>
      <c r="F1171" s="93" t="s">
        <v>397</v>
      </c>
      <c r="G1171" s="93" t="s">
        <v>304</v>
      </c>
      <c r="H1171" s="93" t="s">
        <v>13</v>
      </c>
      <c r="I1171" s="93" t="s">
        <v>255</v>
      </c>
      <c r="J1171" s="93" t="s">
        <v>47</v>
      </c>
      <c r="K1171" s="93"/>
      <c r="L1171" s="95">
        <v>3.75</v>
      </c>
      <c r="M1171" s="95">
        <f>L1171*VLOOKUP(H1171,dagsoorttabel1,2,FALSE)</f>
        <v>2.9411764705882351</v>
      </c>
      <c r="N1171" s="96">
        <f>prodnorm74</f>
        <v>0</v>
      </c>
      <c r="O1171" s="37">
        <f>dagwerk74</f>
        <v>0</v>
      </c>
      <c r="P1171" s="93" t="s">
        <v>105</v>
      </c>
      <c r="Q1171" s="24">
        <f>uurtarief74</f>
        <v>0</v>
      </c>
      <c r="R1171" s="95" t="e">
        <f>IF(ISBLANK(N1171),0,M1171/ROUND(N1171,4))</f>
        <v>#DIV/0!</v>
      </c>
      <c r="S1171" s="95" t="e">
        <f>IF(ISBLANK(N1171),0,R1171*ROUND(O1171,2))</f>
        <v>#DIV/0!</v>
      </c>
      <c r="T1171" s="24" t="e">
        <f>ROUND(Q1171,2)*R1171</f>
        <v>#DIV/0!</v>
      </c>
      <c r="U1171" s="95" t="e">
        <f>R1171*dagenperjaar1</f>
        <v>#DIV/0!</v>
      </c>
      <c r="V1171" s="25" t="e">
        <f>U1171*ROUND(Q1171,2)</f>
        <v>#DIV/0!</v>
      </c>
    </row>
    <row r="1172" spans="1:22" x14ac:dyDescent="0.2">
      <c r="A1172" s="92" t="s">
        <v>946</v>
      </c>
      <c r="B1172" s="93" t="s">
        <v>47</v>
      </c>
      <c r="C1172" s="93" t="s">
        <v>558</v>
      </c>
      <c r="D1172" s="93" t="s">
        <v>1103</v>
      </c>
      <c r="E1172" s="94" t="s">
        <v>958</v>
      </c>
      <c r="F1172" s="93" t="s">
        <v>397</v>
      </c>
      <c r="G1172" s="93" t="s">
        <v>306</v>
      </c>
      <c r="H1172" s="93" t="s">
        <v>13</v>
      </c>
      <c r="I1172" s="93" t="s">
        <v>255</v>
      </c>
      <c r="J1172" s="93" t="s">
        <v>47</v>
      </c>
      <c r="K1172" s="93"/>
      <c r="L1172" s="95">
        <v>3.75</v>
      </c>
      <c r="M1172" s="95">
        <f>L1172*VLOOKUP(H1172,dagsoorttabel1,2,FALSE)</f>
        <v>2.9411764705882351</v>
      </c>
      <c r="N1172" s="96">
        <f>prodnorm78</f>
        <v>0</v>
      </c>
      <c r="O1172" s="37">
        <f>dagwerk78</f>
        <v>0</v>
      </c>
      <c r="P1172" s="93" t="s">
        <v>105</v>
      </c>
      <c r="Q1172" s="24">
        <f>uurtarief78</f>
        <v>0</v>
      </c>
      <c r="R1172" s="95" t="e">
        <f>IF(ISBLANK(N1172),0,M1172/ROUND(N1172,4))</f>
        <v>#DIV/0!</v>
      </c>
      <c r="S1172" s="95" t="e">
        <f>IF(ISBLANK(N1172),0,R1172*ROUND(O1172,2))</f>
        <v>#DIV/0!</v>
      </c>
      <c r="T1172" s="24" t="e">
        <f>ROUND(Q1172,2)*R1172</f>
        <v>#DIV/0!</v>
      </c>
      <c r="U1172" s="95" t="e">
        <f>R1172*dagenperjaar1</f>
        <v>#DIV/0!</v>
      </c>
      <c r="V1172" s="25" t="e">
        <f>U1172*ROUND(Q1172,2)</f>
        <v>#DIV/0!</v>
      </c>
    </row>
    <row r="1173" spans="1:22" x14ac:dyDescent="0.2">
      <c r="A1173" s="92" t="s">
        <v>946</v>
      </c>
      <c r="B1173" s="93" t="s">
        <v>47</v>
      </c>
      <c r="C1173" s="93" t="s">
        <v>558</v>
      </c>
      <c r="D1173" s="93" t="s">
        <v>1104</v>
      </c>
      <c r="E1173" s="94" t="s">
        <v>1039</v>
      </c>
      <c r="F1173" s="93" t="s">
        <v>397</v>
      </c>
      <c r="G1173" s="93" t="s">
        <v>314</v>
      </c>
      <c r="H1173" s="93" t="s">
        <v>13</v>
      </c>
      <c r="I1173" s="93" t="s">
        <v>255</v>
      </c>
      <c r="J1173" s="93" t="s">
        <v>47</v>
      </c>
      <c r="K1173" s="93"/>
      <c r="L1173" s="95">
        <v>57.94</v>
      </c>
      <c r="M1173" s="95">
        <f>L1173*VLOOKUP(H1173,dagsoorttabel1,2,FALSE)</f>
        <v>45.443137254901956</v>
      </c>
      <c r="N1173" s="96">
        <f>prodnorm88</f>
        <v>0</v>
      </c>
      <c r="O1173" s="37">
        <f>dagwerk88</f>
        <v>0</v>
      </c>
      <c r="P1173" s="93" t="s">
        <v>105</v>
      </c>
      <c r="Q1173" s="24">
        <f>uurtarief88</f>
        <v>0</v>
      </c>
      <c r="R1173" s="95" t="e">
        <f>IF(ISBLANK(N1173),0,M1173/ROUND(N1173,4))</f>
        <v>#DIV/0!</v>
      </c>
      <c r="S1173" s="95" t="e">
        <f>IF(ISBLANK(N1173),0,R1173*ROUND(O1173,2))</f>
        <v>#DIV/0!</v>
      </c>
      <c r="T1173" s="24" t="e">
        <f>ROUND(Q1173,2)*R1173</f>
        <v>#DIV/0!</v>
      </c>
      <c r="U1173" s="95" t="e">
        <f>R1173*dagenperjaar1</f>
        <v>#DIV/0!</v>
      </c>
      <c r="V1173" s="25" t="e">
        <f>U1173*ROUND(Q1173,2)</f>
        <v>#DIV/0!</v>
      </c>
    </row>
    <row r="1174" spans="1:22" x14ac:dyDescent="0.2">
      <c r="A1174" s="92" t="s">
        <v>946</v>
      </c>
      <c r="B1174" s="93" t="s">
        <v>47</v>
      </c>
      <c r="C1174" s="93" t="s">
        <v>558</v>
      </c>
      <c r="D1174" s="93" t="s">
        <v>1105</v>
      </c>
      <c r="E1174" s="94" t="s">
        <v>1106</v>
      </c>
      <c r="F1174" s="93" t="s">
        <v>397</v>
      </c>
      <c r="G1174" s="93" t="s">
        <v>314</v>
      </c>
      <c r="H1174" s="93" t="s">
        <v>10</v>
      </c>
      <c r="I1174" s="93" t="s">
        <v>255</v>
      </c>
      <c r="J1174" s="93" t="s">
        <v>47</v>
      </c>
      <c r="K1174" s="93"/>
      <c r="L1174" s="95">
        <v>8.3500000000000014</v>
      </c>
      <c r="M1174" s="95">
        <f>L1174*VLOOKUP(H1174,dagsoorttabel1,2,FALSE)</f>
        <v>8.3500000000000014</v>
      </c>
      <c r="N1174" s="96">
        <f>prodnorm89</f>
        <v>0</v>
      </c>
      <c r="O1174" s="37">
        <f>dagwerk89</f>
        <v>0</v>
      </c>
      <c r="P1174" s="93" t="s">
        <v>105</v>
      </c>
      <c r="Q1174" s="24">
        <f>uurtarief89</f>
        <v>0</v>
      </c>
      <c r="R1174" s="95" t="e">
        <f>IF(ISBLANK(N1174),0,M1174/ROUND(N1174,4))</f>
        <v>#DIV/0!</v>
      </c>
      <c r="S1174" s="95" t="e">
        <f>IF(ISBLANK(N1174),0,R1174*ROUND(O1174,2))</f>
        <v>#DIV/0!</v>
      </c>
      <c r="T1174" s="24" t="e">
        <f>ROUND(Q1174,2)*R1174</f>
        <v>#DIV/0!</v>
      </c>
      <c r="U1174" s="95" t="e">
        <f>R1174*dagenperjaar1</f>
        <v>#DIV/0!</v>
      </c>
      <c r="V1174" s="25" t="e">
        <f>U1174*ROUND(Q1174,2)</f>
        <v>#DIV/0!</v>
      </c>
    </row>
    <row r="1175" spans="1:22" x14ac:dyDescent="0.2">
      <c r="A1175" s="92" t="s">
        <v>946</v>
      </c>
      <c r="B1175" s="93" t="s">
        <v>47</v>
      </c>
      <c r="C1175" s="93" t="s">
        <v>558</v>
      </c>
      <c r="D1175" s="93" t="s">
        <v>1107</v>
      </c>
      <c r="E1175" s="94" t="s">
        <v>1108</v>
      </c>
      <c r="F1175" s="93" t="s">
        <v>397</v>
      </c>
      <c r="G1175" s="93" t="s">
        <v>314</v>
      </c>
      <c r="H1175" s="93" t="s">
        <v>10</v>
      </c>
      <c r="I1175" s="93" t="s">
        <v>255</v>
      </c>
      <c r="J1175" s="93" t="s">
        <v>47</v>
      </c>
      <c r="K1175" s="93"/>
      <c r="L1175" s="95">
        <v>29.8</v>
      </c>
      <c r="M1175" s="95">
        <f>L1175*VLOOKUP(H1175,dagsoorttabel1,2,FALSE)</f>
        <v>29.8</v>
      </c>
      <c r="N1175" s="96">
        <f>prodnorm89</f>
        <v>0</v>
      </c>
      <c r="O1175" s="37">
        <f>dagwerk89</f>
        <v>0</v>
      </c>
      <c r="P1175" s="93" t="s">
        <v>105</v>
      </c>
      <c r="Q1175" s="24">
        <f>uurtarief89</f>
        <v>0</v>
      </c>
      <c r="R1175" s="95" t="e">
        <f>IF(ISBLANK(N1175),0,M1175/ROUND(N1175,4))</f>
        <v>#DIV/0!</v>
      </c>
      <c r="S1175" s="95" t="e">
        <f>IF(ISBLANK(N1175),0,R1175*ROUND(O1175,2))</f>
        <v>#DIV/0!</v>
      </c>
      <c r="T1175" s="24" t="e">
        <f>ROUND(Q1175,2)*R1175</f>
        <v>#DIV/0!</v>
      </c>
      <c r="U1175" s="95" t="e">
        <f>R1175*dagenperjaar1</f>
        <v>#DIV/0!</v>
      </c>
      <c r="V1175" s="25" t="e">
        <f>U1175*ROUND(Q1175,2)</f>
        <v>#DIV/0!</v>
      </c>
    </row>
    <row r="1176" spans="1:22" x14ac:dyDescent="0.2">
      <c r="A1176" s="92" t="s">
        <v>946</v>
      </c>
      <c r="B1176" s="93" t="s">
        <v>47</v>
      </c>
      <c r="C1176" s="93" t="s">
        <v>558</v>
      </c>
      <c r="D1176" s="93" t="s">
        <v>1109</v>
      </c>
      <c r="E1176" s="94" t="s">
        <v>1110</v>
      </c>
      <c r="F1176" s="93" t="s">
        <v>1063</v>
      </c>
      <c r="G1176" s="93" t="s">
        <v>314</v>
      </c>
      <c r="H1176" s="93" t="s">
        <v>27</v>
      </c>
      <c r="I1176" s="93" t="s">
        <v>255</v>
      </c>
      <c r="J1176" s="93" t="s">
        <v>47</v>
      </c>
      <c r="K1176" s="93"/>
      <c r="L1176" s="95">
        <v>14.04</v>
      </c>
      <c r="M1176" s="95">
        <f>L1176*VLOOKUP(H1176,dagsoorttabel1,2,FALSE)</f>
        <v>0.33035294117647057</v>
      </c>
      <c r="N1176" s="96">
        <f>prodnorm92</f>
        <v>0</v>
      </c>
      <c r="O1176" s="37">
        <f>dagwerk92</f>
        <v>0</v>
      </c>
      <c r="P1176" s="93" t="s">
        <v>105</v>
      </c>
      <c r="Q1176" s="24">
        <f>uurtarief92</f>
        <v>0</v>
      </c>
      <c r="R1176" s="95" t="e">
        <f>IF(ISBLANK(N1176),0,M1176/ROUND(N1176,4))</f>
        <v>#DIV/0!</v>
      </c>
      <c r="S1176" s="95" t="e">
        <f>IF(ISBLANK(N1176),0,R1176*ROUND(O1176,2))</f>
        <v>#DIV/0!</v>
      </c>
      <c r="T1176" s="24" t="e">
        <f>ROUND(Q1176,2)*R1176</f>
        <v>#DIV/0!</v>
      </c>
      <c r="U1176" s="95" t="e">
        <f>R1176*dagenperjaar1</f>
        <v>#DIV/0!</v>
      </c>
      <c r="V1176" s="25" t="e">
        <f>U1176*ROUND(Q1176,2)</f>
        <v>#DIV/0!</v>
      </c>
    </row>
    <row r="1177" spans="1:22" x14ac:dyDescent="0.2">
      <c r="A1177" s="92" t="s">
        <v>946</v>
      </c>
      <c r="B1177" s="93" t="s">
        <v>47</v>
      </c>
      <c r="C1177" s="93" t="s">
        <v>558</v>
      </c>
      <c r="D1177" s="93" t="s">
        <v>1111</v>
      </c>
      <c r="E1177" s="94" t="s">
        <v>1112</v>
      </c>
      <c r="F1177" s="93" t="s">
        <v>397</v>
      </c>
      <c r="G1177" s="93" t="s">
        <v>314</v>
      </c>
      <c r="H1177" s="93" t="s">
        <v>21</v>
      </c>
      <c r="I1177" s="93" t="s">
        <v>255</v>
      </c>
      <c r="J1177" s="93" t="s">
        <v>47</v>
      </c>
      <c r="K1177" s="93"/>
      <c r="L1177" s="95">
        <v>9.33</v>
      </c>
      <c r="M1177" s="95">
        <f>L1177*VLOOKUP(H1177,dagsoorttabel1,2,FALSE)</f>
        <v>1.8660000000000001</v>
      </c>
      <c r="N1177" s="96">
        <f>prodnorm91</f>
        <v>0</v>
      </c>
      <c r="O1177" s="37">
        <f>dagwerk91</f>
        <v>0</v>
      </c>
      <c r="P1177" s="93" t="s">
        <v>105</v>
      </c>
      <c r="Q1177" s="24">
        <f>uurtarief91</f>
        <v>0</v>
      </c>
      <c r="R1177" s="95" t="e">
        <f>IF(ISBLANK(N1177),0,M1177/ROUND(N1177,4))</f>
        <v>#DIV/0!</v>
      </c>
      <c r="S1177" s="95" t="e">
        <f>IF(ISBLANK(N1177),0,R1177*ROUND(O1177,2))</f>
        <v>#DIV/0!</v>
      </c>
      <c r="T1177" s="24" t="e">
        <f>ROUND(Q1177,2)*R1177</f>
        <v>#DIV/0!</v>
      </c>
      <c r="U1177" s="95" t="e">
        <f>R1177*dagenperjaar1</f>
        <v>#DIV/0!</v>
      </c>
      <c r="V1177" s="25" t="e">
        <f>U1177*ROUND(Q1177,2)</f>
        <v>#DIV/0!</v>
      </c>
    </row>
    <row r="1178" spans="1:22" x14ac:dyDescent="0.2">
      <c r="A1178" s="92" t="s">
        <v>946</v>
      </c>
      <c r="B1178" s="93" t="s">
        <v>47</v>
      </c>
      <c r="C1178" s="93" t="s">
        <v>558</v>
      </c>
      <c r="D1178" s="93" t="s">
        <v>1113</v>
      </c>
      <c r="E1178" s="94" t="s">
        <v>1114</v>
      </c>
      <c r="F1178" s="93" t="s">
        <v>397</v>
      </c>
      <c r="G1178" s="93" t="s">
        <v>314</v>
      </c>
      <c r="H1178" s="93" t="s">
        <v>21</v>
      </c>
      <c r="I1178" s="93" t="s">
        <v>255</v>
      </c>
      <c r="J1178" s="93" t="s">
        <v>47</v>
      </c>
      <c r="K1178" s="93"/>
      <c r="L1178" s="95">
        <v>106.08</v>
      </c>
      <c r="M1178" s="95">
        <f>L1178*VLOOKUP(H1178,dagsoorttabel1,2,FALSE)</f>
        <v>21.216000000000001</v>
      </c>
      <c r="N1178" s="96">
        <f>prodnorm91</f>
        <v>0</v>
      </c>
      <c r="O1178" s="37">
        <f>dagwerk91</f>
        <v>0</v>
      </c>
      <c r="P1178" s="93" t="s">
        <v>105</v>
      </c>
      <c r="Q1178" s="24">
        <f>uurtarief91</f>
        <v>0</v>
      </c>
      <c r="R1178" s="95" t="e">
        <f>IF(ISBLANK(N1178),0,M1178/ROUND(N1178,4))</f>
        <v>#DIV/0!</v>
      </c>
      <c r="S1178" s="95" t="e">
        <f>IF(ISBLANK(N1178),0,R1178*ROUND(O1178,2))</f>
        <v>#DIV/0!</v>
      </c>
      <c r="T1178" s="24" t="e">
        <f>ROUND(Q1178,2)*R1178</f>
        <v>#DIV/0!</v>
      </c>
      <c r="U1178" s="95" t="e">
        <f>R1178*dagenperjaar1</f>
        <v>#DIV/0!</v>
      </c>
      <c r="V1178" s="25" t="e">
        <f>U1178*ROUND(Q1178,2)</f>
        <v>#DIV/0!</v>
      </c>
    </row>
    <row r="1179" spans="1:22" x14ac:dyDescent="0.2">
      <c r="A1179" s="92" t="s">
        <v>946</v>
      </c>
      <c r="B1179" s="93" t="s">
        <v>47</v>
      </c>
      <c r="C1179" s="93" t="s">
        <v>558</v>
      </c>
      <c r="D1179" s="93" t="s">
        <v>1115</v>
      </c>
      <c r="E1179" s="94" t="s">
        <v>1116</v>
      </c>
      <c r="F1179" s="93" t="s">
        <v>397</v>
      </c>
      <c r="G1179" s="93" t="s">
        <v>314</v>
      </c>
      <c r="H1179" s="93" t="s">
        <v>21</v>
      </c>
      <c r="I1179" s="93" t="s">
        <v>255</v>
      </c>
      <c r="J1179" s="93" t="s">
        <v>47</v>
      </c>
      <c r="K1179" s="93"/>
      <c r="L1179" s="95">
        <v>164.13</v>
      </c>
      <c r="M1179" s="95">
        <f>L1179*VLOOKUP(H1179,dagsoorttabel1,2,FALSE)</f>
        <v>32.826000000000001</v>
      </c>
      <c r="N1179" s="96">
        <f>prodnorm91</f>
        <v>0</v>
      </c>
      <c r="O1179" s="37">
        <f>dagwerk91</f>
        <v>0</v>
      </c>
      <c r="P1179" s="93" t="s">
        <v>105</v>
      </c>
      <c r="Q1179" s="24">
        <f>uurtarief91</f>
        <v>0</v>
      </c>
      <c r="R1179" s="95" t="e">
        <f>IF(ISBLANK(N1179),0,M1179/ROUND(N1179,4))</f>
        <v>#DIV/0!</v>
      </c>
      <c r="S1179" s="95" t="e">
        <f>IF(ISBLANK(N1179),0,R1179*ROUND(O1179,2))</f>
        <v>#DIV/0!</v>
      </c>
      <c r="T1179" s="24" t="e">
        <f>ROUND(Q1179,2)*R1179</f>
        <v>#DIV/0!</v>
      </c>
      <c r="U1179" s="95" t="e">
        <f>R1179*dagenperjaar1</f>
        <v>#DIV/0!</v>
      </c>
      <c r="V1179" s="25" t="e">
        <f>U1179*ROUND(Q1179,2)</f>
        <v>#DIV/0!</v>
      </c>
    </row>
    <row r="1180" spans="1:22" x14ac:dyDescent="0.2">
      <c r="A1180" s="92" t="s">
        <v>946</v>
      </c>
      <c r="B1180" s="93" t="s">
        <v>47</v>
      </c>
      <c r="C1180" s="93" t="s">
        <v>558</v>
      </c>
      <c r="D1180" s="93" t="s">
        <v>1117</v>
      </c>
      <c r="E1180" s="94" t="s">
        <v>1118</v>
      </c>
      <c r="F1180" s="93" t="s">
        <v>397</v>
      </c>
      <c r="G1180" s="93" t="s">
        <v>314</v>
      </c>
      <c r="H1180" s="93" t="s">
        <v>10</v>
      </c>
      <c r="I1180" s="93" t="s">
        <v>255</v>
      </c>
      <c r="J1180" s="93" t="s">
        <v>47</v>
      </c>
      <c r="K1180" s="93"/>
      <c r="L1180" s="95">
        <v>64.45</v>
      </c>
      <c r="M1180" s="95">
        <f>L1180*VLOOKUP(H1180,dagsoorttabel1,2,FALSE)</f>
        <v>64.45</v>
      </c>
      <c r="N1180" s="96">
        <f>prodnorm89</f>
        <v>0</v>
      </c>
      <c r="O1180" s="37">
        <f>dagwerk89</f>
        <v>0</v>
      </c>
      <c r="P1180" s="93" t="s">
        <v>105</v>
      </c>
      <c r="Q1180" s="24">
        <f>uurtarief89</f>
        <v>0</v>
      </c>
      <c r="R1180" s="95" t="e">
        <f>IF(ISBLANK(N1180),0,M1180/ROUND(N1180,4))</f>
        <v>#DIV/0!</v>
      </c>
      <c r="S1180" s="95" t="e">
        <f>IF(ISBLANK(N1180),0,R1180*ROUND(O1180,2))</f>
        <v>#DIV/0!</v>
      </c>
      <c r="T1180" s="24" t="e">
        <f>ROUND(Q1180,2)*R1180</f>
        <v>#DIV/0!</v>
      </c>
      <c r="U1180" s="95" t="e">
        <f>R1180*dagenperjaar1</f>
        <v>#DIV/0!</v>
      </c>
      <c r="V1180" s="25" t="e">
        <f>U1180*ROUND(Q1180,2)</f>
        <v>#DIV/0!</v>
      </c>
    </row>
    <row r="1181" spans="1:22" x14ac:dyDescent="0.2">
      <c r="A1181" s="92" t="s">
        <v>946</v>
      </c>
      <c r="B1181" s="93" t="s">
        <v>47</v>
      </c>
      <c r="C1181" s="93" t="s">
        <v>558</v>
      </c>
      <c r="D1181" s="93" t="s">
        <v>1119</v>
      </c>
      <c r="E1181" s="94" t="s">
        <v>1120</v>
      </c>
      <c r="F1181" s="93" t="s">
        <v>397</v>
      </c>
      <c r="G1181" s="93" t="s">
        <v>314</v>
      </c>
      <c r="H1181" s="93" t="s">
        <v>10</v>
      </c>
      <c r="I1181" s="93" t="s">
        <v>255</v>
      </c>
      <c r="J1181" s="93" t="s">
        <v>47</v>
      </c>
      <c r="K1181" s="93"/>
      <c r="L1181" s="95">
        <v>12.1</v>
      </c>
      <c r="M1181" s="95">
        <f>L1181*VLOOKUP(H1181,dagsoorttabel1,2,FALSE)</f>
        <v>12.1</v>
      </c>
      <c r="N1181" s="96">
        <f>prodnorm89</f>
        <v>0</v>
      </c>
      <c r="O1181" s="37">
        <f>dagwerk89</f>
        <v>0</v>
      </c>
      <c r="P1181" s="93" t="s">
        <v>105</v>
      </c>
      <c r="Q1181" s="24">
        <f>uurtarief89</f>
        <v>0</v>
      </c>
      <c r="R1181" s="95" t="e">
        <f>IF(ISBLANK(N1181),0,M1181/ROUND(N1181,4))</f>
        <v>#DIV/0!</v>
      </c>
      <c r="S1181" s="95" t="e">
        <f>IF(ISBLANK(N1181),0,R1181*ROUND(O1181,2))</f>
        <v>#DIV/0!</v>
      </c>
      <c r="T1181" s="24" t="e">
        <f>ROUND(Q1181,2)*R1181</f>
        <v>#DIV/0!</v>
      </c>
      <c r="U1181" s="95" t="e">
        <f>R1181*dagenperjaar1</f>
        <v>#DIV/0!</v>
      </c>
      <c r="V1181" s="25" t="e">
        <f>U1181*ROUND(Q1181,2)</f>
        <v>#DIV/0!</v>
      </c>
    </row>
    <row r="1182" spans="1:22" x14ac:dyDescent="0.2">
      <c r="A1182" s="92" t="s">
        <v>946</v>
      </c>
      <c r="B1182" s="93" t="s">
        <v>47</v>
      </c>
      <c r="C1182" s="93" t="s">
        <v>558</v>
      </c>
      <c r="D1182" s="93" t="s">
        <v>1121</v>
      </c>
      <c r="E1182" s="94" t="s">
        <v>1122</v>
      </c>
      <c r="F1182" s="93" t="s">
        <v>397</v>
      </c>
      <c r="G1182" s="93" t="s">
        <v>314</v>
      </c>
      <c r="H1182" s="93" t="s">
        <v>10</v>
      </c>
      <c r="I1182" s="93" t="s">
        <v>255</v>
      </c>
      <c r="J1182" s="93" t="s">
        <v>47</v>
      </c>
      <c r="K1182" s="93"/>
      <c r="L1182" s="95">
        <v>28.759999999999998</v>
      </c>
      <c r="M1182" s="95">
        <f>L1182*VLOOKUP(H1182,dagsoorttabel1,2,FALSE)</f>
        <v>28.759999999999998</v>
      </c>
      <c r="N1182" s="96">
        <f>prodnorm89</f>
        <v>0</v>
      </c>
      <c r="O1182" s="37">
        <f>dagwerk89</f>
        <v>0</v>
      </c>
      <c r="P1182" s="93" t="s">
        <v>105</v>
      </c>
      <c r="Q1182" s="24">
        <f>uurtarief89</f>
        <v>0</v>
      </c>
      <c r="R1182" s="95" t="e">
        <f>IF(ISBLANK(N1182),0,M1182/ROUND(N1182,4))</f>
        <v>#DIV/0!</v>
      </c>
      <c r="S1182" s="95" t="e">
        <f>IF(ISBLANK(N1182),0,R1182*ROUND(O1182,2))</f>
        <v>#DIV/0!</v>
      </c>
      <c r="T1182" s="24" t="e">
        <f>ROUND(Q1182,2)*R1182</f>
        <v>#DIV/0!</v>
      </c>
      <c r="U1182" s="95" t="e">
        <f>R1182*dagenperjaar1</f>
        <v>#DIV/0!</v>
      </c>
      <c r="V1182" s="25" t="e">
        <f>U1182*ROUND(Q1182,2)</f>
        <v>#DIV/0!</v>
      </c>
    </row>
    <row r="1183" spans="1:22" x14ac:dyDescent="0.2">
      <c r="A1183" s="92" t="s">
        <v>946</v>
      </c>
      <c r="B1183" s="93" t="s">
        <v>47</v>
      </c>
      <c r="C1183" s="93" t="s">
        <v>558</v>
      </c>
      <c r="D1183" s="93" t="s">
        <v>1123</v>
      </c>
      <c r="E1183" s="94" t="s">
        <v>1124</v>
      </c>
      <c r="F1183" s="93" t="s">
        <v>397</v>
      </c>
      <c r="G1183" s="93" t="s">
        <v>314</v>
      </c>
      <c r="H1183" s="93" t="s">
        <v>10</v>
      </c>
      <c r="I1183" s="93" t="s">
        <v>255</v>
      </c>
      <c r="J1183" s="93" t="s">
        <v>47</v>
      </c>
      <c r="K1183" s="93"/>
      <c r="L1183" s="95">
        <v>121.73</v>
      </c>
      <c r="M1183" s="95">
        <f>L1183*VLOOKUP(H1183,dagsoorttabel1,2,FALSE)</f>
        <v>121.73</v>
      </c>
      <c r="N1183" s="96">
        <f>prodnorm89</f>
        <v>0</v>
      </c>
      <c r="O1183" s="37">
        <f>dagwerk89</f>
        <v>0</v>
      </c>
      <c r="P1183" s="93" t="s">
        <v>105</v>
      </c>
      <c r="Q1183" s="24">
        <f>uurtarief89</f>
        <v>0</v>
      </c>
      <c r="R1183" s="95" t="e">
        <f>IF(ISBLANK(N1183),0,M1183/ROUND(N1183,4))</f>
        <v>#DIV/0!</v>
      </c>
      <c r="S1183" s="95" t="e">
        <f>IF(ISBLANK(N1183),0,R1183*ROUND(O1183,2))</f>
        <v>#DIV/0!</v>
      </c>
      <c r="T1183" s="24" t="e">
        <f>ROUND(Q1183,2)*R1183</f>
        <v>#DIV/0!</v>
      </c>
      <c r="U1183" s="95" t="e">
        <f>R1183*dagenperjaar1</f>
        <v>#DIV/0!</v>
      </c>
      <c r="V1183" s="25" t="e">
        <f>U1183*ROUND(Q1183,2)</f>
        <v>#DIV/0!</v>
      </c>
    </row>
    <row r="1184" spans="1:22" x14ac:dyDescent="0.2">
      <c r="A1184" s="92" t="s">
        <v>946</v>
      </c>
      <c r="B1184" s="93" t="s">
        <v>47</v>
      </c>
      <c r="C1184" s="93" t="s">
        <v>558</v>
      </c>
      <c r="D1184" s="93" t="s">
        <v>1125</v>
      </c>
      <c r="E1184" s="94" t="s">
        <v>1126</v>
      </c>
      <c r="F1184" s="93" t="s">
        <v>397</v>
      </c>
      <c r="G1184" s="93" t="s">
        <v>304</v>
      </c>
      <c r="H1184" s="93" t="s">
        <v>10</v>
      </c>
      <c r="I1184" s="93" t="s">
        <v>255</v>
      </c>
      <c r="J1184" s="93" t="s">
        <v>47</v>
      </c>
      <c r="K1184" s="93"/>
      <c r="L1184" s="95">
        <v>31.08</v>
      </c>
      <c r="M1184" s="95">
        <f>L1184*VLOOKUP(H1184,dagsoorttabel1,2,FALSE)</f>
        <v>31.08</v>
      </c>
      <c r="N1184" s="96">
        <f>prodnorm75</f>
        <v>0</v>
      </c>
      <c r="O1184" s="37">
        <f>dagwerk75</f>
        <v>0</v>
      </c>
      <c r="P1184" s="93" t="s">
        <v>105</v>
      </c>
      <c r="Q1184" s="24">
        <f>uurtarief75</f>
        <v>0</v>
      </c>
      <c r="R1184" s="95" t="e">
        <f>IF(ISBLANK(N1184),0,M1184/ROUND(N1184,4))</f>
        <v>#DIV/0!</v>
      </c>
      <c r="S1184" s="95" t="e">
        <f>IF(ISBLANK(N1184),0,R1184*ROUND(O1184,2))</f>
        <v>#DIV/0!</v>
      </c>
      <c r="T1184" s="24" t="e">
        <f>ROUND(Q1184,2)*R1184</f>
        <v>#DIV/0!</v>
      </c>
      <c r="U1184" s="95" t="e">
        <f>R1184*dagenperjaar1</f>
        <v>#DIV/0!</v>
      </c>
      <c r="V1184" s="25" t="e">
        <f>U1184*ROUND(Q1184,2)</f>
        <v>#DIV/0!</v>
      </c>
    </row>
    <row r="1185" spans="1:22" x14ac:dyDescent="0.2">
      <c r="A1185" s="92" t="s">
        <v>946</v>
      </c>
      <c r="B1185" s="93" t="s">
        <v>47</v>
      </c>
      <c r="C1185" s="93" t="s">
        <v>558</v>
      </c>
      <c r="D1185" s="93" t="s">
        <v>1127</v>
      </c>
      <c r="E1185" s="94" t="s">
        <v>954</v>
      </c>
      <c r="F1185" s="93" t="s">
        <v>397</v>
      </c>
      <c r="G1185" s="93" t="s">
        <v>304</v>
      </c>
      <c r="H1185" s="93" t="s">
        <v>10</v>
      </c>
      <c r="I1185" s="93" t="s">
        <v>255</v>
      </c>
      <c r="J1185" s="93" t="s">
        <v>47</v>
      </c>
      <c r="K1185" s="93"/>
      <c r="L1185" s="95">
        <v>5.6099999999999994</v>
      </c>
      <c r="M1185" s="95">
        <f>L1185*VLOOKUP(H1185,dagsoorttabel1,2,FALSE)</f>
        <v>5.6099999999999994</v>
      </c>
      <c r="N1185" s="96">
        <f>prodnorm75</f>
        <v>0</v>
      </c>
      <c r="O1185" s="37">
        <f>dagwerk75</f>
        <v>0</v>
      </c>
      <c r="P1185" s="93" t="s">
        <v>105</v>
      </c>
      <c r="Q1185" s="24">
        <f>uurtarief75</f>
        <v>0</v>
      </c>
      <c r="R1185" s="95" t="e">
        <f>IF(ISBLANK(N1185),0,M1185/ROUND(N1185,4))</f>
        <v>#DIV/0!</v>
      </c>
      <c r="S1185" s="95" t="e">
        <f>IF(ISBLANK(N1185),0,R1185*ROUND(O1185,2))</f>
        <v>#DIV/0!</v>
      </c>
      <c r="T1185" s="24" t="e">
        <f>ROUND(Q1185,2)*R1185</f>
        <v>#DIV/0!</v>
      </c>
      <c r="U1185" s="95" t="e">
        <f>R1185*dagenperjaar1</f>
        <v>#DIV/0!</v>
      </c>
      <c r="V1185" s="25" t="e">
        <f>U1185*ROUND(Q1185,2)</f>
        <v>#DIV/0!</v>
      </c>
    </row>
    <row r="1186" spans="1:22" x14ac:dyDescent="0.2">
      <c r="A1186" s="92" t="s">
        <v>946</v>
      </c>
      <c r="B1186" s="93" t="s">
        <v>47</v>
      </c>
      <c r="C1186" s="93" t="s">
        <v>558</v>
      </c>
      <c r="D1186" s="93" t="s">
        <v>1127</v>
      </c>
      <c r="E1186" s="94" t="s">
        <v>954</v>
      </c>
      <c r="F1186" s="93" t="s">
        <v>397</v>
      </c>
      <c r="G1186" s="93" t="s">
        <v>306</v>
      </c>
      <c r="H1186" s="93" t="s">
        <v>10</v>
      </c>
      <c r="I1186" s="93" t="s">
        <v>255</v>
      </c>
      <c r="J1186" s="93" t="s">
        <v>47</v>
      </c>
      <c r="K1186" s="93"/>
      <c r="L1186" s="95">
        <v>5.6099999999999994</v>
      </c>
      <c r="M1186" s="95">
        <f>L1186*VLOOKUP(H1186,dagsoorttabel1,2,FALSE)</f>
        <v>5.6099999999999994</v>
      </c>
      <c r="N1186" s="96">
        <f>prodnorm79</f>
        <v>0</v>
      </c>
      <c r="O1186" s="37">
        <f>dagwerk79</f>
        <v>0</v>
      </c>
      <c r="P1186" s="93" t="s">
        <v>105</v>
      </c>
      <c r="Q1186" s="24">
        <f>uurtarief79</f>
        <v>0</v>
      </c>
      <c r="R1186" s="95" t="e">
        <f>IF(ISBLANK(N1186),0,M1186/ROUND(N1186,4))</f>
        <v>#DIV/0!</v>
      </c>
      <c r="S1186" s="95" t="e">
        <f>IF(ISBLANK(N1186),0,R1186*ROUND(O1186,2))</f>
        <v>#DIV/0!</v>
      </c>
      <c r="T1186" s="24" t="e">
        <f>ROUND(Q1186,2)*R1186</f>
        <v>#DIV/0!</v>
      </c>
      <c r="U1186" s="95" t="e">
        <f>R1186*dagenperjaar1</f>
        <v>#DIV/0!</v>
      </c>
      <c r="V1186" s="25" t="e">
        <f>U1186*ROUND(Q1186,2)</f>
        <v>#DIV/0!</v>
      </c>
    </row>
    <row r="1187" spans="1:22" x14ac:dyDescent="0.2">
      <c r="A1187" s="92" t="s">
        <v>946</v>
      </c>
      <c r="B1187" s="93" t="s">
        <v>47</v>
      </c>
      <c r="C1187" s="93" t="s">
        <v>558</v>
      </c>
      <c r="D1187" s="93" t="s">
        <v>1128</v>
      </c>
      <c r="E1187" s="94" t="s">
        <v>956</v>
      </c>
      <c r="F1187" s="93" t="s">
        <v>397</v>
      </c>
      <c r="G1187" s="93" t="s">
        <v>304</v>
      </c>
      <c r="H1187" s="93" t="s">
        <v>10</v>
      </c>
      <c r="I1187" s="93" t="s">
        <v>255</v>
      </c>
      <c r="J1187" s="93" t="s">
        <v>47</v>
      </c>
      <c r="K1187" s="93"/>
      <c r="L1187" s="95">
        <v>6.02</v>
      </c>
      <c r="M1187" s="95">
        <f>L1187*VLOOKUP(H1187,dagsoorttabel1,2,FALSE)</f>
        <v>6.02</v>
      </c>
      <c r="N1187" s="96">
        <f>prodnorm75</f>
        <v>0</v>
      </c>
      <c r="O1187" s="37">
        <f>dagwerk75</f>
        <v>0</v>
      </c>
      <c r="P1187" s="93" t="s">
        <v>105</v>
      </c>
      <c r="Q1187" s="24">
        <f>uurtarief75</f>
        <v>0</v>
      </c>
      <c r="R1187" s="95" t="e">
        <f>IF(ISBLANK(N1187),0,M1187/ROUND(N1187,4))</f>
        <v>#DIV/0!</v>
      </c>
      <c r="S1187" s="95" t="e">
        <f>IF(ISBLANK(N1187),0,R1187*ROUND(O1187,2))</f>
        <v>#DIV/0!</v>
      </c>
      <c r="T1187" s="24" t="e">
        <f>ROUND(Q1187,2)*R1187</f>
        <v>#DIV/0!</v>
      </c>
      <c r="U1187" s="95" t="e">
        <f>R1187*dagenperjaar1</f>
        <v>#DIV/0!</v>
      </c>
      <c r="V1187" s="25" t="e">
        <f>U1187*ROUND(Q1187,2)</f>
        <v>#DIV/0!</v>
      </c>
    </row>
    <row r="1188" spans="1:22" x14ac:dyDescent="0.2">
      <c r="A1188" s="92" t="s">
        <v>946</v>
      </c>
      <c r="B1188" s="93" t="s">
        <v>47</v>
      </c>
      <c r="C1188" s="93" t="s">
        <v>558</v>
      </c>
      <c r="D1188" s="93" t="s">
        <v>1128</v>
      </c>
      <c r="E1188" s="94" t="s">
        <v>956</v>
      </c>
      <c r="F1188" s="93" t="s">
        <v>397</v>
      </c>
      <c r="G1188" s="93" t="s">
        <v>306</v>
      </c>
      <c r="H1188" s="93" t="s">
        <v>10</v>
      </c>
      <c r="I1188" s="93" t="s">
        <v>255</v>
      </c>
      <c r="J1188" s="93" t="s">
        <v>47</v>
      </c>
      <c r="K1188" s="93"/>
      <c r="L1188" s="95">
        <v>6.02</v>
      </c>
      <c r="M1188" s="95">
        <f>L1188*VLOOKUP(H1188,dagsoorttabel1,2,FALSE)</f>
        <v>6.02</v>
      </c>
      <c r="N1188" s="96">
        <f>prodnorm79</f>
        <v>0</v>
      </c>
      <c r="O1188" s="37">
        <f>dagwerk79</f>
        <v>0</v>
      </c>
      <c r="P1188" s="93" t="s">
        <v>105</v>
      </c>
      <c r="Q1188" s="24">
        <f>uurtarief79</f>
        <v>0</v>
      </c>
      <c r="R1188" s="95" t="e">
        <f>IF(ISBLANK(N1188),0,M1188/ROUND(N1188,4))</f>
        <v>#DIV/0!</v>
      </c>
      <c r="S1188" s="95" t="e">
        <f>IF(ISBLANK(N1188),0,R1188*ROUND(O1188,2))</f>
        <v>#DIV/0!</v>
      </c>
      <c r="T1188" s="24" t="e">
        <f>ROUND(Q1188,2)*R1188</f>
        <v>#DIV/0!</v>
      </c>
      <c r="U1188" s="95" t="e">
        <f>R1188*dagenperjaar1</f>
        <v>#DIV/0!</v>
      </c>
      <c r="V1188" s="25" t="e">
        <f>U1188*ROUND(Q1188,2)</f>
        <v>#DIV/0!</v>
      </c>
    </row>
    <row r="1189" spans="1:22" x14ac:dyDescent="0.2">
      <c r="A1189" s="92" t="s">
        <v>946</v>
      </c>
      <c r="B1189" s="93" t="s">
        <v>47</v>
      </c>
      <c r="C1189" s="93" t="s">
        <v>558</v>
      </c>
      <c r="D1189" s="93" t="s">
        <v>1129</v>
      </c>
      <c r="E1189" s="94" t="s">
        <v>958</v>
      </c>
      <c r="F1189" s="93" t="s">
        <v>397</v>
      </c>
      <c r="G1189" s="93" t="s">
        <v>304</v>
      </c>
      <c r="H1189" s="93" t="s">
        <v>10</v>
      </c>
      <c r="I1189" s="93" t="s">
        <v>255</v>
      </c>
      <c r="J1189" s="93" t="s">
        <v>47</v>
      </c>
      <c r="K1189" s="93"/>
      <c r="L1189" s="95">
        <v>4.76</v>
      </c>
      <c r="M1189" s="95">
        <f>L1189*VLOOKUP(H1189,dagsoorttabel1,2,FALSE)</f>
        <v>4.76</v>
      </c>
      <c r="N1189" s="96">
        <f>prodnorm75</f>
        <v>0</v>
      </c>
      <c r="O1189" s="37">
        <f>dagwerk75</f>
        <v>0</v>
      </c>
      <c r="P1189" s="93" t="s">
        <v>105</v>
      </c>
      <c r="Q1189" s="24">
        <f>uurtarief75</f>
        <v>0</v>
      </c>
      <c r="R1189" s="95" t="e">
        <f>IF(ISBLANK(N1189),0,M1189/ROUND(N1189,4))</f>
        <v>#DIV/0!</v>
      </c>
      <c r="S1189" s="95" t="e">
        <f>IF(ISBLANK(N1189),0,R1189*ROUND(O1189,2))</f>
        <v>#DIV/0!</v>
      </c>
      <c r="T1189" s="24" t="e">
        <f>ROUND(Q1189,2)*R1189</f>
        <v>#DIV/0!</v>
      </c>
      <c r="U1189" s="95" t="e">
        <f>R1189*dagenperjaar1</f>
        <v>#DIV/0!</v>
      </c>
      <c r="V1189" s="25" t="e">
        <f>U1189*ROUND(Q1189,2)</f>
        <v>#DIV/0!</v>
      </c>
    </row>
    <row r="1190" spans="1:22" x14ac:dyDescent="0.2">
      <c r="A1190" s="92" t="s">
        <v>946</v>
      </c>
      <c r="B1190" s="93" t="s">
        <v>47</v>
      </c>
      <c r="C1190" s="93" t="s">
        <v>558</v>
      </c>
      <c r="D1190" s="93" t="s">
        <v>1130</v>
      </c>
      <c r="E1190" s="94" t="s">
        <v>650</v>
      </c>
      <c r="F1190" s="93" t="s">
        <v>397</v>
      </c>
      <c r="G1190" s="93" t="s">
        <v>314</v>
      </c>
      <c r="H1190" s="93" t="s">
        <v>10</v>
      </c>
      <c r="I1190" s="93" t="s">
        <v>255</v>
      </c>
      <c r="J1190" s="93" t="s">
        <v>47</v>
      </c>
      <c r="K1190" s="93"/>
      <c r="L1190" s="95">
        <v>10.039999999999999</v>
      </c>
      <c r="M1190" s="95">
        <f>L1190*VLOOKUP(H1190,dagsoorttabel1,2,FALSE)</f>
        <v>10.039999999999999</v>
      </c>
      <c r="N1190" s="96">
        <f>prodnorm89</f>
        <v>0</v>
      </c>
      <c r="O1190" s="37">
        <f>dagwerk89</f>
        <v>0</v>
      </c>
      <c r="P1190" s="93" t="s">
        <v>105</v>
      </c>
      <c r="Q1190" s="24">
        <f>uurtarief89</f>
        <v>0</v>
      </c>
      <c r="R1190" s="95" t="e">
        <f>IF(ISBLANK(N1190),0,M1190/ROUND(N1190,4))</f>
        <v>#DIV/0!</v>
      </c>
      <c r="S1190" s="95" t="e">
        <f>IF(ISBLANK(N1190),0,R1190*ROUND(O1190,2))</f>
        <v>#DIV/0!</v>
      </c>
      <c r="T1190" s="24" t="e">
        <f>ROUND(Q1190,2)*R1190</f>
        <v>#DIV/0!</v>
      </c>
      <c r="U1190" s="95" t="e">
        <f>R1190*dagenperjaar1</f>
        <v>#DIV/0!</v>
      </c>
      <c r="V1190" s="25" t="e">
        <f>U1190*ROUND(Q1190,2)</f>
        <v>#DIV/0!</v>
      </c>
    </row>
    <row r="1191" spans="1:22" x14ac:dyDescent="0.2">
      <c r="A1191" s="92" t="s">
        <v>946</v>
      </c>
      <c r="B1191" s="93" t="s">
        <v>47</v>
      </c>
      <c r="C1191" s="93" t="s">
        <v>558</v>
      </c>
      <c r="D1191" s="93" t="s">
        <v>1131</v>
      </c>
      <c r="E1191" s="94" t="s">
        <v>650</v>
      </c>
      <c r="F1191" s="93" t="s">
        <v>397</v>
      </c>
      <c r="G1191" s="93" t="s">
        <v>314</v>
      </c>
      <c r="H1191" s="93" t="s">
        <v>10</v>
      </c>
      <c r="I1191" s="93" t="s">
        <v>255</v>
      </c>
      <c r="J1191" s="93" t="s">
        <v>47</v>
      </c>
      <c r="K1191" s="93"/>
      <c r="L1191" s="95">
        <v>5.03</v>
      </c>
      <c r="M1191" s="95">
        <f>L1191*VLOOKUP(H1191,dagsoorttabel1,2,FALSE)</f>
        <v>5.03</v>
      </c>
      <c r="N1191" s="96">
        <f>prodnorm89</f>
        <v>0</v>
      </c>
      <c r="O1191" s="37">
        <f>dagwerk89</f>
        <v>0</v>
      </c>
      <c r="P1191" s="93" t="s">
        <v>105</v>
      </c>
      <c r="Q1191" s="24">
        <f>uurtarief89</f>
        <v>0</v>
      </c>
      <c r="R1191" s="95" t="e">
        <f>IF(ISBLANK(N1191),0,M1191/ROUND(N1191,4))</f>
        <v>#DIV/0!</v>
      </c>
      <c r="S1191" s="95" t="e">
        <f>IF(ISBLANK(N1191),0,R1191*ROUND(O1191,2))</f>
        <v>#DIV/0!</v>
      </c>
      <c r="T1191" s="24" t="e">
        <f>ROUND(Q1191,2)*R1191</f>
        <v>#DIV/0!</v>
      </c>
      <c r="U1191" s="95" t="e">
        <f>R1191*dagenperjaar1</f>
        <v>#DIV/0!</v>
      </c>
      <c r="V1191" s="25" t="e">
        <f>U1191*ROUND(Q1191,2)</f>
        <v>#DIV/0!</v>
      </c>
    </row>
    <row r="1192" spans="1:22" x14ac:dyDescent="0.2">
      <c r="A1192" s="92" t="s">
        <v>946</v>
      </c>
      <c r="B1192" s="93" t="s">
        <v>47</v>
      </c>
      <c r="C1192" s="93" t="s">
        <v>558</v>
      </c>
      <c r="D1192" s="93" t="s">
        <v>1132</v>
      </c>
      <c r="E1192" s="94" t="s">
        <v>650</v>
      </c>
      <c r="F1192" s="93" t="s">
        <v>397</v>
      </c>
      <c r="G1192" s="93" t="s">
        <v>314</v>
      </c>
      <c r="H1192" s="93" t="s">
        <v>10</v>
      </c>
      <c r="I1192" s="93" t="s">
        <v>255</v>
      </c>
      <c r="J1192" s="93" t="s">
        <v>47</v>
      </c>
      <c r="K1192" s="93"/>
      <c r="L1192" s="95">
        <v>3.46</v>
      </c>
      <c r="M1192" s="95">
        <f>L1192*VLOOKUP(H1192,dagsoorttabel1,2,FALSE)</f>
        <v>3.46</v>
      </c>
      <c r="N1192" s="96">
        <f>prodnorm89</f>
        <v>0</v>
      </c>
      <c r="O1192" s="37">
        <f>dagwerk89</f>
        <v>0</v>
      </c>
      <c r="P1192" s="93" t="s">
        <v>105</v>
      </c>
      <c r="Q1192" s="24">
        <f>uurtarief89</f>
        <v>0</v>
      </c>
      <c r="R1192" s="95" t="e">
        <f>IF(ISBLANK(N1192),0,M1192/ROUND(N1192,4))</f>
        <v>#DIV/0!</v>
      </c>
      <c r="S1192" s="95" t="e">
        <f>IF(ISBLANK(N1192),0,R1192*ROUND(O1192,2))</f>
        <v>#DIV/0!</v>
      </c>
      <c r="T1192" s="24" t="e">
        <f>ROUND(Q1192,2)*R1192</f>
        <v>#DIV/0!</v>
      </c>
      <c r="U1192" s="95" t="e">
        <f>R1192*dagenperjaar1</f>
        <v>#DIV/0!</v>
      </c>
      <c r="V1192" s="25" t="e">
        <f>U1192*ROUND(Q1192,2)</f>
        <v>#DIV/0!</v>
      </c>
    </row>
    <row r="1193" spans="1:22" x14ac:dyDescent="0.2">
      <c r="A1193" s="92" t="s">
        <v>946</v>
      </c>
      <c r="B1193" s="93" t="s">
        <v>47</v>
      </c>
      <c r="C1193" s="93" t="s">
        <v>558</v>
      </c>
      <c r="D1193" s="93" t="s">
        <v>1133</v>
      </c>
      <c r="E1193" s="94" t="s">
        <v>677</v>
      </c>
      <c r="F1193" s="93" t="s">
        <v>397</v>
      </c>
      <c r="G1193" s="93" t="s">
        <v>304</v>
      </c>
      <c r="H1193" s="93" t="s">
        <v>10</v>
      </c>
      <c r="I1193" s="93" t="s">
        <v>255</v>
      </c>
      <c r="J1193" s="93" t="s">
        <v>47</v>
      </c>
      <c r="K1193" s="93"/>
      <c r="L1193" s="95">
        <v>6.71</v>
      </c>
      <c r="M1193" s="95">
        <f>L1193*VLOOKUP(H1193,dagsoorttabel1,2,FALSE)</f>
        <v>6.71</v>
      </c>
      <c r="N1193" s="96">
        <f>prodnorm75</f>
        <v>0</v>
      </c>
      <c r="O1193" s="37">
        <f>dagwerk75</f>
        <v>0</v>
      </c>
      <c r="P1193" s="93" t="s">
        <v>105</v>
      </c>
      <c r="Q1193" s="24">
        <f>uurtarief75</f>
        <v>0</v>
      </c>
      <c r="R1193" s="95" t="e">
        <f>IF(ISBLANK(N1193),0,M1193/ROUND(N1193,4))</f>
        <v>#DIV/0!</v>
      </c>
      <c r="S1193" s="95" t="e">
        <f>IF(ISBLANK(N1193),0,R1193*ROUND(O1193,2))</f>
        <v>#DIV/0!</v>
      </c>
      <c r="T1193" s="24" t="e">
        <f>ROUND(Q1193,2)*R1193</f>
        <v>#DIV/0!</v>
      </c>
      <c r="U1193" s="95" t="e">
        <f>R1193*dagenperjaar1</f>
        <v>#DIV/0!</v>
      </c>
      <c r="V1193" s="25" t="e">
        <f>U1193*ROUND(Q1193,2)</f>
        <v>#DIV/0!</v>
      </c>
    </row>
    <row r="1194" spans="1:22" x14ac:dyDescent="0.2">
      <c r="A1194" s="92" t="s">
        <v>946</v>
      </c>
      <c r="B1194" s="93" t="s">
        <v>47</v>
      </c>
      <c r="C1194" s="93" t="s">
        <v>558</v>
      </c>
      <c r="D1194" s="93" t="s">
        <v>1134</v>
      </c>
      <c r="E1194" s="94" t="s">
        <v>637</v>
      </c>
      <c r="F1194" s="93" t="s">
        <v>442</v>
      </c>
      <c r="G1194" s="93" t="s">
        <v>308</v>
      </c>
      <c r="H1194" s="93" t="s">
        <v>10</v>
      </c>
      <c r="I1194" s="93" t="s">
        <v>255</v>
      </c>
      <c r="J1194" s="93" t="s">
        <v>47</v>
      </c>
      <c r="K1194" s="93"/>
      <c r="L1194" s="95">
        <v>15.239999999999998</v>
      </c>
      <c r="M1194" s="95">
        <f>L1194*VLOOKUP(H1194,dagsoorttabel1,2,FALSE)</f>
        <v>15.239999999999998</v>
      </c>
      <c r="N1194" s="96">
        <f>prodnorm82</f>
        <v>0</v>
      </c>
      <c r="O1194" s="37">
        <f>dagwerk82</f>
        <v>0</v>
      </c>
      <c r="P1194" s="93" t="s">
        <v>105</v>
      </c>
      <c r="Q1194" s="24">
        <f>uurtarief82</f>
        <v>0</v>
      </c>
      <c r="R1194" s="95" t="e">
        <f>IF(ISBLANK(N1194),0,M1194/ROUND(N1194,4))</f>
        <v>#DIV/0!</v>
      </c>
      <c r="S1194" s="95" t="e">
        <f>IF(ISBLANK(N1194),0,R1194*ROUND(O1194,2))</f>
        <v>#DIV/0!</v>
      </c>
      <c r="T1194" s="24" t="e">
        <f>ROUND(Q1194,2)*R1194</f>
        <v>#DIV/0!</v>
      </c>
      <c r="U1194" s="95" t="e">
        <f>R1194*dagenperjaar1</f>
        <v>#DIV/0!</v>
      </c>
      <c r="V1194" s="25" t="e">
        <f>U1194*ROUND(Q1194,2)</f>
        <v>#DIV/0!</v>
      </c>
    </row>
    <row r="1195" spans="1:22" x14ac:dyDescent="0.2">
      <c r="A1195" s="92" t="s">
        <v>946</v>
      </c>
      <c r="B1195" s="93" t="s">
        <v>47</v>
      </c>
      <c r="C1195" s="93" t="s">
        <v>558</v>
      </c>
      <c r="D1195" s="93" t="s">
        <v>1135</v>
      </c>
      <c r="E1195" s="94" t="s">
        <v>637</v>
      </c>
      <c r="F1195" s="93" t="s">
        <v>442</v>
      </c>
      <c r="G1195" s="93" t="s">
        <v>308</v>
      </c>
      <c r="H1195" s="93" t="s">
        <v>10</v>
      </c>
      <c r="I1195" s="93" t="s">
        <v>255</v>
      </c>
      <c r="J1195" s="93" t="s">
        <v>47</v>
      </c>
      <c r="K1195" s="93"/>
      <c r="L1195" s="95">
        <v>13.19</v>
      </c>
      <c r="M1195" s="95">
        <f>L1195*VLOOKUP(H1195,dagsoorttabel1,2,FALSE)</f>
        <v>13.19</v>
      </c>
      <c r="N1195" s="96">
        <f>prodnorm82</f>
        <v>0</v>
      </c>
      <c r="O1195" s="37">
        <f>dagwerk82</f>
        <v>0</v>
      </c>
      <c r="P1195" s="93" t="s">
        <v>105</v>
      </c>
      <c r="Q1195" s="24">
        <f>uurtarief82</f>
        <v>0</v>
      </c>
      <c r="R1195" s="95" t="e">
        <f>IF(ISBLANK(N1195),0,M1195/ROUND(N1195,4))</f>
        <v>#DIV/0!</v>
      </c>
      <c r="S1195" s="95" t="e">
        <f>IF(ISBLANK(N1195),0,R1195*ROUND(O1195,2))</f>
        <v>#DIV/0!</v>
      </c>
      <c r="T1195" s="24" t="e">
        <f>ROUND(Q1195,2)*R1195</f>
        <v>#DIV/0!</v>
      </c>
      <c r="U1195" s="95" t="e">
        <f>R1195*dagenperjaar1</f>
        <v>#DIV/0!</v>
      </c>
      <c r="V1195" s="25" t="e">
        <f>U1195*ROUND(Q1195,2)</f>
        <v>#DIV/0!</v>
      </c>
    </row>
    <row r="1196" spans="1:22" ht="25.2" x14ac:dyDescent="0.2">
      <c r="A1196" s="92" t="s">
        <v>946</v>
      </c>
      <c r="B1196" s="93" t="s">
        <v>47</v>
      </c>
      <c r="C1196" s="93" t="s">
        <v>558</v>
      </c>
      <c r="D1196" s="93" t="s">
        <v>1136</v>
      </c>
      <c r="E1196" s="94" t="s">
        <v>1137</v>
      </c>
      <c r="F1196" s="93" t="s">
        <v>397</v>
      </c>
      <c r="G1196" s="93" t="s">
        <v>308</v>
      </c>
      <c r="H1196" s="93" t="s">
        <v>21</v>
      </c>
      <c r="I1196" s="93" t="s">
        <v>255</v>
      </c>
      <c r="J1196" s="93" t="s">
        <v>47</v>
      </c>
      <c r="K1196" s="93"/>
      <c r="L1196" s="95">
        <v>13.16</v>
      </c>
      <c r="M1196" s="95">
        <f>L1196*VLOOKUP(H1196,dagsoorttabel1,2,FALSE)</f>
        <v>2.6320000000000001</v>
      </c>
      <c r="N1196" s="96">
        <f>prodnorm84</f>
        <v>0</v>
      </c>
      <c r="O1196" s="37">
        <f>dagwerk84</f>
        <v>0</v>
      </c>
      <c r="P1196" s="93" t="s">
        <v>105</v>
      </c>
      <c r="Q1196" s="24">
        <f>uurtarief84</f>
        <v>0</v>
      </c>
      <c r="R1196" s="95" t="e">
        <f>IF(ISBLANK(N1196),0,M1196/ROUND(N1196,4))</f>
        <v>#DIV/0!</v>
      </c>
      <c r="S1196" s="95" t="e">
        <f>IF(ISBLANK(N1196),0,R1196*ROUND(O1196,2))</f>
        <v>#DIV/0!</v>
      </c>
      <c r="T1196" s="24" t="e">
        <f>ROUND(Q1196,2)*R1196</f>
        <v>#DIV/0!</v>
      </c>
      <c r="U1196" s="95" t="e">
        <f>R1196*dagenperjaar1</f>
        <v>#DIV/0!</v>
      </c>
      <c r="V1196" s="25" t="e">
        <f>U1196*ROUND(Q1196,2)</f>
        <v>#DIV/0!</v>
      </c>
    </row>
    <row r="1197" spans="1:22" x14ac:dyDescent="0.2">
      <c r="A1197" s="92" t="s">
        <v>946</v>
      </c>
      <c r="B1197" s="93" t="s">
        <v>47</v>
      </c>
      <c r="C1197" s="93" t="s">
        <v>588</v>
      </c>
      <c r="D1197" s="93" t="s">
        <v>1138</v>
      </c>
      <c r="E1197" s="94" t="s">
        <v>982</v>
      </c>
      <c r="F1197" s="93" t="s">
        <v>397</v>
      </c>
      <c r="G1197" s="93" t="s">
        <v>284</v>
      </c>
      <c r="H1197" s="93" t="s">
        <v>21</v>
      </c>
      <c r="I1197" s="93" t="s">
        <v>255</v>
      </c>
      <c r="J1197" s="93" t="s">
        <v>47</v>
      </c>
      <c r="K1197" s="93"/>
      <c r="L1197" s="95">
        <v>19.91</v>
      </c>
      <c r="M1197" s="95">
        <f>L1197*VLOOKUP(H1197,dagsoorttabel1,2,FALSE)</f>
        <v>3.9820000000000002</v>
      </c>
      <c r="N1197" s="96">
        <f>prodnorm60</f>
        <v>0</v>
      </c>
      <c r="O1197" s="37">
        <f>dagwerk60</f>
        <v>0</v>
      </c>
      <c r="P1197" s="93" t="s">
        <v>105</v>
      </c>
      <c r="Q1197" s="24">
        <f>uurtarief60</f>
        <v>0</v>
      </c>
      <c r="R1197" s="95" t="e">
        <f>IF(ISBLANK(N1197),0,M1197/ROUND(N1197,4))</f>
        <v>#DIV/0!</v>
      </c>
      <c r="S1197" s="95" t="e">
        <f>IF(ISBLANK(N1197),0,R1197*ROUND(O1197,2))</f>
        <v>#DIV/0!</v>
      </c>
      <c r="T1197" s="24" t="e">
        <f>ROUND(Q1197,2)*R1197</f>
        <v>#DIV/0!</v>
      </c>
      <c r="U1197" s="95" t="e">
        <f>R1197*dagenperjaar1</f>
        <v>#DIV/0!</v>
      </c>
      <c r="V1197" s="25" t="e">
        <f>U1197*ROUND(Q1197,2)</f>
        <v>#DIV/0!</v>
      </c>
    </row>
    <row r="1198" spans="1:22" x14ac:dyDescent="0.2">
      <c r="A1198" s="92" t="s">
        <v>946</v>
      </c>
      <c r="B1198" s="93" t="s">
        <v>47</v>
      </c>
      <c r="C1198" s="93" t="s">
        <v>588</v>
      </c>
      <c r="D1198" s="93" t="s">
        <v>1139</v>
      </c>
      <c r="E1198" s="94" t="s">
        <v>1116</v>
      </c>
      <c r="F1198" s="93" t="s">
        <v>397</v>
      </c>
      <c r="G1198" s="93" t="s">
        <v>314</v>
      </c>
      <c r="H1198" s="93" t="s">
        <v>18</v>
      </c>
      <c r="I1198" s="93" t="s">
        <v>255</v>
      </c>
      <c r="J1198" s="93" t="s">
        <v>47</v>
      </c>
      <c r="K1198" s="93"/>
      <c r="L1198" s="95">
        <v>173.29</v>
      </c>
      <c r="M1198" s="95">
        <f>L1198*VLOOKUP(H1198,dagsoorttabel1,2,FALSE)</f>
        <v>69.316000000000003</v>
      </c>
      <c r="N1198" s="96">
        <f>prodnorm87</f>
        <v>0</v>
      </c>
      <c r="O1198" s="37">
        <f>dagwerk87</f>
        <v>0</v>
      </c>
      <c r="P1198" s="93" t="s">
        <v>105</v>
      </c>
      <c r="Q1198" s="24">
        <f>uurtarief87</f>
        <v>0</v>
      </c>
      <c r="R1198" s="95" t="e">
        <f>IF(ISBLANK(N1198),0,M1198/ROUND(N1198,4))</f>
        <v>#DIV/0!</v>
      </c>
      <c r="S1198" s="95" t="e">
        <f>IF(ISBLANK(N1198),0,R1198*ROUND(O1198,2))</f>
        <v>#DIV/0!</v>
      </c>
      <c r="T1198" s="24" t="e">
        <f>ROUND(Q1198,2)*R1198</f>
        <v>#DIV/0!</v>
      </c>
      <c r="U1198" s="95" t="e">
        <f>R1198*dagenperjaar1</f>
        <v>#DIV/0!</v>
      </c>
      <c r="V1198" s="25" t="e">
        <f>U1198*ROUND(Q1198,2)</f>
        <v>#DIV/0!</v>
      </c>
    </row>
    <row r="1199" spans="1:22" x14ac:dyDescent="0.2">
      <c r="A1199" s="92" t="s">
        <v>946</v>
      </c>
      <c r="B1199" s="93" t="s">
        <v>47</v>
      </c>
      <c r="C1199" s="93" t="s">
        <v>588</v>
      </c>
      <c r="D1199" s="93" t="s">
        <v>1140</v>
      </c>
      <c r="E1199" s="94" t="s">
        <v>1141</v>
      </c>
      <c r="F1199" s="93" t="s">
        <v>442</v>
      </c>
      <c r="G1199" s="93" t="s">
        <v>308</v>
      </c>
      <c r="H1199" s="93" t="s">
        <v>10</v>
      </c>
      <c r="I1199" s="93" t="s">
        <v>255</v>
      </c>
      <c r="J1199" s="93" t="s">
        <v>47</v>
      </c>
      <c r="K1199" s="93"/>
      <c r="L1199" s="95">
        <v>11.4</v>
      </c>
      <c r="M1199" s="95">
        <f>L1199*VLOOKUP(H1199,dagsoorttabel1,2,FALSE)</f>
        <v>11.4</v>
      </c>
      <c r="N1199" s="96">
        <f>prodnorm82</f>
        <v>0</v>
      </c>
      <c r="O1199" s="37">
        <f>dagwerk82</f>
        <v>0</v>
      </c>
      <c r="P1199" s="93" t="s">
        <v>105</v>
      </c>
      <c r="Q1199" s="24">
        <f>uurtarief82</f>
        <v>0</v>
      </c>
      <c r="R1199" s="95" t="e">
        <f>IF(ISBLANK(N1199),0,M1199/ROUND(N1199,4))</f>
        <v>#DIV/0!</v>
      </c>
      <c r="S1199" s="95" t="e">
        <f>IF(ISBLANK(N1199),0,R1199*ROUND(O1199,2))</f>
        <v>#DIV/0!</v>
      </c>
      <c r="T1199" s="24" t="e">
        <f>ROUND(Q1199,2)*R1199</f>
        <v>#DIV/0!</v>
      </c>
      <c r="U1199" s="95" t="e">
        <f>R1199*dagenperjaar1</f>
        <v>#DIV/0!</v>
      </c>
      <c r="V1199" s="25" t="e">
        <f>U1199*ROUND(Q1199,2)</f>
        <v>#DIV/0!</v>
      </c>
    </row>
    <row r="1200" spans="1:22" x14ac:dyDescent="0.2">
      <c r="A1200" s="92" t="s">
        <v>946</v>
      </c>
      <c r="B1200" s="93" t="s">
        <v>47</v>
      </c>
      <c r="C1200" s="93" t="s">
        <v>588</v>
      </c>
      <c r="D1200" s="93" t="s">
        <v>1142</v>
      </c>
      <c r="E1200" s="94" t="s">
        <v>1143</v>
      </c>
      <c r="F1200" s="93" t="s">
        <v>397</v>
      </c>
      <c r="G1200" s="93" t="s">
        <v>314</v>
      </c>
      <c r="H1200" s="93" t="s">
        <v>10</v>
      </c>
      <c r="I1200" s="93" t="s">
        <v>255</v>
      </c>
      <c r="J1200" s="93" t="s">
        <v>47</v>
      </c>
      <c r="K1200" s="93"/>
      <c r="L1200" s="95">
        <v>33.200000000000003</v>
      </c>
      <c r="M1200" s="95">
        <f>L1200*VLOOKUP(H1200,dagsoorttabel1,2,FALSE)</f>
        <v>33.200000000000003</v>
      </c>
      <c r="N1200" s="96">
        <f>prodnorm89</f>
        <v>0</v>
      </c>
      <c r="O1200" s="37">
        <f>dagwerk89</f>
        <v>0</v>
      </c>
      <c r="P1200" s="93" t="s">
        <v>105</v>
      </c>
      <c r="Q1200" s="24">
        <f>uurtarief89</f>
        <v>0</v>
      </c>
      <c r="R1200" s="95" t="e">
        <f>IF(ISBLANK(N1200),0,M1200/ROUND(N1200,4))</f>
        <v>#DIV/0!</v>
      </c>
      <c r="S1200" s="95" t="e">
        <f>IF(ISBLANK(N1200),0,R1200*ROUND(O1200,2))</f>
        <v>#DIV/0!</v>
      </c>
      <c r="T1200" s="24" t="e">
        <f>ROUND(Q1200,2)*R1200</f>
        <v>#DIV/0!</v>
      </c>
      <c r="U1200" s="95" t="e">
        <f>R1200*dagenperjaar1</f>
        <v>#DIV/0!</v>
      </c>
      <c r="V1200" s="25" t="e">
        <f>U1200*ROUND(Q1200,2)</f>
        <v>#DIV/0!</v>
      </c>
    </row>
    <row r="1201" spans="1:22" x14ac:dyDescent="0.2">
      <c r="A1201" s="97" t="s">
        <v>946</v>
      </c>
      <c r="B1201" s="98" t="s">
        <v>47</v>
      </c>
      <c r="C1201" s="98" t="s">
        <v>588</v>
      </c>
      <c r="D1201" s="98" t="s">
        <v>1144</v>
      </c>
      <c r="E1201" s="99" t="s">
        <v>650</v>
      </c>
      <c r="F1201" s="98" t="s">
        <v>397</v>
      </c>
      <c r="G1201" s="98" t="s">
        <v>314</v>
      </c>
      <c r="H1201" s="98" t="s">
        <v>10</v>
      </c>
      <c r="I1201" s="98" t="s">
        <v>255</v>
      </c>
      <c r="J1201" s="98" t="s">
        <v>47</v>
      </c>
      <c r="K1201" s="98"/>
      <c r="L1201" s="100">
        <v>2.4499999999999997</v>
      </c>
      <c r="M1201" s="100">
        <f>L1201*VLOOKUP(H1201,dagsoorttabel1,2,FALSE)</f>
        <v>2.4499999999999997</v>
      </c>
      <c r="N1201" s="101">
        <f>prodnorm89</f>
        <v>0</v>
      </c>
      <c r="O1201" s="102">
        <f>dagwerk89</f>
        <v>0</v>
      </c>
      <c r="P1201" s="98" t="s">
        <v>105</v>
      </c>
      <c r="Q1201" s="34">
        <f>uurtarief89</f>
        <v>0</v>
      </c>
      <c r="R1201" s="100" t="e">
        <f>IF(ISBLANK(N1201),0,M1201/ROUND(N1201,4))</f>
        <v>#DIV/0!</v>
      </c>
      <c r="S1201" s="100" t="e">
        <f>IF(ISBLANK(N1201),0,R1201*ROUND(O1201,2))</f>
        <v>#DIV/0!</v>
      </c>
      <c r="T1201" s="34" t="e">
        <f>ROUND(Q1201,2)*R1201</f>
        <v>#DIV/0!</v>
      </c>
      <c r="U1201" s="100" t="e">
        <f>R1201*dagenperjaar1</f>
        <v>#DIV/0!</v>
      </c>
      <c r="V1201" s="35" t="e">
        <f>U1201*ROUND(Q1201,2)</f>
        <v>#DIV/0!</v>
      </c>
    </row>
    <row r="1202" spans="1:22" x14ac:dyDescent="0.2">
      <c r="A1202" s="103" t="s">
        <v>436</v>
      </c>
      <c r="B1202" s="73"/>
      <c r="C1202" s="73"/>
      <c r="D1202" s="73"/>
      <c r="E1202" s="73"/>
      <c r="F1202" s="73"/>
      <c r="G1202" s="73"/>
      <c r="H1202" s="73"/>
      <c r="I1202" s="73"/>
      <c r="J1202" s="73"/>
      <c r="K1202" s="73"/>
      <c r="L1202" s="73"/>
      <c r="M1202" s="73"/>
      <c r="N1202" s="73"/>
      <c r="O1202" s="73"/>
      <c r="P1202" s="73"/>
      <c r="Q1202" s="75" t="e">
        <f>IF(_xlfn.SINGLE(object30_urenjaar1)&gt;0,_xlfn.SINGLE(object30_prijsjaar1)/_xlfn.SINGLE(object30_urenjaar1),0)</f>
        <v>#DIV/0!</v>
      </c>
      <c r="R1202" s="74" t="e">
        <f>SUM(R1039:R1201)</f>
        <v>#DIV/0!</v>
      </c>
      <c r="S1202" s="74" t="e">
        <f>SUM(S1039:S1201)</f>
        <v>#DIV/0!</v>
      </c>
      <c r="T1202" s="75" t="e">
        <f>SUM(T1039:T1201)</f>
        <v>#DIV/0!</v>
      </c>
      <c r="U1202" s="74" t="e">
        <f>SUM(U1039:U1201)</f>
        <v>#DIV/0!</v>
      </c>
      <c r="V1202" s="76" t="e">
        <f>SUM(V1039:V1201)</f>
        <v>#DIV/0!</v>
      </c>
    </row>
    <row r="1203" spans="1:22" x14ac:dyDescent="0.2">
      <c r="A1203" s="83" t="s">
        <v>1145</v>
      </c>
      <c r="B1203" s="45"/>
      <c r="C1203" s="45"/>
      <c r="D1203" s="45"/>
      <c r="E1203" s="45"/>
      <c r="F1203" s="45"/>
      <c r="G1203" s="45"/>
      <c r="H1203" s="45"/>
      <c r="I1203" s="45"/>
      <c r="J1203" s="45"/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71"/>
    </row>
    <row r="1204" spans="1:22" x14ac:dyDescent="0.2">
      <c r="A1204" s="84" t="s">
        <v>1146</v>
      </c>
      <c r="B1204" s="85" t="s">
        <v>47</v>
      </c>
      <c r="C1204" s="85" t="s">
        <v>394</v>
      </c>
      <c r="D1204" s="85" t="s">
        <v>395</v>
      </c>
      <c r="E1204" s="86" t="s">
        <v>430</v>
      </c>
      <c r="F1204" s="85" t="s">
        <v>439</v>
      </c>
      <c r="G1204" s="85" t="s">
        <v>280</v>
      </c>
      <c r="H1204" s="85" t="s">
        <v>13</v>
      </c>
      <c r="I1204" s="85" t="s">
        <v>255</v>
      </c>
      <c r="J1204" s="85" t="s">
        <v>47</v>
      </c>
      <c r="K1204" s="85"/>
      <c r="L1204" s="87">
        <v>252</v>
      </c>
      <c r="M1204" s="87">
        <f>L1204*VLOOKUP(H1204,dagsoorttabel1,2,FALSE)</f>
        <v>197.64705882352942</v>
      </c>
      <c r="N1204" s="88">
        <f>prodnorm52</f>
        <v>0</v>
      </c>
      <c r="O1204" s="89">
        <f>dagwerk52</f>
        <v>0</v>
      </c>
      <c r="P1204" s="85" t="s">
        <v>105</v>
      </c>
      <c r="Q1204" s="90">
        <f>uurtarief52</f>
        <v>0</v>
      </c>
      <c r="R1204" s="87" t="e">
        <f>IF(ISBLANK(N1204),0,M1204/ROUND(N1204,4))</f>
        <v>#DIV/0!</v>
      </c>
      <c r="S1204" s="87" t="e">
        <f>IF(ISBLANK(N1204),0,R1204*ROUND(O1204,2))</f>
        <v>#DIV/0!</v>
      </c>
      <c r="T1204" s="90" t="e">
        <f>ROUND(Q1204,2)*R1204</f>
        <v>#DIV/0!</v>
      </c>
      <c r="U1204" s="87" t="e">
        <f>R1204*dagenperjaar1</f>
        <v>#DIV/0!</v>
      </c>
      <c r="V1204" s="91" t="e">
        <f>U1204*ROUND(Q1204,2)</f>
        <v>#DIV/0!</v>
      </c>
    </row>
    <row r="1205" spans="1:22" x14ac:dyDescent="0.2">
      <c r="A1205" s="92" t="s">
        <v>1146</v>
      </c>
      <c r="B1205" s="93" t="s">
        <v>47</v>
      </c>
      <c r="C1205" s="93" t="s">
        <v>394</v>
      </c>
      <c r="D1205" s="93" t="s">
        <v>398</v>
      </c>
      <c r="E1205" s="94" t="s">
        <v>433</v>
      </c>
      <c r="F1205" s="93" t="s">
        <v>439</v>
      </c>
      <c r="G1205" s="93" t="s">
        <v>280</v>
      </c>
      <c r="H1205" s="93" t="s">
        <v>22</v>
      </c>
      <c r="I1205" s="93" t="s">
        <v>255</v>
      </c>
      <c r="J1205" s="93" t="s">
        <v>47</v>
      </c>
      <c r="K1205" s="93"/>
      <c r="L1205" s="95">
        <v>41</v>
      </c>
      <c r="M1205" s="95">
        <f>L1205*VLOOKUP(H1205,dagsoorttabel1,2,FALSE)</f>
        <v>6.4313725490196081</v>
      </c>
      <c r="N1205" s="96">
        <f>prodnorm54</f>
        <v>0</v>
      </c>
      <c r="O1205" s="37">
        <f>dagwerk54</f>
        <v>0</v>
      </c>
      <c r="P1205" s="93" t="s">
        <v>105</v>
      </c>
      <c r="Q1205" s="24">
        <f>uurtarief54</f>
        <v>0</v>
      </c>
      <c r="R1205" s="95" t="e">
        <f>IF(ISBLANK(N1205),0,M1205/ROUND(N1205,4))</f>
        <v>#DIV/0!</v>
      </c>
      <c r="S1205" s="95" t="e">
        <f>IF(ISBLANK(N1205),0,R1205*ROUND(O1205,2))</f>
        <v>#DIV/0!</v>
      </c>
      <c r="T1205" s="24" t="e">
        <f>ROUND(Q1205,2)*R1205</f>
        <v>#DIV/0!</v>
      </c>
      <c r="U1205" s="95" t="e">
        <f>R1205*dagenperjaar1</f>
        <v>#DIV/0!</v>
      </c>
      <c r="V1205" s="25" t="e">
        <f>U1205*ROUND(Q1205,2)</f>
        <v>#DIV/0!</v>
      </c>
    </row>
    <row r="1206" spans="1:22" x14ac:dyDescent="0.2">
      <c r="A1206" s="92" t="s">
        <v>1146</v>
      </c>
      <c r="B1206" s="93" t="s">
        <v>47</v>
      </c>
      <c r="C1206" s="93" t="s">
        <v>394</v>
      </c>
      <c r="D1206" s="93" t="s">
        <v>400</v>
      </c>
      <c r="E1206" s="94" t="s">
        <v>1147</v>
      </c>
      <c r="F1206" s="93" t="s">
        <v>442</v>
      </c>
      <c r="G1206" s="93" t="s">
        <v>304</v>
      </c>
      <c r="H1206" s="93" t="s">
        <v>13</v>
      </c>
      <c r="I1206" s="93" t="s">
        <v>255</v>
      </c>
      <c r="J1206" s="93" t="s">
        <v>47</v>
      </c>
      <c r="K1206" s="93"/>
      <c r="L1206" s="95">
        <v>3</v>
      </c>
      <c r="M1206" s="95">
        <f>L1206*VLOOKUP(H1206,dagsoorttabel1,2,FALSE)</f>
        <v>2.3529411764705883</v>
      </c>
      <c r="N1206" s="96">
        <f>prodnorm74</f>
        <v>0</v>
      </c>
      <c r="O1206" s="37">
        <f>dagwerk74</f>
        <v>0</v>
      </c>
      <c r="P1206" s="93" t="s">
        <v>105</v>
      </c>
      <c r="Q1206" s="24">
        <f>uurtarief74</f>
        <v>0</v>
      </c>
      <c r="R1206" s="95" t="e">
        <f>IF(ISBLANK(N1206),0,M1206/ROUND(N1206,4))</f>
        <v>#DIV/0!</v>
      </c>
      <c r="S1206" s="95" t="e">
        <f>IF(ISBLANK(N1206),0,R1206*ROUND(O1206,2))</f>
        <v>#DIV/0!</v>
      </c>
      <c r="T1206" s="24" t="e">
        <f>ROUND(Q1206,2)*R1206</f>
        <v>#DIV/0!</v>
      </c>
      <c r="U1206" s="95" t="e">
        <f>R1206*dagenperjaar1</f>
        <v>#DIV/0!</v>
      </c>
      <c r="V1206" s="25" t="e">
        <f>U1206*ROUND(Q1206,2)</f>
        <v>#DIV/0!</v>
      </c>
    </row>
    <row r="1207" spans="1:22" x14ac:dyDescent="0.2">
      <c r="A1207" s="92" t="s">
        <v>1146</v>
      </c>
      <c r="B1207" s="93" t="s">
        <v>47</v>
      </c>
      <c r="C1207" s="93" t="s">
        <v>394</v>
      </c>
      <c r="D1207" s="93" t="s">
        <v>402</v>
      </c>
      <c r="E1207" s="94" t="s">
        <v>1147</v>
      </c>
      <c r="F1207" s="93" t="s">
        <v>442</v>
      </c>
      <c r="G1207" s="93" t="s">
        <v>304</v>
      </c>
      <c r="H1207" s="93" t="s">
        <v>13</v>
      </c>
      <c r="I1207" s="93" t="s">
        <v>255</v>
      </c>
      <c r="J1207" s="93" t="s">
        <v>47</v>
      </c>
      <c r="K1207" s="93"/>
      <c r="L1207" s="95">
        <v>3</v>
      </c>
      <c r="M1207" s="95">
        <f>L1207*VLOOKUP(H1207,dagsoorttabel1,2,FALSE)</f>
        <v>2.3529411764705883</v>
      </c>
      <c r="N1207" s="96">
        <f>prodnorm74</f>
        <v>0</v>
      </c>
      <c r="O1207" s="37">
        <f>dagwerk74</f>
        <v>0</v>
      </c>
      <c r="P1207" s="93" t="s">
        <v>105</v>
      </c>
      <c r="Q1207" s="24">
        <f>uurtarief74</f>
        <v>0</v>
      </c>
      <c r="R1207" s="95" t="e">
        <f>IF(ISBLANK(N1207),0,M1207/ROUND(N1207,4))</f>
        <v>#DIV/0!</v>
      </c>
      <c r="S1207" s="95" t="e">
        <f>IF(ISBLANK(N1207),0,R1207*ROUND(O1207,2))</f>
        <v>#DIV/0!</v>
      </c>
      <c r="T1207" s="24" t="e">
        <f>ROUND(Q1207,2)*R1207</f>
        <v>#DIV/0!</v>
      </c>
      <c r="U1207" s="95" t="e">
        <f>R1207*dagenperjaar1</f>
        <v>#DIV/0!</v>
      </c>
      <c r="V1207" s="25" t="e">
        <f>U1207*ROUND(Q1207,2)</f>
        <v>#DIV/0!</v>
      </c>
    </row>
    <row r="1208" spans="1:22" x14ac:dyDescent="0.2">
      <c r="A1208" s="92" t="s">
        <v>1146</v>
      </c>
      <c r="B1208" s="93" t="s">
        <v>47</v>
      </c>
      <c r="C1208" s="93" t="s">
        <v>394</v>
      </c>
      <c r="D1208" s="93" t="s">
        <v>406</v>
      </c>
      <c r="E1208" s="94" t="s">
        <v>481</v>
      </c>
      <c r="F1208" s="93" t="s">
        <v>442</v>
      </c>
      <c r="G1208" s="93" t="s">
        <v>266</v>
      </c>
      <c r="H1208" s="93" t="s">
        <v>13</v>
      </c>
      <c r="I1208" s="93" t="s">
        <v>255</v>
      </c>
      <c r="J1208" s="93" t="s">
        <v>47</v>
      </c>
      <c r="K1208" s="93"/>
      <c r="L1208" s="95">
        <v>14.5</v>
      </c>
      <c r="M1208" s="95">
        <f>L1208*VLOOKUP(H1208,dagsoorttabel1,2,FALSE)</f>
        <v>11.372549019607844</v>
      </c>
      <c r="N1208" s="96">
        <f>prodnorm40</f>
        <v>0</v>
      </c>
      <c r="O1208" s="37">
        <f>dagwerk40</f>
        <v>0</v>
      </c>
      <c r="P1208" s="93" t="s">
        <v>105</v>
      </c>
      <c r="Q1208" s="24">
        <f>uurtarief40</f>
        <v>0</v>
      </c>
      <c r="R1208" s="95" t="e">
        <f>IF(ISBLANK(N1208),0,M1208/ROUND(N1208,4))</f>
        <v>#DIV/0!</v>
      </c>
      <c r="S1208" s="95" t="e">
        <f>IF(ISBLANK(N1208),0,R1208*ROUND(O1208,2))</f>
        <v>#DIV/0!</v>
      </c>
      <c r="T1208" s="24" t="e">
        <f>ROUND(Q1208,2)*R1208</f>
        <v>#DIV/0!</v>
      </c>
      <c r="U1208" s="95" t="e">
        <f>R1208*dagenperjaar1</f>
        <v>#DIV/0!</v>
      </c>
      <c r="V1208" s="25" t="e">
        <f>U1208*ROUND(Q1208,2)</f>
        <v>#DIV/0!</v>
      </c>
    </row>
    <row r="1209" spans="1:22" x14ac:dyDescent="0.2">
      <c r="A1209" s="92" t="s">
        <v>1146</v>
      </c>
      <c r="B1209" s="93" t="s">
        <v>47</v>
      </c>
      <c r="C1209" s="93" t="s">
        <v>394</v>
      </c>
      <c r="D1209" s="93" t="s">
        <v>409</v>
      </c>
      <c r="E1209" s="94" t="s">
        <v>481</v>
      </c>
      <c r="F1209" s="93" t="s">
        <v>442</v>
      </c>
      <c r="G1209" s="93" t="s">
        <v>266</v>
      </c>
      <c r="H1209" s="93" t="s">
        <v>13</v>
      </c>
      <c r="I1209" s="93" t="s">
        <v>255</v>
      </c>
      <c r="J1209" s="93" t="s">
        <v>47</v>
      </c>
      <c r="K1209" s="93"/>
      <c r="L1209" s="95">
        <v>14.5</v>
      </c>
      <c r="M1209" s="95">
        <f>L1209*VLOOKUP(H1209,dagsoorttabel1,2,FALSE)</f>
        <v>11.372549019607844</v>
      </c>
      <c r="N1209" s="96">
        <f>prodnorm40</f>
        <v>0</v>
      </c>
      <c r="O1209" s="37">
        <f>dagwerk40</f>
        <v>0</v>
      </c>
      <c r="P1209" s="93" t="s">
        <v>105</v>
      </c>
      <c r="Q1209" s="24">
        <f>uurtarief40</f>
        <v>0</v>
      </c>
      <c r="R1209" s="95" t="e">
        <f>IF(ISBLANK(N1209),0,M1209/ROUND(N1209,4))</f>
        <v>#DIV/0!</v>
      </c>
      <c r="S1209" s="95" t="e">
        <f>IF(ISBLANK(N1209),0,R1209*ROUND(O1209,2))</f>
        <v>#DIV/0!</v>
      </c>
      <c r="T1209" s="24" t="e">
        <f>ROUND(Q1209,2)*R1209</f>
        <v>#DIV/0!</v>
      </c>
      <c r="U1209" s="95" t="e">
        <f>R1209*dagenperjaar1</f>
        <v>#DIV/0!</v>
      </c>
      <c r="V1209" s="25" t="e">
        <f>U1209*ROUND(Q1209,2)</f>
        <v>#DIV/0!</v>
      </c>
    </row>
    <row r="1210" spans="1:22" x14ac:dyDescent="0.2">
      <c r="A1210" s="92" t="s">
        <v>1146</v>
      </c>
      <c r="B1210" s="93" t="s">
        <v>47</v>
      </c>
      <c r="C1210" s="93" t="s">
        <v>394</v>
      </c>
      <c r="D1210" s="93" t="s">
        <v>411</v>
      </c>
      <c r="E1210" s="94" t="s">
        <v>447</v>
      </c>
      <c r="F1210" s="93" t="s">
        <v>1148</v>
      </c>
      <c r="G1210" s="93" t="s">
        <v>284</v>
      </c>
      <c r="H1210" s="93" t="s">
        <v>13</v>
      </c>
      <c r="I1210" s="93" t="s">
        <v>255</v>
      </c>
      <c r="J1210" s="93" t="s">
        <v>47</v>
      </c>
      <c r="K1210" s="93"/>
      <c r="L1210" s="95">
        <v>33.5</v>
      </c>
      <c r="M1210" s="95">
        <f>L1210*VLOOKUP(H1210,dagsoorttabel1,2,FALSE)</f>
        <v>26.274509803921568</v>
      </c>
      <c r="N1210" s="96">
        <f>prodnorm58</f>
        <v>0</v>
      </c>
      <c r="O1210" s="37">
        <f>dagwerk58</f>
        <v>0</v>
      </c>
      <c r="P1210" s="93" t="s">
        <v>105</v>
      </c>
      <c r="Q1210" s="24">
        <f>uurtarief58</f>
        <v>0</v>
      </c>
      <c r="R1210" s="95" t="e">
        <f>IF(ISBLANK(N1210),0,M1210/ROUND(N1210,4))</f>
        <v>#DIV/0!</v>
      </c>
      <c r="S1210" s="95" t="e">
        <f>IF(ISBLANK(N1210),0,R1210*ROUND(O1210,2))</f>
        <v>#DIV/0!</v>
      </c>
      <c r="T1210" s="24" t="e">
        <f>ROUND(Q1210,2)*R1210</f>
        <v>#DIV/0!</v>
      </c>
      <c r="U1210" s="95" t="e">
        <f>R1210*dagenperjaar1</f>
        <v>#DIV/0!</v>
      </c>
      <c r="V1210" s="25" t="e">
        <f>U1210*ROUND(Q1210,2)</f>
        <v>#DIV/0!</v>
      </c>
    </row>
    <row r="1211" spans="1:22" x14ac:dyDescent="0.2">
      <c r="A1211" s="92" t="s">
        <v>1146</v>
      </c>
      <c r="B1211" s="93" t="s">
        <v>47</v>
      </c>
      <c r="C1211" s="93" t="s">
        <v>394</v>
      </c>
      <c r="D1211" s="93" t="s">
        <v>413</v>
      </c>
      <c r="E1211" s="94" t="s">
        <v>447</v>
      </c>
      <c r="F1211" s="93" t="s">
        <v>1148</v>
      </c>
      <c r="G1211" s="93" t="s">
        <v>284</v>
      </c>
      <c r="H1211" s="93" t="s">
        <v>13</v>
      </c>
      <c r="I1211" s="93" t="s">
        <v>255</v>
      </c>
      <c r="J1211" s="93" t="s">
        <v>47</v>
      </c>
      <c r="K1211" s="93"/>
      <c r="L1211" s="95">
        <v>32.5</v>
      </c>
      <c r="M1211" s="95">
        <f>L1211*VLOOKUP(H1211,dagsoorttabel1,2,FALSE)</f>
        <v>25.490196078431371</v>
      </c>
      <c r="N1211" s="96">
        <f>prodnorm58</f>
        <v>0</v>
      </c>
      <c r="O1211" s="37">
        <f>dagwerk58</f>
        <v>0</v>
      </c>
      <c r="P1211" s="93" t="s">
        <v>105</v>
      </c>
      <c r="Q1211" s="24">
        <f>uurtarief58</f>
        <v>0</v>
      </c>
      <c r="R1211" s="95" t="e">
        <f>IF(ISBLANK(N1211),0,M1211/ROUND(N1211,4))</f>
        <v>#DIV/0!</v>
      </c>
      <c r="S1211" s="95" t="e">
        <f>IF(ISBLANK(N1211),0,R1211*ROUND(O1211,2))</f>
        <v>#DIV/0!</v>
      </c>
      <c r="T1211" s="24" t="e">
        <f>ROUND(Q1211,2)*R1211</f>
        <v>#DIV/0!</v>
      </c>
      <c r="U1211" s="95" t="e">
        <f>R1211*dagenperjaar1</f>
        <v>#DIV/0!</v>
      </c>
      <c r="V1211" s="25" t="e">
        <f>U1211*ROUND(Q1211,2)</f>
        <v>#DIV/0!</v>
      </c>
    </row>
    <row r="1212" spans="1:22" ht="25.2" x14ac:dyDescent="0.2">
      <c r="A1212" s="92" t="s">
        <v>1146</v>
      </c>
      <c r="B1212" s="93" t="s">
        <v>47</v>
      </c>
      <c r="C1212" s="93" t="s">
        <v>394</v>
      </c>
      <c r="D1212" s="93" t="s">
        <v>415</v>
      </c>
      <c r="E1212" s="94" t="s">
        <v>482</v>
      </c>
      <c r="F1212" s="93" t="s">
        <v>442</v>
      </c>
      <c r="G1212" s="93" t="s">
        <v>266</v>
      </c>
      <c r="H1212" s="93" t="s">
        <v>13</v>
      </c>
      <c r="I1212" s="93" t="s">
        <v>255</v>
      </c>
      <c r="J1212" s="93" t="s">
        <v>47</v>
      </c>
      <c r="K1212" s="93"/>
      <c r="L1212" s="95">
        <v>4.3</v>
      </c>
      <c r="M1212" s="95">
        <f>L1212*VLOOKUP(H1212,dagsoorttabel1,2,FALSE)</f>
        <v>3.3725490196078431</v>
      </c>
      <c r="N1212" s="96">
        <f>prodnorm40</f>
        <v>0</v>
      </c>
      <c r="O1212" s="37">
        <f>dagwerk40</f>
        <v>0</v>
      </c>
      <c r="P1212" s="93" t="s">
        <v>105</v>
      </c>
      <c r="Q1212" s="24">
        <f>uurtarief40</f>
        <v>0</v>
      </c>
      <c r="R1212" s="95" t="e">
        <f>IF(ISBLANK(N1212),0,M1212/ROUND(N1212,4))</f>
        <v>#DIV/0!</v>
      </c>
      <c r="S1212" s="95" t="e">
        <f>IF(ISBLANK(N1212),0,R1212*ROUND(O1212,2))</f>
        <v>#DIV/0!</v>
      </c>
      <c r="T1212" s="24" t="e">
        <f>ROUND(Q1212,2)*R1212</f>
        <v>#DIV/0!</v>
      </c>
      <c r="U1212" s="95" t="e">
        <f>R1212*dagenperjaar1</f>
        <v>#DIV/0!</v>
      </c>
      <c r="V1212" s="25" t="e">
        <f>U1212*ROUND(Q1212,2)</f>
        <v>#DIV/0!</v>
      </c>
    </row>
    <row r="1213" spans="1:22" x14ac:dyDescent="0.2">
      <c r="A1213" s="92" t="s">
        <v>1146</v>
      </c>
      <c r="B1213" s="93" t="s">
        <v>47</v>
      </c>
      <c r="C1213" s="93" t="s">
        <v>394</v>
      </c>
      <c r="D1213" s="93" t="s">
        <v>416</v>
      </c>
      <c r="E1213" s="94" t="s">
        <v>473</v>
      </c>
      <c r="F1213" s="93" t="s">
        <v>442</v>
      </c>
      <c r="G1213" s="93" t="s">
        <v>284</v>
      </c>
      <c r="H1213" s="93" t="s">
        <v>13</v>
      </c>
      <c r="I1213" s="93" t="s">
        <v>255</v>
      </c>
      <c r="J1213" s="93" t="s">
        <v>47</v>
      </c>
      <c r="K1213" s="93"/>
      <c r="L1213" s="95">
        <v>3.3</v>
      </c>
      <c r="M1213" s="95">
        <f>L1213*VLOOKUP(H1213,dagsoorttabel1,2,FALSE)</f>
        <v>2.5882352941176467</v>
      </c>
      <c r="N1213" s="96">
        <f>prodnorm58</f>
        <v>0</v>
      </c>
      <c r="O1213" s="37">
        <f>dagwerk58</f>
        <v>0</v>
      </c>
      <c r="P1213" s="93" t="s">
        <v>105</v>
      </c>
      <c r="Q1213" s="24">
        <f>uurtarief58</f>
        <v>0</v>
      </c>
      <c r="R1213" s="95" t="e">
        <f>IF(ISBLANK(N1213),0,M1213/ROUND(N1213,4))</f>
        <v>#DIV/0!</v>
      </c>
      <c r="S1213" s="95" t="e">
        <f>IF(ISBLANK(N1213),0,R1213*ROUND(O1213,2))</f>
        <v>#DIV/0!</v>
      </c>
      <c r="T1213" s="24" t="e">
        <f>ROUND(Q1213,2)*R1213</f>
        <v>#DIV/0!</v>
      </c>
      <c r="U1213" s="95" t="e">
        <f>R1213*dagenperjaar1</f>
        <v>#DIV/0!</v>
      </c>
      <c r="V1213" s="25" t="e">
        <f>U1213*ROUND(Q1213,2)</f>
        <v>#DIV/0!</v>
      </c>
    </row>
    <row r="1214" spans="1:22" x14ac:dyDescent="0.2">
      <c r="A1214" s="92" t="s">
        <v>1146</v>
      </c>
      <c r="B1214" s="93" t="s">
        <v>47</v>
      </c>
      <c r="C1214" s="93" t="s">
        <v>394</v>
      </c>
      <c r="D1214" s="93" t="s">
        <v>474</v>
      </c>
      <c r="E1214" s="94" t="s">
        <v>643</v>
      </c>
      <c r="F1214" s="93" t="s">
        <v>1148</v>
      </c>
      <c r="G1214" s="93" t="s">
        <v>270</v>
      </c>
      <c r="H1214" s="93" t="s">
        <v>13</v>
      </c>
      <c r="I1214" s="93" t="s">
        <v>255</v>
      </c>
      <c r="J1214" s="93" t="s">
        <v>47</v>
      </c>
      <c r="K1214" s="93"/>
      <c r="L1214" s="95">
        <v>9</v>
      </c>
      <c r="M1214" s="95">
        <f>L1214*VLOOKUP(H1214,dagsoorttabel1,2,FALSE)</f>
        <v>7.0588235294117645</v>
      </c>
      <c r="N1214" s="96">
        <f>prodnorm43</f>
        <v>0</v>
      </c>
      <c r="O1214" s="37">
        <f>dagwerk43</f>
        <v>0</v>
      </c>
      <c r="P1214" s="93" t="s">
        <v>105</v>
      </c>
      <c r="Q1214" s="24">
        <f>uurtarief43</f>
        <v>0</v>
      </c>
      <c r="R1214" s="95" t="e">
        <f>IF(ISBLANK(N1214),0,M1214/ROUND(N1214,4))</f>
        <v>#DIV/0!</v>
      </c>
      <c r="S1214" s="95" t="e">
        <f>IF(ISBLANK(N1214),0,R1214*ROUND(O1214,2))</f>
        <v>#DIV/0!</v>
      </c>
      <c r="T1214" s="24" t="e">
        <f>ROUND(Q1214,2)*R1214</f>
        <v>#DIV/0!</v>
      </c>
      <c r="U1214" s="95" t="e">
        <f>R1214*dagenperjaar1</f>
        <v>#DIV/0!</v>
      </c>
      <c r="V1214" s="25" t="e">
        <f>U1214*ROUND(Q1214,2)</f>
        <v>#DIV/0!</v>
      </c>
    </row>
    <row r="1215" spans="1:22" x14ac:dyDescent="0.2">
      <c r="A1215" s="97" t="s">
        <v>1146</v>
      </c>
      <c r="B1215" s="98" t="s">
        <v>47</v>
      </c>
      <c r="C1215" s="98" t="s">
        <v>394</v>
      </c>
      <c r="D1215" s="98" t="s">
        <v>475</v>
      </c>
      <c r="E1215" s="99" t="s">
        <v>643</v>
      </c>
      <c r="F1215" s="98" t="s">
        <v>476</v>
      </c>
      <c r="G1215" s="98" t="s">
        <v>274</v>
      </c>
      <c r="H1215" s="98" t="s">
        <v>13</v>
      </c>
      <c r="I1215" s="98" t="s">
        <v>255</v>
      </c>
      <c r="J1215" s="98" t="s">
        <v>47</v>
      </c>
      <c r="K1215" s="98"/>
      <c r="L1215" s="100">
        <v>9</v>
      </c>
      <c r="M1215" s="100">
        <f>L1215*VLOOKUP(H1215,dagsoorttabel1,2,FALSE)</f>
        <v>7.0588235294117645</v>
      </c>
      <c r="N1215" s="101">
        <f>prodnorm47</f>
        <v>0</v>
      </c>
      <c r="O1215" s="102">
        <f>dagwerk47</f>
        <v>0</v>
      </c>
      <c r="P1215" s="98" t="s">
        <v>105</v>
      </c>
      <c r="Q1215" s="34">
        <f>uurtarief47</f>
        <v>0</v>
      </c>
      <c r="R1215" s="100" t="e">
        <f>IF(ISBLANK(N1215),0,M1215/ROUND(N1215,4))</f>
        <v>#DIV/0!</v>
      </c>
      <c r="S1215" s="100" t="e">
        <f>IF(ISBLANK(N1215),0,R1215*ROUND(O1215,2))</f>
        <v>#DIV/0!</v>
      </c>
      <c r="T1215" s="34" t="e">
        <f>ROUND(Q1215,2)*R1215</f>
        <v>#DIV/0!</v>
      </c>
      <c r="U1215" s="100" t="e">
        <f>R1215*dagenperjaar1</f>
        <v>#DIV/0!</v>
      </c>
      <c r="V1215" s="35" t="e">
        <f>U1215*ROUND(Q1215,2)</f>
        <v>#DIV/0!</v>
      </c>
    </row>
    <row r="1216" spans="1:22" x14ac:dyDescent="0.2">
      <c r="A1216" s="103" t="s">
        <v>436</v>
      </c>
      <c r="B1216" s="73"/>
      <c r="C1216" s="73"/>
      <c r="D1216" s="73"/>
      <c r="E1216" s="73"/>
      <c r="F1216" s="73"/>
      <c r="G1216" s="73"/>
      <c r="H1216" s="73"/>
      <c r="I1216" s="73"/>
      <c r="J1216" s="73"/>
      <c r="K1216" s="73"/>
      <c r="L1216" s="73"/>
      <c r="M1216" s="73"/>
      <c r="N1216" s="73"/>
      <c r="O1216" s="73"/>
      <c r="P1216" s="73"/>
      <c r="Q1216" s="75" t="e">
        <f>IF(_xlfn.SINGLE(object31_urenjaar1)&gt;0,_xlfn.SINGLE(object31_prijsjaar1)/_xlfn.SINGLE(object31_urenjaar1),0)</f>
        <v>#DIV/0!</v>
      </c>
      <c r="R1216" s="74" t="e">
        <f>SUM(R1204:R1215)</f>
        <v>#DIV/0!</v>
      </c>
      <c r="S1216" s="74" t="e">
        <f>SUM(S1204:S1215)</f>
        <v>#DIV/0!</v>
      </c>
      <c r="T1216" s="75" t="e">
        <f>SUM(T1204:T1215)</f>
        <v>#DIV/0!</v>
      </c>
      <c r="U1216" s="74" t="e">
        <f>SUM(U1204:U1215)</f>
        <v>#DIV/0!</v>
      </c>
      <c r="V1216" s="76" t="e">
        <f>SUM(V1204:V1215)</f>
        <v>#DIV/0!</v>
      </c>
    </row>
    <row r="1217" spans="1:22" x14ac:dyDescent="0.2">
      <c r="A1217" s="83" t="s">
        <v>1149</v>
      </c>
      <c r="B1217" s="45"/>
      <c r="C1217" s="45"/>
      <c r="D1217" s="45"/>
      <c r="E1217" s="45"/>
      <c r="F1217" s="45"/>
      <c r="G1217" s="45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71"/>
    </row>
    <row r="1218" spans="1:22" x14ac:dyDescent="0.2">
      <c r="A1218" s="84" t="s">
        <v>1150</v>
      </c>
      <c r="B1218" s="85" t="s">
        <v>47</v>
      </c>
      <c r="C1218" s="85" t="s">
        <v>394</v>
      </c>
      <c r="D1218" s="85" t="s">
        <v>395</v>
      </c>
      <c r="E1218" s="86" t="s">
        <v>773</v>
      </c>
      <c r="F1218" s="85" t="s">
        <v>439</v>
      </c>
      <c r="G1218" s="85" t="s">
        <v>280</v>
      </c>
      <c r="H1218" s="85" t="s">
        <v>13</v>
      </c>
      <c r="I1218" s="85" t="s">
        <v>255</v>
      </c>
      <c r="J1218" s="85" t="s">
        <v>47</v>
      </c>
      <c r="K1218" s="85"/>
      <c r="L1218" s="87">
        <v>180</v>
      </c>
      <c r="M1218" s="87">
        <f>L1218*VLOOKUP(H1218,dagsoorttabel1,2,FALSE)</f>
        <v>141.1764705882353</v>
      </c>
      <c r="N1218" s="88">
        <f>prodnorm52</f>
        <v>0</v>
      </c>
      <c r="O1218" s="89">
        <f>dagwerk52</f>
        <v>0</v>
      </c>
      <c r="P1218" s="85" t="s">
        <v>105</v>
      </c>
      <c r="Q1218" s="90">
        <f>uurtarief52</f>
        <v>0</v>
      </c>
      <c r="R1218" s="87" t="e">
        <f>IF(ISBLANK(N1218),0,M1218/ROUND(N1218,4))</f>
        <v>#DIV/0!</v>
      </c>
      <c r="S1218" s="87" t="e">
        <f>IF(ISBLANK(N1218),0,R1218*ROUND(O1218,2))</f>
        <v>#DIV/0!</v>
      </c>
      <c r="T1218" s="90" t="e">
        <f>ROUND(Q1218,2)*R1218</f>
        <v>#DIV/0!</v>
      </c>
      <c r="U1218" s="87" t="e">
        <f>R1218*dagenperjaar1</f>
        <v>#DIV/0!</v>
      </c>
      <c r="V1218" s="91" t="e">
        <f>U1218*ROUND(Q1218,2)</f>
        <v>#DIV/0!</v>
      </c>
    </row>
    <row r="1219" spans="1:22" x14ac:dyDescent="0.2">
      <c r="A1219" s="92" t="s">
        <v>1150</v>
      </c>
      <c r="B1219" s="93" t="s">
        <v>47</v>
      </c>
      <c r="C1219" s="93" t="s">
        <v>394</v>
      </c>
      <c r="D1219" s="93" t="s">
        <v>398</v>
      </c>
      <c r="E1219" s="94" t="s">
        <v>447</v>
      </c>
      <c r="F1219" s="93" t="s">
        <v>442</v>
      </c>
      <c r="G1219" s="93" t="s">
        <v>284</v>
      </c>
      <c r="H1219" s="93" t="s">
        <v>13</v>
      </c>
      <c r="I1219" s="93" t="s">
        <v>255</v>
      </c>
      <c r="J1219" s="93" t="s">
        <v>47</v>
      </c>
      <c r="K1219" s="93"/>
      <c r="L1219" s="95">
        <v>15</v>
      </c>
      <c r="M1219" s="95">
        <f>L1219*VLOOKUP(H1219,dagsoorttabel1,2,FALSE)</f>
        <v>11.76470588235294</v>
      </c>
      <c r="N1219" s="96">
        <f>prodnorm58</f>
        <v>0</v>
      </c>
      <c r="O1219" s="37">
        <f>dagwerk58</f>
        <v>0</v>
      </c>
      <c r="P1219" s="93" t="s">
        <v>105</v>
      </c>
      <c r="Q1219" s="24">
        <f>uurtarief58</f>
        <v>0</v>
      </c>
      <c r="R1219" s="95" t="e">
        <f>IF(ISBLANK(N1219),0,M1219/ROUND(N1219,4))</f>
        <v>#DIV/0!</v>
      </c>
      <c r="S1219" s="95" t="e">
        <f>IF(ISBLANK(N1219),0,R1219*ROUND(O1219,2))</f>
        <v>#DIV/0!</v>
      </c>
      <c r="T1219" s="24" t="e">
        <f>ROUND(Q1219,2)*R1219</f>
        <v>#DIV/0!</v>
      </c>
      <c r="U1219" s="95" t="e">
        <f>R1219*dagenperjaar1</f>
        <v>#DIV/0!</v>
      </c>
      <c r="V1219" s="25" t="e">
        <f>U1219*ROUND(Q1219,2)</f>
        <v>#DIV/0!</v>
      </c>
    </row>
    <row r="1220" spans="1:22" x14ac:dyDescent="0.2">
      <c r="A1220" s="92" t="s">
        <v>1150</v>
      </c>
      <c r="B1220" s="93" t="s">
        <v>47</v>
      </c>
      <c r="C1220" s="93" t="s">
        <v>394</v>
      </c>
      <c r="D1220" s="93" t="s">
        <v>400</v>
      </c>
      <c r="E1220" s="94" t="s">
        <v>407</v>
      </c>
      <c r="F1220" s="93" t="s">
        <v>442</v>
      </c>
      <c r="G1220" s="93" t="s">
        <v>266</v>
      </c>
      <c r="H1220" s="93" t="s">
        <v>13</v>
      </c>
      <c r="I1220" s="93" t="s">
        <v>255</v>
      </c>
      <c r="J1220" s="93" t="s">
        <v>47</v>
      </c>
      <c r="K1220" s="93"/>
      <c r="L1220" s="95">
        <v>4</v>
      </c>
      <c r="M1220" s="95">
        <f>L1220*VLOOKUP(H1220,dagsoorttabel1,2,FALSE)</f>
        <v>3.1372549019607843</v>
      </c>
      <c r="N1220" s="96">
        <f>prodnorm40</f>
        <v>0</v>
      </c>
      <c r="O1220" s="37">
        <f>dagwerk40</f>
        <v>0</v>
      </c>
      <c r="P1220" s="93" t="s">
        <v>105</v>
      </c>
      <c r="Q1220" s="24">
        <f>uurtarief40</f>
        <v>0</v>
      </c>
      <c r="R1220" s="95" t="e">
        <f>IF(ISBLANK(N1220),0,M1220/ROUND(N1220,4))</f>
        <v>#DIV/0!</v>
      </c>
      <c r="S1220" s="95" t="e">
        <f>IF(ISBLANK(N1220),0,R1220*ROUND(O1220,2))</f>
        <v>#DIV/0!</v>
      </c>
      <c r="T1220" s="24" t="e">
        <f>ROUND(Q1220,2)*R1220</f>
        <v>#DIV/0!</v>
      </c>
      <c r="U1220" s="95" t="e">
        <f>R1220*dagenperjaar1</f>
        <v>#DIV/0!</v>
      </c>
      <c r="V1220" s="25" t="e">
        <f>U1220*ROUND(Q1220,2)</f>
        <v>#DIV/0!</v>
      </c>
    </row>
    <row r="1221" spans="1:22" x14ac:dyDescent="0.2">
      <c r="A1221" s="92" t="s">
        <v>1150</v>
      </c>
      <c r="B1221" s="93" t="s">
        <v>47</v>
      </c>
      <c r="C1221" s="93" t="s">
        <v>394</v>
      </c>
      <c r="D1221" s="93" t="s">
        <v>402</v>
      </c>
      <c r="E1221" s="94" t="s">
        <v>1151</v>
      </c>
      <c r="F1221" s="93" t="s">
        <v>442</v>
      </c>
      <c r="G1221" s="93" t="s">
        <v>304</v>
      </c>
      <c r="H1221" s="93" t="s">
        <v>13</v>
      </c>
      <c r="I1221" s="93" t="s">
        <v>255</v>
      </c>
      <c r="J1221" s="93" t="s">
        <v>47</v>
      </c>
      <c r="K1221" s="93"/>
      <c r="L1221" s="95">
        <v>1</v>
      </c>
      <c r="M1221" s="95">
        <f>L1221*VLOOKUP(H1221,dagsoorttabel1,2,FALSE)</f>
        <v>0.78431372549019607</v>
      </c>
      <c r="N1221" s="96">
        <f>prodnorm74</f>
        <v>0</v>
      </c>
      <c r="O1221" s="37">
        <f>dagwerk74</f>
        <v>0</v>
      </c>
      <c r="P1221" s="93" t="s">
        <v>105</v>
      </c>
      <c r="Q1221" s="24">
        <f>uurtarief74</f>
        <v>0</v>
      </c>
      <c r="R1221" s="95" t="e">
        <f>IF(ISBLANK(N1221),0,M1221/ROUND(N1221,4))</f>
        <v>#DIV/0!</v>
      </c>
      <c r="S1221" s="95" t="e">
        <f>IF(ISBLANK(N1221),0,R1221*ROUND(O1221,2))</f>
        <v>#DIV/0!</v>
      </c>
      <c r="T1221" s="24" t="e">
        <f>ROUND(Q1221,2)*R1221</f>
        <v>#DIV/0!</v>
      </c>
      <c r="U1221" s="95" t="e">
        <f>R1221*dagenperjaar1</f>
        <v>#DIV/0!</v>
      </c>
      <c r="V1221" s="25" t="e">
        <f>U1221*ROUND(Q1221,2)</f>
        <v>#DIV/0!</v>
      </c>
    </row>
    <row r="1222" spans="1:22" x14ac:dyDescent="0.2">
      <c r="A1222" s="92" t="s">
        <v>1150</v>
      </c>
      <c r="B1222" s="93" t="s">
        <v>47</v>
      </c>
      <c r="C1222" s="93" t="s">
        <v>394</v>
      </c>
      <c r="D1222" s="93" t="s">
        <v>404</v>
      </c>
      <c r="E1222" s="94" t="s">
        <v>447</v>
      </c>
      <c r="F1222" s="93" t="s">
        <v>442</v>
      </c>
      <c r="G1222" s="93" t="s">
        <v>284</v>
      </c>
      <c r="H1222" s="93" t="s">
        <v>13</v>
      </c>
      <c r="I1222" s="93" t="s">
        <v>255</v>
      </c>
      <c r="J1222" s="93" t="s">
        <v>47</v>
      </c>
      <c r="K1222" s="93"/>
      <c r="L1222" s="95">
        <v>15</v>
      </c>
      <c r="M1222" s="95">
        <f>L1222*VLOOKUP(H1222,dagsoorttabel1,2,FALSE)</f>
        <v>11.76470588235294</v>
      </c>
      <c r="N1222" s="96">
        <f>prodnorm58</f>
        <v>0</v>
      </c>
      <c r="O1222" s="37">
        <f>dagwerk58</f>
        <v>0</v>
      </c>
      <c r="P1222" s="93" t="s">
        <v>105</v>
      </c>
      <c r="Q1222" s="24">
        <f>uurtarief58</f>
        <v>0</v>
      </c>
      <c r="R1222" s="95" t="e">
        <f>IF(ISBLANK(N1222),0,M1222/ROUND(N1222,4))</f>
        <v>#DIV/0!</v>
      </c>
      <c r="S1222" s="95" t="e">
        <f>IF(ISBLANK(N1222),0,R1222*ROUND(O1222,2))</f>
        <v>#DIV/0!</v>
      </c>
      <c r="T1222" s="24" t="e">
        <f>ROUND(Q1222,2)*R1222</f>
        <v>#DIV/0!</v>
      </c>
      <c r="U1222" s="95" t="e">
        <f>R1222*dagenperjaar1</f>
        <v>#DIV/0!</v>
      </c>
      <c r="V1222" s="25" t="e">
        <f>U1222*ROUND(Q1222,2)</f>
        <v>#DIV/0!</v>
      </c>
    </row>
    <row r="1223" spans="1:22" x14ac:dyDescent="0.2">
      <c r="A1223" s="92" t="s">
        <v>1150</v>
      </c>
      <c r="B1223" s="93" t="s">
        <v>47</v>
      </c>
      <c r="C1223" s="93" t="s">
        <v>394</v>
      </c>
      <c r="D1223" s="93" t="s">
        <v>406</v>
      </c>
      <c r="E1223" s="94" t="s">
        <v>407</v>
      </c>
      <c r="F1223" s="93" t="s">
        <v>442</v>
      </c>
      <c r="G1223" s="93" t="s">
        <v>266</v>
      </c>
      <c r="H1223" s="93" t="s">
        <v>13</v>
      </c>
      <c r="I1223" s="93" t="s">
        <v>255</v>
      </c>
      <c r="J1223" s="93" t="s">
        <v>47</v>
      </c>
      <c r="K1223" s="93"/>
      <c r="L1223" s="95">
        <v>4</v>
      </c>
      <c r="M1223" s="95">
        <f>L1223*VLOOKUP(H1223,dagsoorttabel1,2,FALSE)</f>
        <v>3.1372549019607843</v>
      </c>
      <c r="N1223" s="96">
        <f>prodnorm40</f>
        <v>0</v>
      </c>
      <c r="O1223" s="37">
        <f>dagwerk40</f>
        <v>0</v>
      </c>
      <c r="P1223" s="93" t="s">
        <v>105</v>
      </c>
      <c r="Q1223" s="24">
        <f>uurtarief40</f>
        <v>0</v>
      </c>
      <c r="R1223" s="95" t="e">
        <f>IF(ISBLANK(N1223),0,M1223/ROUND(N1223,4))</f>
        <v>#DIV/0!</v>
      </c>
      <c r="S1223" s="95" t="e">
        <f>IF(ISBLANK(N1223),0,R1223*ROUND(O1223,2))</f>
        <v>#DIV/0!</v>
      </c>
      <c r="T1223" s="24" t="e">
        <f>ROUND(Q1223,2)*R1223</f>
        <v>#DIV/0!</v>
      </c>
      <c r="U1223" s="95" t="e">
        <f>R1223*dagenperjaar1</f>
        <v>#DIV/0!</v>
      </c>
      <c r="V1223" s="25" t="e">
        <f>U1223*ROUND(Q1223,2)</f>
        <v>#DIV/0!</v>
      </c>
    </row>
    <row r="1224" spans="1:22" x14ac:dyDescent="0.2">
      <c r="A1224" s="92" t="s">
        <v>1150</v>
      </c>
      <c r="B1224" s="93" t="s">
        <v>47</v>
      </c>
      <c r="C1224" s="93" t="s">
        <v>394</v>
      </c>
      <c r="D1224" s="93" t="s">
        <v>409</v>
      </c>
      <c r="E1224" s="94" t="s">
        <v>1151</v>
      </c>
      <c r="F1224" s="93" t="s">
        <v>442</v>
      </c>
      <c r="G1224" s="93" t="s">
        <v>304</v>
      </c>
      <c r="H1224" s="93" t="s">
        <v>13</v>
      </c>
      <c r="I1224" s="93" t="s">
        <v>255</v>
      </c>
      <c r="J1224" s="93" t="s">
        <v>47</v>
      </c>
      <c r="K1224" s="93"/>
      <c r="L1224" s="95">
        <v>1</v>
      </c>
      <c r="M1224" s="95">
        <f>L1224*VLOOKUP(H1224,dagsoorttabel1,2,FALSE)</f>
        <v>0.78431372549019607</v>
      </c>
      <c r="N1224" s="96">
        <f>prodnorm74</f>
        <v>0</v>
      </c>
      <c r="O1224" s="37">
        <f>dagwerk74</f>
        <v>0</v>
      </c>
      <c r="P1224" s="93" t="s">
        <v>105</v>
      </c>
      <c r="Q1224" s="24">
        <f>uurtarief74</f>
        <v>0</v>
      </c>
      <c r="R1224" s="95" t="e">
        <f>IF(ISBLANK(N1224),0,M1224/ROUND(N1224,4))</f>
        <v>#DIV/0!</v>
      </c>
      <c r="S1224" s="95" t="e">
        <f>IF(ISBLANK(N1224),0,R1224*ROUND(O1224,2))</f>
        <v>#DIV/0!</v>
      </c>
      <c r="T1224" s="24" t="e">
        <f>ROUND(Q1224,2)*R1224</f>
        <v>#DIV/0!</v>
      </c>
      <c r="U1224" s="95" t="e">
        <f>R1224*dagenperjaar1</f>
        <v>#DIV/0!</v>
      </c>
      <c r="V1224" s="25" t="e">
        <f>U1224*ROUND(Q1224,2)</f>
        <v>#DIV/0!</v>
      </c>
    </row>
    <row r="1225" spans="1:22" x14ac:dyDescent="0.2">
      <c r="A1225" s="92" t="s">
        <v>1150</v>
      </c>
      <c r="B1225" s="93" t="s">
        <v>47</v>
      </c>
      <c r="C1225" s="93" t="s">
        <v>394</v>
      </c>
      <c r="D1225" s="93" t="s">
        <v>411</v>
      </c>
      <c r="E1225" s="94" t="s">
        <v>433</v>
      </c>
      <c r="F1225" s="93" t="s">
        <v>439</v>
      </c>
      <c r="G1225" s="93" t="s">
        <v>280</v>
      </c>
      <c r="H1225" s="93" t="s">
        <v>22</v>
      </c>
      <c r="I1225" s="93" t="s">
        <v>255</v>
      </c>
      <c r="J1225" s="93" t="s">
        <v>47</v>
      </c>
      <c r="K1225" s="93"/>
      <c r="L1225" s="95">
        <v>54</v>
      </c>
      <c r="M1225" s="95">
        <f>L1225*VLOOKUP(H1225,dagsoorttabel1,2,FALSE)</f>
        <v>8.4705882352941178</v>
      </c>
      <c r="N1225" s="96">
        <f>prodnorm54</f>
        <v>0</v>
      </c>
      <c r="O1225" s="37">
        <f>dagwerk54</f>
        <v>0</v>
      </c>
      <c r="P1225" s="93" t="s">
        <v>105</v>
      </c>
      <c r="Q1225" s="24">
        <f>uurtarief54</f>
        <v>0</v>
      </c>
      <c r="R1225" s="95" t="e">
        <f>IF(ISBLANK(N1225),0,M1225/ROUND(N1225,4))</f>
        <v>#DIV/0!</v>
      </c>
      <c r="S1225" s="95" t="e">
        <f>IF(ISBLANK(N1225),0,R1225*ROUND(O1225,2))</f>
        <v>#DIV/0!</v>
      </c>
      <c r="T1225" s="24" t="e">
        <f>ROUND(Q1225,2)*R1225</f>
        <v>#DIV/0!</v>
      </c>
      <c r="U1225" s="95" t="e">
        <f>R1225*dagenperjaar1</f>
        <v>#DIV/0!</v>
      </c>
      <c r="V1225" s="25" t="e">
        <f>U1225*ROUND(Q1225,2)</f>
        <v>#DIV/0!</v>
      </c>
    </row>
    <row r="1226" spans="1:22" x14ac:dyDescent="0.2">
      <c r="A1226" s="97" t="s">
        <v>1150</v>
      </c>
      <c r="B1226" s="98" t="s">
        <v>47</v>
      </c>
      <c r="C1226" s="98" t="s">
        <v>394</v>
      </c>
      <c r="D1226" s="98" t="s">
        <v>415</v>
      </c>
      <c r="E1226" s="99" t="s">
        <v>525</v>
      </c>
      <c r="F1226" s="98" t="s">
        <v>442</v>
      </c>
      <c r="G1226" s="98" t="s">
        <v>270</v>
      </c>
      <c r="H1226" s="98" t="s">
        <v>13</v>
      </c>
      <c r="I1226" s="98" t="s">
        <v>255</v>
      </c>
      <c r="J1226" s="98" t="s">
        <v>47</v>
      </c>
      <c r="K1226" s="98"/>
      <c r="L1226" s="100">
        <v>10</v>
      </c>
      <c r="M1226" s="100">
        <f>L1226*VLOOKUP(H1226,dagsoorttabel1,2,FALSE)</f>
        <v>7.8431372549019605</v>
      </c>
      <c r="N1226" s="101">
        <f>prodnorm43</f>
        <v>0</v>
      </c>
      <c r="O1226" s="102">
        <f>dagwerk43</f>
        <v>0</v>
      </c>
      <c r="P1226" s="98" t="s">
        <v>105</v>
      </c>
      <c r="Q1226" s="34">
        <f>uurtarief43</f>
        <v>0</v>
      </c>
      <c r="R1226" s="100" t="e">
        <f>IF(ISBLANK(N1226),0,M1226/ROUND(N1226,4))</f>
        <v>#DIV/0!</v>
      </c>
      <c r="S1226" s="100" t="e">
        <f>IF(ISBLANK(N1226),0,R1226*ROUND(O1226,2))</f>
        <v>#DIV/0!</v>
      </c>
      <c r="T1226" s="34" t="e">
        <f>ROUND(Q1226,2)*R1226</f>
        <v>#DIV/0!</v>
      </c>
      <c r="U1226" s="100" t="e">
        <f>R1226*dagenperjaar1</f>
        <v>#DIV/0!</v>
      </c>
      <c r="V1226" s="35" t="e">
        <f>U1226*ROUND(Q1226,2)</f>
        <v>#DIV/0!</v>
      </c>
    </row>
    <row r="1227" spans="1:22" x14ac:dyDescent="0.2">
      <c r="A1227" s="72" t="s">
        <v>436</v>
      </c>
      <c r="B1227" s="73"/>
      <c r="C1227" s="73"/>
      <c r="D1227" s="73"/>
      <c r="E1227" s="73"/>
      <c r="F1227" s="73"/>
      <c r="G1227" s="73"/>
      <c r="H1227" s="73"/>
      <c r="I1227" s="73"/>
      <c r="J1227" s="73"/>
      <c r="K1227" s="73"/>
      <c r="L1227" s="73"/>
      <c r="M1227" s="73"/>
      <c r="N1227" s="73"/>
      <c r="O1227" s="73"/>
      <c r="P1227" s="73"/>
      <c r="Q1227" s="75" t="e">
        <f>IF(_xlfn.SINGLE(object32_urenjaar1)&gt;0,_xlfn.SINGLE(object32_prijsjaar1)/_xlfn.SINGLE(object32_urenjaar1),0)</f>
        <v>#DIV/0!</v>
      </c>
      <c r="R1227" s="74" t="e">
        <f>SUM(R1218:R1226)</f>
        <v>#DIV/0!</v>
      </c>
      <c r="S1227" s="74" t="e">
        <f>SUM(S1218:S1226)</f>
        <v>#DIV/0!</v>
      </c>
      <c r="T1227" s="75" t="e">
        <f>SUM(T1218:T1226)</f>
        <v>#DIV/0!</v>
      </c>
      <c r="U1227" s="74" t="e">
        <f>SUM(U1218:U1226)</f>
        <v>#DIV/0!</v>
      </c>
      <c r="V1227" s="75" t="e">
        <f>SUM(V1218:V1226)</f>
        <v>#DIV/0!</v>
      </c>
    </row>
  </sheetData>
  <sheetProtection algorithmName="SHA-512" hashValue="VDfrGHpFr3Mv41iai5kNzMqwYX+k/ZxlhUuLVs2FqQDpEVSs5OiJu11iuv0uqNETgpY/xnFKF0vqECo/3fOa5w==" saltValue="ec7nrdGCMc9ialtCLNn4Ew==" spinCount="100000" sheet="1" objects="1" scenarios="1" autoFilter="0"/>
  <autoFilter ref="A3:V1227" xr:uid="{72CFF564-E880-4B4F-9E5B-3AB9C7526A76}"/>
  <pageMargins left="0.7" right="0.7" top="0.75" bottom="0.75" header="0.3" footer="0.3"/>
  <pageSetup scale="61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EBFA-CF77-483D-9C7B-45BC5AC6EFF1}">
  <dimension ref="A1:V5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9" width="8.6328125" customWidth="1"/>
    <col min="10" max="10" width="12.6328125" customWidth="1"/>
    <col min="11" max="11" width="8.6328125" customWidth="1"/>
    <col min="12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2">
      <c r="A1" s="1" t="str">
        <f>CONCATENATE("Bijlage F.1.4: ",tabeltype," ruimten weekenddag")</f>
        <v>Bijlage F.1.4: Invultabel ruimten weekenddag</v>
      </c>
    </row>
    <row r="3" spans="1:22" ht="37.799999999999997" x14ac:dyDescent="0.2">
      <c r="A3" s="81" t="s">
        <v>382</v>
      </c>
      <c r="B3" s="40" t="s">
        <v>383</v>
      </c>
      <c r="C3" s="40" t="s">
        <v>384</v>
      </c>
      <c r="D3" s="40" t="s">
        <v>385</v>
      </c>
      <c r="E3" s="40" t="s">
        <v>386</v>
      </c>
      <c r="F3" s="40" t="s">
        <v>387</v>
      </c>
      <c r="G3" s="40" t="s">
        <v>246</v>
      </c>
      <c r="H3" s="40" t="s">
        <v>7</v>
      </c>
      <c r="I3" s="40" t="s">
        <v>388</v>
      </c>
      <c r="J3" s="40" t="s">
        <v>389</v>
      </c>
      <c r="K3" s="40" t="s">
        <v>390</v>
      </c>
      <c r="L3" s="40" t="s">
        <v>248</v>
      </c>
      <c r="M3" s="40" t="s">
        <v>249</v>
      </c>
      <c r="N3" s="40" t="s">
        <v>98</v>
      </c>
      <c r="O3" s="40" t="s">
        <v>99</v>
      </c>
      <c r="P3" s="40" t="s">
        <v>100</v>
      </c>
      <c r="Q3" s="40" t="s">
        <v>101</v>
      </c>
      <c r="R3" s="40" t="s">
        <v>250</v>
      </c>
      <c r="S3" s="40" t="s">
        <v>391</v>
      </c>
      <c r="T3" s="40" t="s">
        <v>251</v>
      </c>
      <c r="U3" s="40" t="s">
        <v>252</v>
      </c>
      <c r="V3" s="82" t="s">
        <v>253</v>
      </c>
    </row>
    <row r="4" spans="1:22" x14ac:dyDescent="0.2">
      <c r="A4" s="83" t="s">
        <v>945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71"/>
    </row>
    <row r="5" spans="1:22" x14ac:dyDescent="0.2">
      <c r="A5" s="84" t="s">
        <v>946</v>
      </c>
      <c r="B5" s="85" t="s">
        <v>47</v>
      </c>
      <c r="C5" s="85" t="s">
        <v>394</v>
      </c>
      <c r="D5" s="85" t="s">
        <v>947</v>
      </c>
      <c r="E5" s="86" t="s">
        <v>948</v>
      </c>
      <c r="F5" s="85" t="s">
        <v>476</v>
      </c>
      <c r="G5" s="85" t="s">
        <v>367</v>
      </c>
      <c r="H5" s="85" t="s">
        <v>18</v>
      </c>
      <c r="I5" s="85" t="s">
        <v>255</v>
      </c>
      <c r="J5" s="85" t="s">
        <v>47</v>
      </c>
      <c r="K5" s="85"/>
      <c r="L5" s="87">
        <v>25.32</v>
      </c>
      <c r="M5" s="87">
        <f>L5*VLOOKUP(H5,dagsoorttabel3,2,FALSE)</f>
        <v>25.32</v>
      </c>
      <c r="N5" s="88">
        <f>prodnorm123</f>
        <v>0</v>
      </c>
      <c r="O5" s="89">
        <f>dagwerk123</f>
        <v>0</v>
      </c>
      <c r="P5" s="85" t="s">
        <v>105</v>
      </c>
      <c r="Q5" s="90">
        <f>uurtarief123</f>
        <v>0</v>
      </c>
      <c r="R5" s="87" t="e">
        <f>IF(ISBLANK(N5),0,M5/ROUND(N5,4))</f>
        <v>#DIV/0!</v>
      </c>
      <c r="S5" s="87" t="e">
        <f>IF(ISBLANK(N5),0,R5*ROUND(O5,2))</f>
        <v>#DIV/0!</v>
      </c>
      <c r="T5" s="90" t="e">
        <f>ROUND(Q5,2)*R5</f>
        <v>#DIV/0!</v>
      </c>
      <c r="U5" s="87" t="e">
        <f>R5*dagenperjaar3</f>
        <v>#DIV/0!</v>
      </c>
      <c r="V5" s="91" t="e">
        <f>U5*ROUND(Q5,2)</f>
        <v>#DIV/0!</v>
      </c>
    </row>
    <row r="6" spans="1:22" x14ac:dyDescent="0.2">
      <c r="A6" s="92" t="s">
        <v>946</v>
      </c>
      <c r="B6" s="93" t="s">
        <v>47</v>
      </c>
      <c r="C6" s="93" t="s">
        <v>394</v>
      </c>
      <c r="D6" s="93" t="s">
        <v>949</v>
      </c>
      <c r="E6" s="94" t="s">
        <v>950</v>
      </c>
      <c r="F6" s="93" t="s">
        <v>442</v>
      </c>
      <c r="G6" s="93" t="s">
        <v>362</v>
      </c>
      <c r="H6" s="93" t="s">
        <v>18</v>
      </c>
      <c r="I6" s="93" t="s">
        <v>255</v>
      </c>
      <c r="J6" s="93" t="s">
        <v>47</v>
      </c>
      <c r="K6" s="93"/>
      <c r="L6" s="95">
        <v>176.46</v>
      </c>
      <c r="M6" s="95">
        <f>L6*VLOOKUP(H6,dagsoorttabel3,2,FALSE)</f>
        <v>176.46</v>
      </c>
      <c r="N6" s="96">
        <f>prodnorm119</f>
        <v>0</v>
      </c>
      <c r="O6" s="37">
        <f>dagwerk119</f>
        <v>0</v>
      </c>
      <c r="P6" s="93" t="s">
        <v>105</v>
      </c>
      <c r="Q6" s="24">
        <f>uurtarief119</f>
        <v>0</v>
      </c>
      <c r="R6" s="95" t="e">
        <f>IF(ISBLANK(N6),0,M6/ROUND(N6,4))</f>
        <v>#DIV/0!</v>
      </c>
      <c r="S6" s="95" t="e">
        <f>IF(ISBLANK(N6),0,R6*ROUND(O6,2))</f>
        <v>#DIV/0!</v>
      </c>
      <c r="T6" s="24" t="e">
        <f>ROUND(Q6,2)*R6</f>
        <v>#DIV/0!</v>
      </c>
      <c r="U6" s="95" t="e">
        <f>R6*dagenperjaar3</f>
        <v>#DIV/0!</v>
      </c>
      <c r="V6" s="25" t="e">
        <f>U6*ROUND(Q6,2)</f>
        <v>#DIV/0!</v>
      </c>
    </row>
    <row r="7" spans="1:22" x14ac:dyDescent="0.2">
      <c r="A7" s="92" t="s">
        <v>946</v>
      </c>
      <c r="B7" s="93" t="s">
        <v>47</v>
      </c>
      <c r="C7" s="93" t="s">
        <v>394</v>
      </c>
      <c r="D7" s="93" t="s">
        <v>953</v>
      </c>
      <c r="E7" s="94" t="s">
        <v>954</v>
      </c>
      <c r="F7" s="93" t="s">
        <v>397</v>
      </c>
      <c r="G7" s="93" t="s">
        <v>363</v>
      </c>
      <c r="H7" s="93" t="s">
        <v>18</v>
      </c>
      <c r="I7" s="93" t="s">
        <v>255</v>
      </c>
      <c r="J7" s="93" t="s">
        <v>47</v>
      </c>
      <c r="K7" s="93"/>
      <c r="L7" s="95">
        <v>15.93</v>
      </c>
      <c r="M7" s="95">
        <f>L7*VLOOKUP(H7,dagsoorttabel3,2,FALSE)</f>
        <v>15.93</v>
      </c>
      <c r="N7" s="96">
        <f>prodnorm120</f>
        <v>0</v>
      </c>
      <c r="O7" s="37">
        <f>dagwerk120</f>
        <v>0</v>
      </c>
      <c r="P7" s="93" t="s">
        <v>105</v>
      </c>
      <c r="Q7" s="24">
        <f>uurtarief120</f>
        <v>0</v>
      </c>
      <c r="R7" s="95" t="e">
        <f>IF(ISBLANK(N7),0,M7/ROUND(N7,4))</f>
        <v>#DIV/0!</v>
      </c>
      <c r="S7" s="95" t="e">
        <f>IF(ISBLANK(N7),0,R7*ROUND(O7,2))</f>
        <v>#DIV/0!</v>
      </c>
      <c r="T7" s="24" t="e">
        <f>ROUND(Q7,2)*R7</f>
        <v>#DIV/0!</v>
      </c>
      <c r="U7" s="95" t="e">
        <f>R7*dagenperjaar3</f>
        <v>#DIV/0!</v>
      </c>
      <c r="V7" s="25" t="e">
        <f>U7*ROUND(Q7,2)</f>
        <v>#DIV/0!</v>
      </c>
    </row>
    <row r="8" spans="1:22" x14ac:dyDescent="0.2">
      <c r="A8" s="92" t="s">
        <v>946</v>
      </c>
      <c r="B8" s="93" t="s">
        <v>47</v>
      </c>
      <c r="C8" s="93" t="s">
        <v>394</v>
      </c>
      <c r="D8" s="93" t="s">
        <v>953</v>
      </c>
      <c r="E8" s="94" t="s">
        <v>954</v>
      </c>
      <c r="F8" s="93" t="s">
        <v>397</v>
      </c>
      <c r="G8" s="93" t="s">
        <v>364</v>
      </c>
      <c r="H8" s="93" t="s">
        <v>18</v>
      </c>
      <c r="I8" s="93" t="s">
        <v>255</v>
      </c>
      <c r="J8" s="93" t="s">
        <v>47</v>
      </c>
      <c r="K8" s="93"/>
      <c r="L8" s="95">
        <v>15.93</v>
      </c>
      <c r="M8" s="95">
        <f>L8*VLOOKUP(H8,dagsoorttabel3,2,FALSE)</f>
        <v>15.93</v>
      </c>
      <c r="N8" s="96">
        <f>prodnorm121</f>
        <v>0</v>
      </c>
      <c r="O8" s="37">
        <f>dagwerk121</f>
        <v>0</v>
      </c>
      <c r="P8" s="93" t="s">
        <v>105</v>
      </c>
      <c r="Q8" s="24">
        <f>uurtarief121</f>
        <v>0</v>
      </c>
      <c r="R8" s="95" t="e">
        <f>IF(ISBLANK(N8),0,M8/ROUND(N8,4))</f>
        <v>#DIV/0!</v>
      </c>
      <c r="S8" s="95" t="e">
        <f>IF(ISBLANK(N8),0,R8*ROUND(O8,2))</f>
        <v>#DIV/0!</v>
      </c>
      <c r="T8" s="24" t="e">
        <f>ROUND(Q8,2)*R8</f>
        <v>#DIV/0!</v>
      </c>
      <c r="U8" s="95" t="e">
        <f>R8*dagenperjaar3</f>
        <v>#DIV/0!</v>
      </c>
      <c r="V8" s="25" t="e">
        <f>U8*ROUND(Q8,2)</f>
        <v>#DIV/0!</v>
      </c>
    </row>
    <row r="9" spans="1:22" x14ac:dyDescent="0.2">
      <c r="A9" s="92" t="s">
        <v>946</v>
      </c>
      <c r="B9" s="93" t="s">
        <v>47</v>
      </c>
      <c r="C9" s="93" t="s">
        <v>394</v>
      </c>
      <c r="D9" s="93" t="s">
        <v>955</v>
      </c>
      <c r="E9" s="94" t="s">
        <v>956</v>
      </c>
      <c r="F9" s="93" t="s">
        <v>397</v>
      </c>
      <c r="G9" s="93" t="s">
        <v>363</v>
      </c>
      <c r="H9" s="93" t="s">
        <v>18</v>
      </c>
      <c r="I9" s="93" t="s">
        <v>255</v>
      </c>
      <c r="J9" s="93" t="s">
        <v>47</v>
      </c>
      <c r="K9" s="93"/>
      <c r="L9" s="95">
        <v>19.850000000000001</v>
      </c>
      <c r="M9" s="95">
        <f>L9*VLOOKUP(H9,dagsoorttabel3,2,FALSE)</f>
        <v>19.850000000000001</v>
      </c>
      <c r="N9" s="96">
        <f>prodnorm120</f>
        <v>0</v>
      </c>
      <c r="O9" s="37">
        <f>dagwerk120</f>
        <v>0</v>
      </c>
      <c r="P9" s="93" t="s">
        <v>105</v>
      </c>
      <c r="Q9" s="24">
        <f>uurtarief120</f>
        <v>0</v>
      </c>
      <c r="R9" s="95" t="e">
        <f>IF(ISBLANK(N9),0,M9/ROUND(N9,4))</f>
        <v>#DIV/0!</v>
      </c>
      <c r="S9" s="95" t="e">
        <f>IF(ISBLANK(N9),0,R9*ROUND(O9,2))</f>
        <v>#DIV/0!</v>
      </c>
      <c r="T9" s="24" t="e">
        <f>ROUND(Q9,2)*R9</f>
        <v>#DIV/0!</v>
      </c>
      <c r="U9" s="95" t="e">
        <f>R9*dagenperjaar3</f>
        <v>#DIV/0!</v>
      </c>
      <c r="V9" s="25" t="e">
        <f>U9*ROUND(Q9,2)</f>
        <v>#DIV/0!</v>
      </c>
    </row>
    <row r="10" spans="1:22" x14ac:dyDescent="0.2">
      <c r="A10" s="92" t="s">
        <v>946</v>
      </c>
      <c r="B10" s="93" t="s">
        <v>47</v>
      </c>
      <c r="C10" s="93" t="s">
        <v>394</v>
      </c>
      <c r="D10" s="93" t="s">
        <v>955</v>
      </c>
      <c r="E10" s="94" t="s">
        <v>956</v>
      </c>
      <c r="F10" s="93" t="s">
        <v>397</v>
      </c>
      <c r="G10" s="93" t="s">
        <v>364</v>
      </c>
      <c r="H10" s="93" t="s">
        <v>18</v>
      </c>
      <c r="I10" s="93" t="s">
        <v>255</v>
      </c>
      <c r="J10" s="93" t="s">
        <v>47</v>
      </c>
      <c r="K10" s="93"/>
      <c r="L10" s="95">
        <v>19.850000000000001</v>
      </c>
      <c r="M10" s="95">
        <f>L10*VLOOKUP(H10,dagsoorttabel3,2,FALSE)</f>
        <v>19.850000000000001</v>
      </c>
      <c r="N10" s="96">
        <f>prodnorm121</f>
        <v>0</v>
      </c>
      <c r="O10" s="37">
        <f>dagwerk121</f>
        <v>0</v>
      </c>
      <c r="P10" s="93" t="s">
        <v>105</v>
      </c>
      <c r="Q10" s="24">
        <f>uurtarief121</f>
        <v>0</v>
      </c>
      <c r="R10" s="95" t="e">
        <f>IF(ISBLANK(N10),0,M10/ROUND(N10,4))</f>
        <v>#DIV/0!</v>
      </c>
      <c r="S10" s="95" t="e">
        <f>IF(ISBLANK(N10),0,R10*ROUND(O10,2))</f>
        <v>#DIV/0!</v>
      </c>
      <c r="T10" s="24" t="e">
        <f>ROUND(Q10,2)*R10</f>
        <v>#DIV/0!</v>
      </c>
      <c r="U10" s="95" t="e">
        <f>R10*dagenperjaar3</f>
        <v>#DIV/0!</v>
      </c>
      <c r="V10" s="25" t="e">
        <f>U10*ROUND(Q10,2)</f>
        <v>#DIV/0!</v>
      </c>
    </row>
    <row r="11" spans="1:22" x14ac:dyDescent="0.2">
      <c r="A11" s="92" t="s">
        <v>946</v>
      </c>
      <c r="B11" s="93" t="s">
        <v>47</v>
      </c>
      <c r="C11" s="93" t="s">
        <v>394</v>
      </c>
      <c r="D11" s="93" t="s">
        <v>957</v>
      </c>
      <c r="E11" s="94" t="s">
        <v>958</v>
      </c>
      <c r="F11" s="93" t="s">
        <v>397</v>
      </c>
      <c r="G11" s="93" t="s">
        <v>363</v>
      </c>
      <c r="H11" s="93" t="s">
        <v>18</v>
      </c>
      <c r="I11" s="93" t="s">
        <v>255</v>
      </c>
      <c r="J11" s="93" t="s">
        <v>47</v>
      </c>
      <c r="K11" s="93"/>
      <c r="L11" s="95">
        <v>3.77</v>
      </c>
      <c r="M11" s="95">
        <f>L11*VLOOKUP(H11,dagsoorttabel3,2,FALSE)</f>
        <v>3.77</v>
      </c>
      <c r="N11" s="96">
        <f>prodnorm120</f>
        <v>0</v>
      </c>
      <c r="O11" s="37">
        <f>dagwerk120</f>
        <v>0</v>
      </c>
      <c r="P11" s="93" t="s">
        <v>105</v>
      </c>
      <c r="Q11" s="24">
        <f>uurtarief120</f>
        <v>0</v>
      </c>
      <c r="R11" s="95" t="e">
        <f>IF(ISBLANK(N11),0,M11/ROUND(N11,4))</f>
        <v>#DIV/0!</v>
      </c>
      <c r="S11" s="95" t="e">
        <f>IF(ISBLANK(N11),0,R11*ROUND(O11,2))</f>
        <v>#DIV/0!</v>
      </c>
      <c r="T11" s="24" t="e">
        <f>ROUND(Q11,2)*R11</f>
        <v>#DIV/0!</v>
      </c>
      <c r="U11" s="95" t="e">
        <f>R11*dagenperjaar3</f>
        <v>#DIV/0!</v>
      </c>
      <c r="V11" s="25" t="e">
        <f>U11*ROUND(Q11,2)</f>
        <v>#DIV/0!</v>
      </c>
    </row>
    <row r="12" spans="1:22" x14ac:dyDescent="0.2">
      <c r="A12" s="92" t="s">
        <v>946</v>
      </c>
      <c r="B12" s="93" t="s">
        <v>47</v>
      </c>
      <c r="C12" s="93" t="s">
        <v>394</v>
      </c>
      <c r="D12" s="93" t="s">
        <v>959</v>
      </c>
      <c r="E12" s="94" t="s">
        <v>703</v>
      </c>
      <c r="F12" s="93" t="s">
        <v>442</v>
      </c>
      <c r="G12" s="93" t="s">
        <v>366</v>
      </c>
      <c r="H12" s="93" t="s">
        <v>18</v>
      </c>
      <c r="I12" s="93" t="s">
        <v>255</v>
      </c>
      <c r="J12" s="93" t="s">
        <v>47</v>
      </c>
      <c r="K12" s="93"/>
      <c r="L12" s="95">
        <v>18.02</v>
      </c>
      <c r="M12" s="95">
        <f>L12*VLOOKUP(H12,dagsoorttabel3,2,FALSE)</f>
        <v>18.02</v>
      </c>
      <c r="N12" s="96">
        <f>prodnorm122</f>
        <v>0</v>
      </c>
      <c r="O12" s="37">
        <f>dagwerk122</f>
        <v>0</v>
      </c>
      <c r="P12" s="93" t="s">
        <v>105</v>
      </c>
      <c r="Q12" s="24">
        <f>uurtarief122</f>
        <v>0</v>
      </c>
      <c r="R12" s="95" t="e">
        <f>IF(ISBLANK(N12),0,M12/ROUND(N12,4))</f>
        <v>#DIV/0!</v>
      </c>
      <c r="S12" s="95" t="e">
        <f>IF(ISBLANK(N12),0,R12*ROUND(O12,2))</f>
        <v>#DIV/0!</v>
      </c>
      <c r="T12" s="24" t="e">
        <f>ROUND(Q12,2)*R12</f>
        <v>#DIV/0!</v>
      </c>
      <c r="U12" s="95" t="e">
        <f>R12*dagenperjaar3</f>
        <v>#DIV/0!</v>
      </c>
      <c r="V12" s="25" t="e">
        <f>U12*ROUND(Q12,2)</f>
        <v>#DIV/0!</v>
      </c>
    </row>
    <row r="13" spans="1:22" x14ac:dyDescent="0.2">
      <c r="A13" s="92" t="s">
        <v>946</v>
      </c>
      <c r="B13" s="93" t="s">
        <v>47</v>
      </c>
      <c r="C13" s="93" t="s">
        <v>394</v>
      </c>
      <c r="D13" s="93" t="s">
        <v>983</v>
      </c>
      <c r="E13" s="94" t="s">
        <v>984</v>
      </c>
      <c r="F13" s="93" t="s">
        <v>442</v>
      </c>
      <c r="G13" s="93" t="s">
        <v>374</v>
      </c>
      <c r="H13" s="93" t="s">
        <v>18</v>
      </c>
      <c r="I13" s="93" t="s">
        <v>255</v>
      </c>
      <c r="J13" s="93" t="s">
        <v>47</v>
      </c>
      <c r="K13" s="93"/>
      <c r="L13" s="95">
        <v>4.3199999999999994</v>
      </c>
      <c r="M13" s="95">
        <f>L13*VLOOKUP(H13,dagsoorttabel3,2,FALSE)</f>
        <v>4.3199999999999994</v>
      </c>
      <c r="N13" s="96">
        <f>prodnorm129</f>
        <v>0</v>
      </c>
      <c r="O13" s="37">
        <f>dagwerk129</f>
        <v>0</v>
      </c>
      <c r="P13" s="93" t="s">
        <v>105</v>
      </c>
      <c r="Q13" s="24">
        <f>uurtarief129</f>
        <v>0</v>
      </c>
      <c r="R13" s="95" t="e">
        <f>IF(ISBLANK(N13),0,M13/ROUND(N13,4))</f>
        <v>#DIV/0!</v>
      </c>
      <c r="S13" s="95" t="e">
        <f>IF(ISBLANK(N13),0,R13*ROUND(O13,2))</f>
        <v>#DIV/0!</v>
      </c>
      <c r="T13" s="24" t="e">
        <f>ROUND(Q13,2)*R13</f>
        <v>#DIV/0!</v>
      </c>
      <c r="U13" s="95" t="e">
        <f>R13*dagenperjaar3</f>
        <v>#DIV/0!</v>
      </c>
      <c r="V13" s="25" t="e">
        <f>U13*ROUND(Q13,2)</f>
        <v>#DIV/0!</v>
      </c>
    </row>
    <row r="14" spans="1:22" x14ac:dyDescent="0.2">
      <c r="A14" s="92" t="s">
        <v>946</v>
      </c>
      <c r="B14" s="93" t="s">
        <v>47</v>
      </c>
      <c r="C14" s="93" t="s">
        <v>394</v>
      </c>
      <c r="D14" s="93" t="s">
        <v>985</v>
      </c>
      <c r="E14" s="94" t="s">
        <v>986</v>
      </c>
      <c r="F14" s="93" t="s">
        <v>442</v>
      </c>
      <c r="G14" s="93" t="s">
        <v>374</v>
      </c>
      <c r="H14" s="93" t="s">
        <v>18</v>
      </c>
      <c r="I14" s="93" t="s">
        <v>255</v>
      </c>
      <c r="J14" s="93" t="s">
        <v>47</v>
      </c>
      <c r="K14" s="93"/>
      <c r="L14" s="95">
        <v>4.8199999999999994</v>
      </c>
      <c r="M14" s="95">
        <f>L14*VLOOKUP(H14,dagsoorttabel3,2,FALSE)</f>
        <v>4.8199999999999994</v>
      </c>
      <c r="N14" s="96">
        <f>prodnorm129</f>
        <v>0</v>
      </c>
      <c r="O14" s="37">
        <f>dagwerk129</f>
        <v>0</v>
      </c>
      <c r="P14" s="93" t="s">
        <v>105</v>
      </c>
      <c r="Q14" s="24">
        <f>uurtarief129</f>
        <v>0</v>
      </c>
      <c r="R14" s="95" t="e">
        <f>IF(ISBLANK(N14),0,M14/ROUND(N14,4))</f>
        <v>#DIV/0!</v>
      </c>
      <c r="S14" s="95" t="e">
        <f>IF(ISBLANK(N14),0,R14*ROUND(O14,2))</f>
        <v>#DIV/0!</v>
      </c>
      <c r="T14" s="24" t="e">
        <f>ROUND(Q14,2)*R14</f>
        <v>#DIV/0!</v>
      </c>
      <c r="U14" s="95" t="e">
        <f>R14*dagenperjaar3</f>
        <v>#DIV/0!</v>
      </c>
      <c r="V14" s="25" t="e">
        <f>U14*ROUND(Q14,2)</f>
        <v>#DIV/0!</v>
      </c>
    </row>
    <row r="15" spans="1:22" x14ac:dyDescent="0.2">
      <c r="A15" s="92" t="s">
        <v>946</v>
      </c>
      <c r="B15" s="93" t="s">
        <v>47</v>
      </c>
      <c r="C15" s="93" t="s">
        <v>394</v>
      </c>
      <c r="D15" s="93" t="s">
        <v>985</v>
      </c>
      <c r="E15" s="94" t="s">
        <v>986</v>
      </c>
      <c r="F15" s="93" t="s">
        <v>442</v>
      </c>
      <c r="G15" s="93" t="s">
        <v>375</v>
      </c>
      <c r="H15" s="93" t="s">
        <v>18</v>
      </c>
      <c r="I15" s="93" t="s">
        <v>255</v>
      </c>
      <c r="J15" s="93" t="s">
        <v>47</v>
      </c>
      <c r="K15" s="93"/>
      <c r="L15" s="95">
        <v>4.8199999999999994</v>
      </c>
      <c r="M15" s="95">
        <f>L15*VLOOKUP(H15,dagsoorttabel3,2,FALSE)</f>
        <v>4.8199999999999994</v>
      </c>
      <c r="N15" s="96">
        <f>prodnorm130</f>
        <v>0</v>
      </c>
      <c r="O15" s="37">
        <f>dagwerk130</f>
        <v>0</v>
      </c>
      <c r="P15" s="93" t="s">
        <v>105</v>
      </c>
      <c r="Q15" s="24">
        <f>uurtarief130</f>
        <v>0</v>
      </c>
      <c r="R15" s="95" t="e">
        <f>IF(ISBLANK(N15),0,M15/ROUND(N15,4))</f>
        <v>#DIV/0!</v>
      </c>
      <c r="S15" s="95" t="e">
        <f>IF(ISBLANK(N15),0,R15*ROUND(O15,2))</f>
        <v>#DIV/0!</v>
      </c>
      <c r="T15" s="24" t="e">
        <f>ROUND(Q15,2)*R15</f>
        <v>#DIV/0!</v>
      </c>
      <c r="U15" s="95" t="e">
        <f>R15*dagenperjaar3</f>
        <v>#DIV/0!</v>
      </c>
      <c r="V15" s="25" t="e">
        <f>U15*ROUND(Q15,2)</f>
        <v>#DIV/0!</v>
      </c>
    </row>
    <row r="16" spans="1:22" x14ac:dyDescent="0.2">
      <c r="A16" s="92" t="s">
        <v>946</v>
      </c>
      <c r="B16" s="93" t="s">
        <v>47</v>
      </c>
      <c r="C16" s="93" t="s">
        <v>394</v>
      </c>
      <c r="D16" s="93" t="s">
        <v>987</v>
      </c>
      <c r="E16" s="94" t="s">
        <v>988</v>
      </c>
      <c r="F16" s="93" t="s">
        <v>442</v>
      </c>
      <c r="G16" s="93" t="s">
        <v>374</v>
      </c>
      <c r="H16" s="93" t="s">
        <v>18</v>
      </c>
      <c r="I16" s="93" t="s">
        <v>255</v>
      </c>
      <c r="J16" s="93" t="s">
        <v>47</v>
      </c>
      <c r="K16" s="93"/>
      <c r="L16" s="95">
        <v>4.6899999999999995</v>
      </c>
      <c r="M16" s="95">
        <f>L16*VLOOKUP(H16,dagsoorttabel3,2,FALSE)</f>
        <v>4.6899999999999995</v>
      </c>
      <c r="N16" s="96">
        <f>prodnorm129</f>
        <v>0</v>
      </c>
      <c r="O16" s="37">
        <f>dagwerk129</f>
        <v>0</v>
      </c>
      <c r="P16" s="93" t="s">
        <v>105</v>
      </c>
      <c r="Q16" s="24">
        <f>uurtarief129</f>
        <v>0</v>
      </c>
      <c r="R16" s="95" t="e">
        <f>IF(ISBLANK(N16),0,M16/ROUND(N16,4))</f>
        <v>#DIV/0!</v>
      </c>
      <c r="S16" s="95" t="e">
        <f>IF(ISBLANK(N16),0,R16*ROUND(O16,2))</f>
        <v>#DIV/0!</v>
      </c>
      <c r="T16" s="24" t="e">
        <f>ROUND(Q16,2)*R16</f>
        <v>#DIV/0!</v>
      </c>
      <c r="U16" s="95" t="e">
        <f>R16*dagenperjaar3</f>
        <v>#DIV/0!</v>
      </c>
      <c r="V16" s="25" t="e">
        <f>U16*ROUND(Q16,2)</f>
        <v>#DIV/0!</v>
      </c>
    </row>
    <row r="17" spans="1:22" x14ac:dyDescent="0.2">
      <c r="A17" s="92" t="s">
        <v>946</v>
      </c>
      <c r="B17" s="93" t="s">
        <v>47</v>
      </c>
      <c r="C17" s="93" t="s">
        <v>394</v>
      </c>
      <c r="D17" s="93" t="s">
        <v>987</v>
      </c>
      <c r="E17" s="94" t="s">
        <v>988</v>
      </c>
      <c r="F17" s="93" t="s">
        <v>442</v>
      </c>
      <c r="G17" s="93" t="s">
        <v>375</v>
      </c>
      <c r="H17" s="93" t="s">
        <v>18</v>
      </c>
      <c r="I17" s="93" t="s">
        <v>255</v>
      </c>
      <c r="J17" s="93" t="s">
        <v>47</v>
      </c>
      <c r="K17" s="93"/>
      <c r="L17" s="95">
        <v>4.6899999999999995</v>
      </c>
      <c r="M17" s="95">
        <f>L17*VLOOKUP(H17,dagsoorttabel3,2,FALSE)</f>
        <v>4.6899999999999995</v>
      </c>
      <c r="N17" s="96">
        <f>prodnorm130</f>
        <v>0</v>
      </c>
      <c r="O17" s="37">
        <f>dagwerk130</f>
        <v>0</v>
      </c>
      <c r="P17" s="93" t="s">
        <v>105</v>
      </c>
      <c r="Q17" s="24">
        <f>uurtarief130</f>
        <v>0</v>
      </c>
      <c r="R17" s="95" t="e">
        <f>IF(ISBLANK(N17),0,M17/ROUND(N17,4))</f>
        <v>#DIV/0!</v>
      </c>
      <c r="S17" s="95" t="e">
        <f>IF(ISBLANK(N17),0,R17*ROUND(O17,2))</f>
        <v>#DIV/0!</v>
      </c>
      <c r="T17" s="24" t="e">
        <f>ROUND(Q17,2)*R17</f>
        <v>#DIV/0!</v>
      </c>
      <c r="U17" s="95" t="e">
        <f>R17*dagenperjaar3</f>
        <v>#DIV/0!</v>
      </c>
      <c r="V17" s="25" t="e">
        <f>U17*ROUND(Q17,2)</f>
        <v>#DIV/0!</v>
      </c>
    </row>
    <row r="18" spans="1:22" x14ac:dyDescent="0.2">
      <c r="A18" s="92" t="s">
        <v>946</v>
      </c>
      <c r="B18" s="93" t="s">
        <v>47</v>
      </c>
      <c r="C18" s="93" t="s">
        <v>394</v>
      </c>
      <c r="D18" s="93" t="s">
        <v>996</v>
      </c>
      <c r="E18" s="94" t="s">
        <v>956</v>
      </c>
      <c r="F18" s="93" t="s">
        <v>397</v>
      </c>
      <c r="G18" s="93" t="s">
        <v>374</v>
      </c>
      <c r="H18" s="93" t="s">
        <v>18</v>
      </c>
      <c r="I18" s="93" t="s">
        <v>255</v>
      </c>
      <c r="J18" s="93" t="s">
        <v>47</v>
      </c>
      <c r="K18" s="93"/>
      <c r="L18" s="95">
        <v>20.99</v>
      </c>
      <c r="M18" s="95">
        <f>L18*VLOOKUP(H18,dagsoorttabel3,2,FALSE)</f>
        <v>20.99</v>
      </c>
      <c r="N18" s="96">
        <f>prodnorm129</f>
        <v>0</v>
      </c>
      <c r="O18" s="37">
        <f>dagwerk129</f>
        <v>0</v>
      </c>
      <c r="P18" s="93" t="s">
        <v>105</v>
      </c>
      <c r="Q18" s="24">
        <f>uurtarief129</f>
        <v>0</v>
      </c>
      <c r="R18" s="95" t="e">
        <f>IF(ISBLANK(N18),0,M18/ROUND(N18,4))</f>
        <v>#DIV/0!</v>
      </c>
      <c r="S18" s="95" t="e">
        <f>IF(ISBLANK(N18),0,R18*ROUND(O18,2))</f>
        <v>#DIV/0!</v>
      </c>
      <c r="T18" s="24" t="e">
        <f>ROUND(Q18,2)*R18</f>
        <v>#DIV/0!</v>
      </c>
      <c r="U18" s="95" t="e">
        <f>R18*dagenperjaar3</f>
        <v>#DIV/0!</v>
      </c>
      <c r="V18" s="25" t="e">
        <f>U18*ROUND(Q18,2)</f>
        <v>#DIV/0!</v>
      </c>
    </row>
    <row r="19" spans="1:22" x14ac:dyDescent="0.2">
      <c r="A19" s="92" t="s">
        <v>946</v>
      </c>
      <c r="B19" s="93" t="s">
        <v>47</v>
      </c>
      <c r="C19" s="93" t="s">
        <v>394</v>
      </c>
      <c r="D19" s="93" t="s">
        <v>996</v>
      </c>
      <c r="E19" s="94" t="s">
        <v>956</v>
      </c>
      <c r="F19" s="93" t="s">
        <v>397</v>
      </c>
      <c r="G19" s="93" t="s">
        <v>375</v>
      </c>
      <c r="H19" s="93" t="s">
        <v>18</v>
      </c>
      <c r="I19" s="93" t="s">
        <v>255</v>
      </c>
      <c r="J19" s="93" t="s">
        <v>47</v>
      </c>
      <c r="K19" s="93"/>
      <c r="L19" s="95">
        <v>20.99</v>
      </c>
      <c r="M19" s="95">
        <f>L19*VLOOKUP(H19,dagsoorttabel3,2,FALSE)</f>
        <v>20.99</v>
      </c>
      <c r="N19" s="96">
        <f>prodnorm130</f>
        <v>0</v>
      </c>
      <c r="O19" s="37">
        <f>dagwerk130</f>
        <v>0</v>
      </c>
      <c r="P19" s="93" t="s">
        <v>105</v>
      </c>
      <c r="Q19" s="24">
        <f>uurtarief130</f>
        <v>0</v>
      </c>
      <c r="R19" s="95" t="e">
        <f>IF(ISBLANK(N19),0,M19/ROUND(N19,4))</f>
        <v>#DIV/0!</v>
      </c>
      <c r="S19" s="95" t="e">
        <f>IF(ISBLANK(N19),0,R19*ROUND(O19,2))</f>
        <v>#DIV/0!</v>
      </c>
      <c r="T19" s="24" t="e">
        <f>ROUND(Q19,2)*R19</f>
        <v>#DIV/0!</v>
      </c>
      <c r="U19" s="95" t="e">
        <f>R19*dagenperjaar3</f>
        <v>#DIV/0!</v>
      </c>
      <c r="V19" s="25" t="e">
        <f>U19*ROUND(Q19,2)</f>
        <v>#DIV/0!</v>
      </c>
    </row>
    <row r="20" spans="1:22" x14ac:dyDescent="0.2">
      <c r="A20" s="92" t="s">
        <v>946</v>
      </c>
      <c r="B20" s="93" t="s">
        <v>47</v>
      </c>
      <c r="C20" s="93" t="s">
        <v>394</v>
      </c>
      <c r="D20" s="93" t="s">
        <v>997</v>
      </c>
      <c r="E20" s="94" t="s">
        <v>954</v>
      </c>
      <c r="F20" s="93" t="s">
        <v>397</v>
      </c>
      <c r="G20" s="93" t="s">
        <v>363</v>
      </c>
      <c r="H20" s="93" t="s">
        <v>18</v>
      </c>
      <c r="I20" s="93" t="s">
        <v>255</v>
      </c>
      <c r="J20" s="93" t="s">
        <v>47</v>
      </c>
      <c r="K20" s="93"/>
      <c r="L20" s="95">
        <v>12.16</v>
      </c>
      <c r="M20" s="95">
        <f>L20*VLOOKUP(H20,dagsoorttabel3,2,FALSE)</f>
        <v>12.16</v>
      </c>
      <c r="N20" s="96">
        <f>prodnorm120</f>
        <v>0</v>
      </c>
      <c r="O20" s="37">
        <f>dagwerk120</f>
        <v>0</v>
      </c>
      <c r="P20" s="93" t="s">
        <v>105</v>
      </c>
      <c r="Q20" s="24">
        <f>uurtarief120</f>
        <v>0</v>
      </c>
      <c r="R20" s="95" t="e">
        <f>IF(ISBLANK(N20),0,M20/ROUND(N20,4))</f>
        <v>#DIV/0!</v>
      </c>
      <c r="S20" s="95" t="e">
        <f>IF(ISBLANK(N20),0,R20*ROUND(O20,2))</f>
        <v>#DIV/0!</v>
      </c>
      <c r="T20" s="24" t="e">
        <f>ROUND(Q20,2)*R20</f>
        <v>#DIV/0!</v>
      </c>
      <c r="U20" s="95" t="e">
        <f>R20*dagenperjaar3</f>
        <v>#DIV/0!</v>
      </c>
      <c r="V20" s="25" t="e">
        <f>U20*ROUND(Q20,2)</f>
        <v>#DIV/0!</v>
      </c>
    </row>
    <row r="21" spans="1:22" x14ac:dyDescent="0.2">
      <c r="A21" s="92" t="s">
        <v>946</v>
      </c>
      <c r="B21" s="93" t="s">
        <v>47</v>
      </c>
      <c r="C21" s="93" t="s">
        <v>394</v>
      </c>
      <c r="D21" s="93" t="s">
        <v>997</v>
      </c>
      <c r="E21" s="94" t="s">
        <v>954</v>
      </c>
      <c r="F21" s="93" t="s">
        <v>397</v>
      </c>
      <c r="G21" s="93" t="s">
        <v>364</v>
      </c>
      <c r="H21" s="93" t="s">
        <v>18</v>
      </c>
      <c r="I21" s="93" t="s">
        <v>255</v>
      </c>
      <c r="J21" s="93" t="s">
        <v>47</v>
      </c>
      <c r="K21" s="93"/>
      <c r="L21" s="95">
        <v>12.16</v>
      </c>
      <c r="M21" s="95">
        <f>L21*VLOOKUP(H21,dagsoorttabel3,2,FALSE)</f>
        <v>12.16</v>
      </c>
      <c r="N21" s="96">
        <f>prodnorm121</f>
        <v>0</v>
      </c>
      <c r="O21" s="37">
        <f>dagwerk121</f>
        <v>0</v>
      </c>
      <c r="P21" s="93" t="s">
        <v>105</v>
      </c>
      <c r="Q21" s="24">
        <f>uurtarief121</f>
        <v>0</v>
      </c>
      <c r="R21" s="95" t="e">
        <f>IF(ISBLANK(N21),0,M21/ROUND(N21,4))</f>
        <v>#DIV/0!</v>
      </c>
      <c r="S21" s="95" t="e">
        <f>IF(ISBLANK(N21),0,R21*ROUND(O21,2))</f>
        <v>#DIV/0!</v>
      </c>
      <c r="T21" s="24" t="e">
        <f>ROUND(Q21,2)*R21</f>
        <v>#DIV/0!</v>
      </c>
      <c r="U21" s="95" t="e">
        <f>R21*dagenperjaar3</f>
        <v>#DIV/0!</v>
      </c>
      <c r="V21" s="25" t="e">
        <f>U21*ROUND(Q21,2)</f>
        <v>#DIV/0!</v>
      </c>
    </row>
    <row r="22" spans="1:22" x14ac:dyDescent="0.2">
      <c r="A22" s="92" t="s">
        <v>946</v>
      </c>
      <c r="B22" s="93" t="s">
        <v>47</v>
      </c>
      <c r="C22" s="93" t="s">
        <v>394</v>
      </c>
      <c r="D22" s="93" t="s">
        <v>998</v>
      </c>
      <c r="E22" s="94" t="s">
        <v>958</v>
      </c>
      <c r="F22" s="93" t="s">
        <v>397</v>
      </c>
      <c r="G22" s="93" t="s">
        <v>374</v>
      </c>
      <c r="H22" s="93" t="s">
        <v>18</v>
      </c>
      <c r="I22" s="93" t="s">
        <v>255</v>
      </c>
      <c r="J22" s="93" t="s">
        <v>47</v>
      </c>
      <c r="K22" s="93"/>
      <c r="L22" s="95">
        <v>6</v>
      </c>
      <c r="M22" s="95">
        <f>L22*VLOOKUP(H22,dagsoorttabel3,2,FALSE)</f>
        <v>6</v>
      </c>
      <c r="N22" s="96">
        <f>prodnorm129</f>
        <v>0</v>
      </c>
      <c r="O22" s="37">
        <f>dagwerk129</f>
        <v>0</v>
      </c>
      <c r="P22" s="93" t="s">
        <v>105</v>
      </c>
      <c r="Q22" s="24">
        <f>uurtarief129</f>
        <v>0</v>
      </c>
      <c r="R22" s="95" t="e">
        <f>IF(ISBLANK(N22),0,M22/ROUND(N22,4))</f>
        <v>#DIV/0!</v>
      </c>
      <c r="S22" s="95" t="e">
        <f>IF(ISBLANK(N22),0,R22*ROUND(O22,2))</f>
        <v>#DIV/0!</v>
      </c>
      <c r="T22" s="24" t="e">
        <f>ROUND(Q22,2)*R22</f>
        <v>#DIV/0!</v>
      </c>
      <c r="U22" s="95" t="e">
        <f>R22*dagenperjaar3</f>
        <v>#DIV/0!</v>
      </c>
      <c r="V22" s="25" t="e">
        <f>U22*ROUND(Q22,2)</f>
        <v>#DIV/0!</v>
      </c>
    </row>
    <row r="23" spans="1:22" x14ac:dyDescent="0.2">
      <c r="A23" s="92" t="s">
        <v>946</v>
      </c>
      <c r="B23" s="93" t="s">
        <v>47</v>
      </c>
      <c r="C23" s="93" t="s">
        <v>394</v>
      </c>
      <c r="D23" s="93" t="s">
        <v>999</v>
      </c>
      <c r="E23" s="94" t="s">
        <v>956</v>
      </c>
      <c r="F23" s="93" t="s">
        <v>397</v>
      </c>
      <c r="G23" s="93" t="s">
        <v>363</v>
      </c>
      <c r="H23" s="93" t="s">
        <v>18</v>
      </c>
      <c r="I23" s="93" t="s">
        <v>255</v>
      </c>
      <c r="J23" s="93" t="s">
        <v>47</v>
      </c>
      <c r="K23" s="93"/>
      <c r="L23" s="95">
        <v>6.03</v>
      </c>
      <c r="M23" s="95">
        <f>L23*VLOOKUP(H23,dagsoorttabel3,2,FALSE)</f>
        <v>6.03</v>
      </c>
      <c r="N23" s="96">
        <f>prodnorm120</f>
        <v>0</v>
      </c>
      <c r="O23" s="37">
        <f>dagwerk120</f>
        <v>0</v>
      </c>
      <c r="P23" s="93" t="s">
        <v>105</v>
      </c>
      <c r="Q23" s="24">
        <f>uurtarief120</f>
        <v>0</v>
      </c>
      <c r="R23" s="95" t="e">
        <f>IF(ISBLANK(N23),0,M23/ROUND(N23,4))</f>
        <v>#DIV/0!</v>
      </c>
      <c r="S23" s="95" t="e">
        <f>IF(ISBLANK(N23),0,R23*ROUND(O23,2))</f>
        <v>#DIV/0!</v>
      </c>
      <c r="T23" s="24" t="e">
        <f>ROUND(Q23,2)*R23</f>
        <v>#DIV/0!</v>
      </c>
      <c r="U23" s="95" t="e">
        <f>R23*dagenperjaar3</f>
        <v>#DIV/0!</v>
      </c>
      <c r="V23" s="25" t="e">
        <f>U23*ROUND(Q23,2)</f>
        <v>#DIV/0!</v>
      </c>
    </row>
    <row r="24" spans="1:22" x14ac:dyDescent="0.2">
      <c r="A24" s="92" t="s">
        <v>946</v>
      </c>
      <c r="B24" s="93" t="s">
        <v>47</v>
      </c>
      <c r="C24" s="93" t="s">
        <v>394</v>
      </c>
      <c r="D24" s="93" t="s">
        <v>999</v>
      </c>
      <c r="E24" s="94" t="s">
        <v>956</v>
      </c>
      <c r="F24" s="93" t="s">
        <v>397</v>
      </c>
      <c r="G24" s="93" t="s">
        <v>364</v>
      </c>
      <c r="H24" s="93" t="s">
        <v>18</v>
      </c>
      <c r="I24" s="93" t="s">
        <v>255</v>
      </c>
      <c r="J24" s="93" t="s">
        <v>47</v>
      </c>
      <c r="K24" s="93"/>
      <c r="L24" s="95">
        <v>6.03</v>
      </c>
      <c r="M24" s="95">
        <f>L24*VLOOKUP(H24,dagsoorttabel3,2,FALSE)</f>
        <v>6.03</v>
      </c>
      <c r="N24" s="96">
        <f>prodnorm121</f>
        <v>0</v>
      </c>
      <c r="O24" s="37">
        <f>dagwerk121</f>
        <v>0</v>
      </c>
      <c r="P24" s="93" t="s">
        <v>105</v>
      </c>
      <c r="Q24" s="24">
        <f>uurtarief121</f>
        <v>0</v>
      </c>
      <c r="R24" s="95" t="e">
        <f>IF(ISBLANK(N24),0,M24/ROUND(N24,4))</f>
        <v>#DIV/0!</v>
      </c>
      <c r="S24" s="95" t="e">
        <f>IF(ISBLANK(N24),0,R24*ROUND(O24,2))</f>
        <v>#DIV/0!</v>
      </c>
      <c r="T24" s="24" t="e">
        <f>ROUND(Q24,2)*R24</f>
        <v>#DIV/0!</v>
      </c>
      <c r="U24" s="95" t="e">
        <f>R24*dagenperjaar3</f>
        <v>#DIV/0!</v>
      </c>
      <c r="V24" s="25" t="e">
        <f>U24*ROUND(Q24,2)</f>
        <v>#DIV/0!</v>
      </c>
    </row>
    <row r="25" spans="1:22" x14ac:dyDescent="0.2">
      <c r="A25" s="92" t="s">
        <v>946</v>
      </c>
      <c r="B25" s="93" t="s">
        <v>47</v>
      </c>
      <c r="C25" s="93" t="s">
        <v>394</v>
      </c>
      <c r="D25" s="93" t="s">
        <v>1000</v>
      </c>
      <c r="E25" s="94" t="s">
        <v>954</v>
      </c>
      <c r="F25" s="93" t="s">
        <v>397</v>
      </c>
      <c r="G25" s="93" t="s">
        <v>374</v>
      </c>
      <c r="H25" s="93" t="s">
        <v>18</v>
      </c>
      <c r="I25" s="93" t="s">
        <v>255</v>
      </c>
      <c r="J25" s="93" t="s">
        <v>47</v>
      </c>
      <c r="K25" s="93"/>
      <c r="L25" s="95">
        <v>6.03</v>
      </c>
      <c r="M25" s="95">
        <f>L25*VLOOKUP(H25,dagsoorttabel3,2,FALSE)</f>
        <v>6.03</v>
      </c>
      <c r="N25" s="96">
        <f>prodnorm129</f>
        <v>0</v>
      </c>
      <c r="O25" s="37">
        <f>dagwerk129</f>
        <v>0</v>
      </c>
      <c r="P25" s="93" t="s">
        <v>105</v>
      </c>
      <c r="Q25" s="24">
        <f>uurtarief129</f>
        <v>0</v>
      </c>
      <c r="R25" s="95" t="e">
        <f>IF(ISBLANK(N25),0,M25/ROUND(N25,4))</f>
        <v>#DIV/0!</v>
      </c>
      <c r="S25" s="95" t="e">
        <f>IF(ISBLANK(N25),0,R25*ROUND(O25,2))</f>
        <v>#DIV/0!</v>
      </c>
      <c r="T25" s="24" t="e">
        <f>ROUND(Q25,2)*R25</f>
        <v>#DIV/0!</v>
      </c>
      <c r="U25" s="95" t="e">
        <f>R25*dagenperjaar3</f>
        <v>#DIV/0!</v>
      </c>
      <c r="V25" s="25" t="e">
        <f>U25*ROUND(Q25,2)</f>
        <v>#DIV/0!</v>
      </c>
    </row>
    <row r="26" spans="1:22" x14ac:dyDescent="0.2">
      <c r="A26" s="92" t="s">
        <v>946</v>
      </c>
      <c r="B26" s="93" t="s">
        <v>47</v>
      </c>
      <c r="C26" s="93" t="s">
        <v>394</v>
      </c>
      <c r="D26" s="93" t="s">
        <v>1000</v>
      </c>
      <c r="E26" s="94" t="s">
        <v>954</v>
      </c>
      <c r="F26" s="93" t="s">
        <v>397</v>
      </c>
      <c r="G26" s="93" t="s">
        <v>375</v>
      </c>
      <c r="H26" s="93" t="s">
        <v>18</v>
      </c>
      <c r="I26" s="93" t="s">
        <v>255</v>
      </c>
      <c r="J26" s="93" t="s">
        <v>47</v>
      </c>
      <c r="K26" s="93"/>
      <c r="L26" s="95">
        <v>6.03</v>
      </c>
      <c r="M26" s="95">
        <f>L26*VLOOKUP(H26,dagsoorttabel3,2,FALSE)</f>
        <v>6.03</v>
      </c>
      <c r="N26" s="96">
        <f>prodnorm130</f>
        <v>0</v>
      </c>
      <c r="O26" s="37">
        <f>dagwerk130</f>
        <v>0</v>
      </c>
      <c r="P26" s="93" t="s">
        <v>105</v>
      </c>
      <c r="Q26" s="24">
        <f>uurtarief130</f>
        <v>0</v>
      </c>
      <c r="R26" s="95" t="e">
        <f>IF(ISBLANK(N26),0,M26/ROUND(N26,4))</f>
        <v>#DIV/0!</v>
      </c>
      <c r="S26" s="95" t="e">
        <f>IF(ISBLANK(N26),0,R26*ROUND(O26,2))</f>
        <v>#DIV/0!</v>
      </c>
      <c r="T26" s="24" t="e">
        <f>ROUND(Q26,2)*R26</f>
        <v>#DIV/0!</v>
      </c>
      <c r="U26" s="95" t="e">
        <f>R26*dagenperjaar3</f>
        <v>#DIV/0!</v>
      </c>
      <c r="V26" s="25" t="e">
        <f>U26*ROUND(Q26,2)</f>
        <v>#DIV/0!</v>
      </c>
    </row>
    <row r="27" spans="1:22" x14ac:dyDescent="0.2">
      <c r="A27" s="92" t="s">
        <v>946</v>
      </c>
      <c r="B27" s="93" t="s">
        <v>47</v>
      </c>
      <c r="C27" s="93" t="s">
        <v>394</v>
      </c>
      <c r="D27" s="93" t="s">
        <v>1001</v>
      </c>
      <c r="E27" s="94" t="s">
        <v>958</v>
      </c>
      <c r="F27" s="93" t="s">
        <v>397</v>
      </c>
      <c r="G27" s="93" t="s">
        <v>363</v>
      </c>
      <c r="H27" s="93" t="s">
        <v>18</v>
      </c>
      <c r="I27" s="93" t="s">
        <v>255</v>
      </c>
      <c r="J27" s="93" t="s">
        <v>47</v>
      </c>
      <c r="K27" s="93"/>
      <c r="L27" s="95">
        <v>6.59</v>
      </c>
      <c r="M27" s="95">
        <f>L27*VLOOKUP(H27,dagsoorttabel3,2,FALSE)</f>
        <v>6.59</v>
      </c>
      <c r="N27" s="96">
        <f>prodnorm120</f>
        <v>0</v>
      </c>
      <c r="O27" s="37">
        <f>dagwerk120</f>
        <v>0</v>
      </c>
      <c r="P27" s="93" t="s">
        <v>105</v>
      </c>
      <c r="Q27" s="24">
        <f>uurtarief120</f>
        <v>0</v>
      </c>
      <c r="R27" s="95" t="e">
        <f>IF(ISBLANK(N27),0,M27/ROUND(N27,4))</f>
        <v>#DIV/0!</v>
      </c>
      <c r="S27" s="95" t="e">
        <f>IF(ISBLANK(N27),0,R27*ROUND(O27,2))</f>
        <v>#DIV/0!</v>
      </c>
      <c r="T27" s="24" t="e">
        <f>ROUND(Q27,2)*R27</f>
        <v>#DIV/0!</v>
      </c>
      <c r="U27" s="95" t="e">
        <f>R27*dagenperjaar3</f>
        <v>#DIV/0!</v>
      </c>
      <c r="V27" s="25" t="e">
        <f>U27*ROUND(Q27,2)</f>
        <v>#DIV/0!</v>
      </c>
    </row>
    <row r="28" spans="1:22" x14ac:dyDescent="0.2">
      <c r="A28" s="92" t="s">
        <v>946</v>
      </c>
      <c r="B28" s="93" t="s">
        <v>47</v>
      </c>
      <c r="C28" s="93" t="s">
        <v>394</v>
      </c>
      <c r="D28" s="93" t="s">
        <v>1002</v>
      </c>
      <c r="E28" s="94" t="s">
        <v>1003</v>
      </c>
      <c r="F28" s="93" t="s">
        <v>442</v>
      </c>
      <c r="G28" s="93" t="s">
        <v>369</v>
      </c>
      <c r="H28" s="93" t="s">
        <v>18</v>
      </c>
      <c r="I28" s="93" t="s">
        <v>255</v>
      </c>
      <c r="J28" s="93" t="s">
        <v>47</v>
      </c>
      <c r="K28" s="93"/>
      <c r="L28" s="95">
        <v>44</v>
      </c>
      <c r="M28" s="95">
        <f>L28*VLOOKUP(H28,dagsoorttabel3,2,FALSE)</f>
        <v>44</v>
      </c>
      <c r="N28" s="96">
        <f>prodnorm124</f>
        <v>0</v>
      </c>
      <c r="O28" s="37">
        <f>dagwerk124</f>
        <v>0</v>
      </c>
      <c r="P28" s="93" t="s">
        <v>105</v>
      </c>
      <c r="Q28" s="24">
        <f>uurtarief124</f>
        <v>0</v>
      </c>
      <c r="R28" s="95" t="e">
        <f>IF(ISBLANK(N28),0,M28/ROUND(N28,4))</f>
        <v>#DIV/0!</v>
      </c>
      <c r="S28" s="95" t="e">
        <f>IF(ISBLANK(N28),0,R28*ROUND(O28,2))</f>
        <v>#DIV/0!</v>
      </c>
      <c r="T28" s="24" t="e">
        <f>ROUND(Q28,2)*R28</f>
        <v>#DIV/0!</v>
      </c>
      <c r="U28" s="95" t="e">
        <f>R28*dagenperjaar3</f>
        <v>#DIV/0!</v>
      </c>
      <c r="V28" s="25" t="e">
        <f>U28*ROUND(Q28,2)</f>
        <v>#DIV/0!</v>
      </c>
    </row>
    <row r="29" spans="1:22" x14ac:dyDescent="0.2">
      <c r="A29" s="92" t="s">
        <v>946</v>
      </c>
      <c r="B29" s="93" t="s">
        <v>47</v>
      </c>
      <c r="C29" s="93" t="s">
        <v>394</v>
      </c>
      <c r="D29" s="93" t="s">
        <v>1004</v>
      </c>
      <c r="E29" s="94" t="s">
        <v>1003</v>
      </c>
      <c r="F29" s="93" t="s">
        <v>442</v>
      </c>
      <c r="G29" s="93" t="s">
        <v>369</v>
      </c>
      <c r="H29" s="93" t="s">
        <v>18</v>
      </c>
      <c r="I29" s="93" t="s">
        <v>255</v>
      </c>
      <c r="J29" s="93" t="s">
        <v>47</v>
      </c>
      <c r="K29" s="93"/>
      <c r="L29" s="95">
        <v>29.89</v>
      </c>
      <c r="M29" s="95">
        <f>L29*VLOOKUP(H29,dagsoorttabel3,2,FALSE)</f>
        <v>29.89</v>
      </c>
      <c r="N29" s="96">
        <f>prodnorm124</f>
        <v>0</v>
      </c>
      <c r="O29" s="37">
        <f>dagwerk124</f>
        <v>0</v>
      </c>
      <c r="P29" s="93" t="s">
        <v>105</v>
      </c>
      <c r="Q29" s="24">
        <f>uurtarief124</f>
        <v>0</v>
      </c>
      <c r="R29" s="95" t="e">
        <f>IF(ISBLANK(N29),0,M29/ROUND(N29,4))</f>
        <v>#DIV/0!</v>
      </c>
      <c r="S29" s="95" t="e">
        <f>IF(ISBLANK(N29),0,R29*ROUND(O29,2))</f>
        <v>#DIV/0!</v>
      </c>
      <c r="T29" s="24" t="e">
        <f>ROUND(Q29,2)*R29</f>
        <v>#DIV/0!</v>
      </c>
      <c r="U29" s="95" t="e">
        <f>R29*dagenperjaar3</f>
        <v>#DIV/0!</v>
      </c>
      <c r="V29" s="25" t="e">
        <f>U29*ROUND(Q29,2)</f>
        <v>#DIV/0!</v>
      </c>
    </row>
    <row r="30" spans="1:22" x14ac:dyDescent="0.2">
      <c r="A30" s="92" t="s">
        <v>946</v>
      </c>
      <c r="B30" s="93" t="s">
        <v>47</v>
      </c>
      <c r="C30" s="93" t="s">
        <v>394</v>
      </c>
      <c r="D30" s="93" t="s">
        <v>1007</v>
      </c>
      <c r="E30" s="94" t="s">
        <v>1008</v>
      </c>
      <c r="F30" s="93" t="s">
        <v>442</v>
      </c>
      <c r="G30" s="93" t="s">
        <v>370</v>
      </c>
      <c r="H30" s="93" t="s">
        <v>18</v>
      </c>
      <c r="I30" s="93" t="s">
        <v>255</v>
      </c>
      <c r="J30" s="93" t="s">
        <v>47</v>
      </c>
      <c r="K30" s="93"/>
      <c r="L30" s="95">
        <v>46.46</v>
      </c>
      <c r="M30" s="95">
        <f>L30*VLOOKUP(H30,dagsoorttabel3,2,FALSE)</f>
        <v>46.46</v>
      </c>
      <c r="N30" s="96">
        <f>prodnorm125</f>
        <v>0</v>
      </c>
      <c r="O30" s="37">
        <f>dagwerk125</f>
        <v>0</v>
      </c>
      <c r="P30" s="93" t="s">
        <v>105</v>
      </c>
      <c r="Q30" s="24">
        <f>uurtarief125</f>
        <v>0</v>
      </c>
      <c r="R30" s="95" t="e">
        <f>IF(ISBLANK(N30),0,M30/ROUND(N30,4))</f>
        <v>#DIV/0!</v>
      </c>
      <c r="S30" s="95" t="e">
        <f>IF(ISBLANK(N30),0,R30*ROUND(O30,2))</f>
        <v>#DIV/0!</v>
      </c>
      <c r="T30" s="24" t="e">
        <f>ROUND(Q30,2)*R30</f>
        <v>#DIV/0!</v>
      </c>
      <c r="U30" s="95" t="e">
        <f>R30*dagenperjaar3</f>
        <v>#DIV/0!</v>
      </c>
      <c r="V30" s="25" t="e">
        <f>U30*ROUND(Q30,2)</f>
        <v>#DIV/0!</v>
      </c>
    </row>
    <row r="31" spans="1:22" x14ac:dyDescent="0.2">
      <c r="A31" s="92" t="s">
        <v>946</v>
      </c>
      <c r="B31" s="93" t="s">
        <v>47</v>
      </c>
      <c r="C31" s="93" t="s">
        <v>394</v>
      </c>
      <c r="D31" s="93" t="s">
        <v>1007</v>
      </c>
      <c r="E31" s="94" t="s">
        <v>1008</v>
      </c>
      <c r="F31" s="93" t="s">
        <v>442</v>
      </c>
      <c r="G31" s="93" t="s">
        <v>371</v>
      </c>
      <c r="H31" s="93" t="s">
        <v>18</v>
      </c>
      <c r="I31" s="93" t="s">
        <v>255</v>
      </c>
      <c r="J31" s="93" t="s">
        <v>47</v>
      </c>
      <c r="K31" s="93"/>
      <c r="L31" s="95">
        <v>46.46</v>
      </c>
      <c r="M31" s="95">
        <f>L31*VLOOKUP(H31,dagsoorttabel3,2,FALSE)</f>
        <v>46.46</v>
      </c>
      <c r="N31" s="96">
        <f>prodnorm126</f>
        <v>0</v>
      </c>
      <c r="O31" s="37">
        <f>dagwerk126</f>
        <v>0</v>
      </c>
      <c r="P31" s="93" t="s">
        <v>105</v>
      </c>
      <c r="Q31" s="24">
        <f>uurtarief126</f>
        <v>0</v>
      </c>
      <c r="R31" s="95" t="e">
        <f>IF(ISBLANK(N31),0,M31/ROUND(N31,4))</f>
        <v>#DIV/0!</v>
      </c>
      <c r="S31" s="95" t="e">
        <f>IF(ISBLANK(N31),0,R31*ROUND(O31,2))</f>
        <v>#DIV/0!</v>
      </c>
      <c r="T31" s="24" t="e">
        <f>ROUND(Q31,2)*R31</f>
        <v>#DIV/0!</v>
      </c>
      <c r="U31" s="95" t="e">
        <f>R31*dagenperjaar3</f>
        <v>#DIV/0!</v>
      </c>
      <c r="V31" s="25" t="e">
        <f>U31*ROUND(Q31,2)</f>
        <v>#DIV/0!</v>
      </c>
    </row>
    <row r="32" spans="1:22" x14ac:dyDescent="0.2">
      <c r="A32" s="92" t="s">
        <v>946</v>
      </c>
      <c r="B32" s="93" t="s">
        <v>47</v>
      </c>
      <c r="C32" s="93" t="s">
        <v>394</v>
      </c>
      <c r="D32" s="93" t="s">
        <v>1010</v>
      </c>
      <c r="E32" s="94" t="s">
        <v>1011</v>
      </c>
      <c r="F32" s="93" t="s">
        <v>397</v>
      </c>
      <c r="G32" s="93" t="s">
        <v>372</v>
      </c>
      <c r="H32" s="93" t="s">
        <v>18</v>
      </c>
      <c r="I32" s="93" t="s">
        <v>255</v>
      </c>
      <c r="J32" s="93" t="s">
        <v>47</v>
      </c>
      <c r="K32" s="93"/>
      <c r="L32" s="95">
        <v>8.65</v>
      </c>
      <c r="M32" s="95">
        <f>L32*VLOOKUP(H32,dagsoorttabel3,2,FALSE)</f>
        <v>8.65</v>
      </c>
      <c r="N32" s="96">
        <f>prodnorm127</f>
        <v>0</v>
      </c>
      <c r="O32" s="37">
        <f>dagwerk127</f>
        <v>0</v>
      </c>
      <c r="P32" s="93" t="s">
        <v>105</v>
      </c>
      <c r="Q32" s="24">
        <f>uurtarief127</f>
        <v>0</v>
      </c>
      <c r="R32" s="95" t="e">
        <f>IF(ISBLANK(N32),0,M32/ROUND(N32,4))</f>
        <v>#DIV/0!</v>
      </c>
      <c r="S32" s="95" t="e">
        <f>IF(ISBLANK(N32),0,R32*ROUND(O32,2))</f>
        <v>#DIV/0!</v>
      </c>
      <c r="T32" s="24" t="e">
        <f>ROUND(Q32,2)*R32</f>
        <v>#DIV/0!</v>
      </c>
      <c r="U32" s="95" t="e">
        <f>R32*dagenperjaar3</f>
        <v>#DIV/0!</v>
      </c>
      <c r="V32" s="25" t="e">
        <f>U32*ROUND(Q32,2)</f>
        <v>#DIV/0!</v>
      </c>
    </row>
    <row r="33" spans="1:22" x14ac:dyDescent="0.2">
      <c r="A33" s="92" t="s">
        <v>946</v>
      </c>
      <c r="B33" s="93" t="s">
        <v>47</v>
      </c>
      <c r="C33" s="93" t="s">
        <v>394</v>
      </c>
      <c r="D33" s="93" t="s">
        <v>1010</v>
      </c>
      <c r="E33" s="94" t="s">
        <v>1011</v>
      </c>
      <c r="F33" s="93" t="s">
        <v>397</v>
      </c>
      <c r="G33" s="93" t="s">
        <v>373</v>
      </c>
      <c r="H33" s="93" t="s">
        <v>18</v>
      </c>
      <c r="I33" s="93" t="s">
        <v>255</v>
      </c>
      <c r="J33" s="93" t="s">
        <v>47</v>
      </c>
      <c r="K33" s="93"/>
      <c r="L33" s="95">
        <v>8.65</v>
      </c>
      <c r="M33" s="95">
        <f>L33*VLOOKUP(H33,dagsoorttabel3,2,FALSE)</f>
        <v>8.65</v>
      </c>
      <c r="N33" s="96">
        <f>prodnorm128</f>
        <v>0</v>
      </c>
      <c r="O33" s="37">
        <f>dagwerk128</f>
        <v>0</v>
      </c>
      <c r="P33" s="93" t="s">
        <v>105</v>
      </c>
      <c r="Q33" s="24">
        <f>uurtarief128</f>
        <v>0</v>
      </c>
      <c r="R33" s="95" t="e">
        <f>IF(ISBLANK(N33),0,M33/ROUND(N33,4))</f>
        <v>#DIV/0!</v>
      </c>
      <c r="S33" s="95" t="e">
        <f>IF(ISBLANK(N33),0,R33*ROUND(O33,2))</f>
        <v>#DIV/0!</v>
      </c>
      <c r="T33" s="24" t="e">
        <f>ROUND(Q33,2)*R33</f>
        <v>#DIV/0!</v>
      </c>
      <c r="U33" s="95" t="e">
        <f>R33*dagenperjaar3</f>
        <v>#DIV/0!</v>
      </c>
      <c r="V33" s="25" t="e">
        <f>U33*ROUND(Q33,2)</f>
        <v>#DIV/0!</v>
      </c>
    </row>
    <row r="34" spans="1:22" x14ac:dyDescent="0.2">
      <c r="A34" s="92" t="s">
        <v>946</v>
      </c>
      <c r="B34" s="93" t="s">
        <v>47</v>
      </c>
      <c r="C34" s="93" t="s">
        <v>394</v>
      </c>
      <c r="D34" s="93" t="s">
        <v>1012</v>
      </c>
      <c r="E34" s="94" t="s">
        <v>1013</v>
      </c>
      <c r="F34" s="93" t="s">
        <v>397</v>
      </c>
      <c r="G34" s="93" t="s">
        <v>373</v>
      </c>
      <c r="H34" s="93" t="s">
        <v>18</v>
      </c>
      <c r="I34" s="93" t="s">
        <v>255</v>
      </c>
      <c r="J34" s="93" t="s">
        <v>47</v>
      </c>
      <c r="K34" s="93"/>
      <c r="L34" s="95">
        <v>55.75</v>
      </c>
      <c r="M34" s="95">
        <f>L34*VLOOKUP(H34,dagsoorttabel3,2,FALSE)</f>
        <v>55.75</v>
      </c>
      <c r="N34" s="96">
        <f>prodnorm128</f>
        <v>0</v>
      </c>
      <c r="O34" s="37">
        <f>dagwerk128</f>
        <v>0</v>
      </c>
      <c r="P34" s="93" t="s">
        <v>105</v>
      </c>
      <c r="Q34" s="24">
        <f>uurtarief128</f>
        <v>0</v>
      </c>
      <c r="R34" s="95" t="e">
        <f>IF(ISBLANK(N34),0,M34/ROUND(N34,4))</f>
        <v>#DIV/0!</v>
      </c>
      <c r="S34" s="95" t="e">
        <f>IF(ISBLANK(N34),0,R34*ROUND(O34,2))</f>
        <v>#DIV/0!</v>
      </c>
      <c r="T34" s="24" t="e">
        <f>ROUND(Q34,2)*R34</f>
        <v>#DIV/0!</v>
      </c>
      <c r="U34" s="95" t="e">
        <f>R34*dagenperjaar3</f>
        <v>#DIV/0!</v>
      </c>
      <c r="V34" s="25" t="e">
        <f>U34*ROUND(Q34,2)</f>
        <v>#DIV/0!</v>
      </c>
    </row>
    <row r="35" spans="1:22" x14ac:dyDescent="0.2">
      <c r="A35" s="92" t="s">
        <v>946</v>
      </c>
      <c r="B35" s="93" t="s">
        <v>47</v>
      </c>
      <c r="C35" s="93" t="s">
        <v>394</v>
      </c>
      <c r="D35" s="93" t="s">
        <v>1012</v>
      </c>
      <c r="E35" s="94" t="s">
        <v>1013</v>
      </c>
      <c r="F35" s="93" t="s">
        <v>397</v>
      </c>
      <c r="G35" s="93" t="s">
        <v>377</v>
      </c>
      <c r="H35" s="93" t="s">
        <v>18</v>
      </c>
      <c r="I35" s="93" t="s">
        <v>255</v>
      </c>
      <c r="J35" s="93" t="s">
        <v>47</v>
      </c>
      <c r="K35" s="93"/>
      <c r="L35" s="95">
        <v>55.75</v>
      </c>
      <c r="M35" s="95">
        <f>L35*VLOOKUP(H35,dagsoorttabel3,2,FALSE)</f>
        <v>55.75</v>
      </c>
      <c r="N35" s="96">
        <f>prodnorm131</f>
        <v>0</v>
      </c>
      <c r="O35" s="37">
        <f>dagwerk131</f>
        <v>0</v>
      </c>
      <c r="P35" s="93" t="s">
        <v>105</v>
      </c>
      <c r="Q35" s="24">
        <f>uurtarief131</f>
        <v>0</v>
      </c>
      <c r="R35" s="95" t="e">
        <f>IF(ISBLANK(N35),0,M35/ROUND(N35,4))</f>
        <v>#DIV/0!</v>
      </c>
      <c r="S35" s="95" t="e">
        <f>IF(ISBLANK(N35),0,R35*ROUND(O35,2))</f>
        <v>#DIV/0!</v>
      </c>
      <c r="T35" s="24" t="e">
        <f>ROUND(Q35,2)*R35</f>
        <v>#DIV/0!</v>
      </c>
      <c r="U35" s="95" t="e">
        <f>R35*dagenperjaar3</f>
        <v>#DIV/0!</v>
      </c>
      <c r="V35" s="25" t="e">
        <f>U35*ROUND(Q35,2)</f>
        <v>#DIV/0!</v>
      </c>
    </row>
    <row r="36" spans="1:22" x14ac:dyDescent="0.2">
      <c r="A36" s="92" t="s">
        <v>946</v>
      </c>
      <c r="B36" s="93" t="s">
        <v>47</v>
      </c>
      <c r="C36" s="93" t="s">
        <v>394</v>
      </c>
      <c r="D36" s="93" t="s">
        <v>1014</v>
      </c>
      <c r="E36" s="94" t="s">
        <v>1015</v>
      </c>
      <c r="F36" s="93" t="s">
        <v>397</v>
      </c>
      <c r="G36" s="93" t="s">
        <v>377</v>
      </c>
      <c r="H36" s="93" t="s">
        <v>18</v>
      </c>
      <c r="I36" s="93" t="s">
        <v>255</v>
      </c>
      <c r="J36" s="93" t="s">
        <v>47</v>
      </c>
      <c r="K36" s="93"/>
      <c r="L36" s="95">
        <v>57.339999999999996</v>
      </c>
      <c r="M36" s="95">
        <f>L36*VLOOKUP(H36,dagsoorttabel3,2,FALSE)</f>
        <v>57.339999999999996</v>
      </c>
      <c r="N36" s="96">
        <f>prodnorm131</f>
        <v>0</v>
      </c>
      <c r="O36" s="37">
        <f>dagwerk131</f>
        <v>0</v>
      </c>
      <c r="P36" s="93" t="s">
        <v>105</v>
      </c>
      <c r="Q36" s="24">
        <f>uurtarief131</f>
        <v>0</v>
      </c>
      <c r="R36" s="95" t="e">
        <f>IF(ISBLANK(N36),0,M36/ROUND(N36,4))</f>
        <v>#DIV/0!</v>
      </c>
      <c r="S36" s="95" t="e">
        <f>IF(ISBLANK(N36),0,R36*ROUND(O36,2))</f>
        <v>#DIV/0!</v>
      </c>
      <c r="T36" s="24" t="e">
        <f>ROUND(Q36,2)*R36</f>
        <v>#DIV/0!</v>
      </c>
      <c r="U36" s="95" t="e">
        <f>R36*dagenperjaar3</f>
        <v>#DIV/0!</v>
      </c>
      <c r="V36" s="25" t="e">
        <f>U36*ROUND(Q36,2)</f>
        <v>#DIV/0!</v>
      </c>
    </row>
    <row r="37" spans="1:22" x14ac:dyDescent="0.2">
      <c r="A37" s="92" t="s">
        <v>946</v>
      </c>
      <c r="B37" s="93" t="s">
        <v>47</v>
      </c>
      <c r="C37" s="93" t="s">
        <v>394</v>
      </c>
      <c r="D37" s="93" t="s">
        <v>1014</v>
      </c>
      <c r="E37" s="94" t="s">
        <v>1015</v>
      </c>
      <c r="F37" s="93" t="s">
        <v>397</v>
      </c>
      <c r="G37" s="93" t="s">
        <v>378</v>
      </c>
      <c r="H37" s="93" t="s">
        <v>18</v>
      </c>
      <c r="I37" s="93" t="s">
        <v>255</v>
      </c>
      <c r="J37" s="93" t="s">
        <v>47</v>
      </c>
      <c r="K37" s="93"/>
      <c r="L37" s="95">
        <v>57.339999999999996</v>
      </c>
      <c r="M37" s="95">
        <f>L37*VLOOKUP(H37,dagsoorttabel3,2,FALSE)</f>
        <v>57.339999999999996</v>
      </c>
      <c r="N37" s="96">
        <f>prodnorm132</f>
        <v>0</v>
      </c>
      <c r="O37" s="37">
        <f>dagwerk132</f>
        <v>0</v>
      </c>
      <c r="P37" s="93" t="s">
        <v>105</v>
      </c>
      <c r="Q37" s="24">
        <f>uurtarief132</f>
        <v>0</v>
      </c>
      <c r="R37" s="95" t="e">
        <f>IF(ISBLANK(N37),0,M37/ROUND(N37,4))</f>
        <v>#DIV/0!</v>
      </c>
      <c r="S37" s="95" t="e">
        <f>IF(ISBLANK(N37),0,R37*ROUND(O37,2))</f>
        <v>#DIV/0!</v>
      </c>
      <c r="T37" s="24" t="e">
        <f>ROUND(Q37,2)*R37</f>
        <v>#DIV/0!</v>
      </c>
      <c r="U37" s="95" t="e">
        <f>R37*dagenperjaar3</f>
        <v>#DIV/0!</v>
      </c>
      <c r="V37" s="25" t="e">
        <f>U37*ROUND(Q37,2)</f>
        <v>#DIV/0!</v>
      </c>
    </row>
    <row r="38" spans="1:22" x14ac:dyDescent="0.2">
      <c r="A38" s="92" t="s">
        <v>946</v>
      </c>
      <c r="B38" s="93" t="s">
        <v>47</v>
      </c>
      <c r="C38" s="93" t="s">
        <v>394</v>
      </c>
      <c r="D38" s="93" t="s">
        <v>1016</v>
      </c>
      <c r="E38" s="94" t="s">
        <v>958</v>
      </c>
      <c r="F38" s="93" t="s">
        <v>397</v>
      </c>
      <c r="G38" s="93" t="s">
        <v>374</v>
      </c>
      <c r="H38" s="93" t="s">
        <v>18</v>
      </c>
      <c r="I38" s="93" t="s">
        <v>255</v>
      </c>
      <c r="J38" s="93" t="s">
        <v>47</v>
      </c>
      <c r="K38" s="93"/>
      <c r="L38" s="95">
        <v>7.72</v>
      </c>
      <c r="M38" s="95">
        <f>L38*VLOOKUP(H38,dagsoorttabel3,2,FALSE)</f>
        <v>7.72</v>
      </c>
      <c r="N38" s="96">
        <f>prodnorm129</f>
        <v>0</v>
      </c>
      <c r="O38" s="37">
        <f>dagwerk129</f>
        <v>0</v>
      </c>
      <c r="P38" s="93" t="s">
        <v>105</v>
      </c>
      <c r="Q38" s="24">
        <f>uurtarief129</f>
        <v>0</v>
      </c>
      <c r="R38" s="95" t="e">
        <f>IF(ISBLANK(N38),0,M38/ROUND(N38,4))</f>
        <v>#DIV/0!</v>
      </c>
      <c r="S38" s="95" t="e">
        <f>IF(ISBLANK(N38),0,R38*ROUND(O38,2))</f>
        <v>#DIV/0!</v>
      </c>
      <c r="T38" s="24" t="e">
        <f>ROUND(Q38,2)*R38</f>
        <v>#DIV/0!</v>
      </c>
      <c r="U38" s="95" t="e">
        <f>R38*dagenperjaar3</f>
        <v>#DIV/0!</v>
      </c>
      <c r="V38" s="25" t="e">
        <f>U38*ROUND(Q38,2)</f>
        <v>#DIV/0!</v>
      </c>
    </row>
    <row r="39" spans="1:22" x14ac:dyDescent="0.2">
      <c r="A39" s="92" t="s">
        <v>946</v>
      </c>
      <c r="B39" s="93" t="s">
        <v>47</v>
      </c>
      <c r="C39" s="93" t="s">
        <v>394</v>
      </c>
      <c r="D39" s="93" t="s">
        <v>1017</v>
      </c>
      <c r="E39" s="94" t="s">
        <v>958</v>
      </c>
      <c r="F39" s="93" t="s">
        <v>397</v>
      </c>
      <c r="G39" s="93" t="s">
        <v>374</v>
      </c>
      <c r="H39" s="93" t="s">
        <v>18</v>
      </c>
      <c r="I39" s="93" t="s">
        <v>255</v>
      </c>
      <c r="J39" s="93" t="s">
        <v>47</v>
      </c>
      <c r="K39" s="93"/>
      <c r="L39" s="95">
        <v>7.6499999999999995</v>
      </c>
      <c r="M39" s="95">
        <f>L39*VLOOKUP(H39,dagsoorttabel3,2,FALSE)</f>
        <v>7.6499999999999995</v>
      </c>
      <c r="N39" s="96">
        <f>prodnorm129</f>
        <v>0</v>
      </c>
      <c r="O39" s="37">
        <f>dagwerk129</f>
        <v>0</v>
      </c>
      <c r="P39" s="93" t="s">
        <v>105</v>
      </c>
      <c r="Q39" s="24">
        <f>uurtarief129</f>
        <v>0</v>
      </c>
      <c r="R39" s="95" t="e">
        <f>IF(ISBLANK(N39),0,M39/ROUND(N39,4))</f>
        <v>#DIV/0!</v>
      </c>
      <c r="S39" s="95" t="e">
        <f>IF(ISBLANK(N39),0,R39*ROUND(O39,2))</f>
        <v>#DIV/0!</v>
      </c>
      <c r="T39" s="24" t="e">
        <f>ROUND(Q39,2)*R39</f>
        <v>#DIV/0!</v>
      </c>
      <c r="U39" s="95" t="e">
        <f>R39*dagenperjaar3</f>
        <v>#DIV/0!</v>
      </c>
      <c r="V39" s="25" t="e">
        <f>U39*ROUND(Q39,2)</f>
        <v>#DIV/0!</v>
      </c>
    </row>
    <row r="40" spans="1:22" x14ac:dyDescent="0.2">
      <c r="A40" s="92" t="s">
        <v>946</v>
      </c>
      <c r="B40" s="93" t="s">
        <v>47</v>
      </c>
      <c r="C40" s="93" t="s">
        <v>394</v>
      </c>
      <c r="D40" s="93" t="s">
        <v>1018</v>
      </c>
      <c r="E40" s="94" t="s">
        <v>1019</v>
      </c>
      <c r="F40" s="93" t="s">
        <v>397</v>
      </c>
      <c r="G40" s="93" t="s">
        <v>372</v>
      </c>
      <c r="H40" s="93" t="s">
        <v>18</v>
      </c>
      <c r="I40" s="93" t="s">
        <v>255</v>
      </c>
      <c r="J40" s="93" t="s">
        <v>47</v>
      </c>
      <c r="K40" s="93"/>
      <c r="L40" s="95">
        <v>97.61999999999999</v>
      </c>
      <c r="M40" s="95">
        <f>L40*VLOOKUP(H40,dagsoorttabel3,2,FALSE)</f>
        <v>97.61999999999999</v>
      </c>
      <c r="N40" s="96">
        <f>prodnorm127</f>
        <v>0</v>
      </c>
      <c r="O40" s="37">
        <f>dagwerk127</f>
        <v>0</v>
      </c>
      <c r="P40" s="93" t="s">
        <v>105</v>
      </c>
      <c r="Q40" s="24">
        <f>uurtarief127</f>
        <v>0</v>
      </c>
      <c r="R40" s="95" t="e">
        <f>IF(ISBLANK(N40),0,M40/ROUND(N40,4))</f>
        <v>#DIV/0!</v>
      </c>
      <c r="S40" s="95" t="e">
        <f>IF(ISBLANK(N40),0,R40*ROUND(O40,2))</f>
        <v>#DIV/0!</v>
      </c>
      <c r="T40" s="24" t="e">
        <f>ROUND(Q40,2)*R40</f>
        <v>#DIV/0!</v>
      </c>
      <c r="U40" s="95" t="e">
        <f>R40*dagenperjaar3</f>
        <v>#DIV/0!</v>
      </c>
      <c r="V40" s="25" t="e">
        <f>U40*ROUND(Q40,2)</f>
        <v>#DIV/0!</v>
      </c>
    </row>
    <row r="41" spans="1:22" x14ac:dyDescent="0.2">
      <c r="A41" s="92" t="s">
        <v>946</v>
      </c>
      <c r="B41" s="93" t="s">
        <v>47</v>
      </c>
      <c r="C41" s="93" t="s">
        <v>394</v>
      </c>
      <c r="D41" s="93" t="s">
        <v>1020</v>
      </c>
      <c r="E41" s="94" t="s">
        <v>1021</v>
      </c>
      <c r="F41" s="93" t="s">
        <v>397</v>
      </c>
      <c r="G41" s="93" t="s">
        <v>372</v>
      </c>
      <c r="H41" s="93" t="s">
        <v>18</v>
      </c>
      <c r="I41" s="93" t="s">
        <v>255</v>
      </c>
      <c r="J41" s="93" t="s">
        <v>47</v>
      </c>
      <c r="K41" s="93"/>
      <c r="L41" s="95">
        <v>20.310000000000002</v>
      </c>
      <c r="M41" s="95">
        <f>L41*VLOOKUP(H41,dagsoorttabel3,2,FALSE)</f>
        <v>20.310000000000002</v>
      </c>
      <c r="N41" s="96">
        <f>prodnorm127</f>
        <v>0</v>
      </c>
      <c r="O41" s="37">
        <f>dagwerk127</f>
        <v>0</v>
      </c>
      <c r="P41" s="93" t="s">
        <v>105</v>
      </c>
      <c r="Q41" s="24">
        <f>uurtarief127</f>
        <v>0</v>
      </c>
      <c r="R41" s="95" t="e">
        <f>IF(ISBLANK(N41),0,M41/ROUND(N41,4))</f>
        <v>#DIV/0!</v>
      </c>
      <c r="S41" s="95" t="e">
        <f>IF(ISBLANK(N41),0,R41*ROUND(O41,2))</f>
        <v>#DIV/0!</v>
      </c>
      <c r="T41" s="24" t="e">
        <f>ROUND(Q41,2)*R41</f>
        <v>#DIV/0!</v>
      </c>
      <c r="U41" s="95" t="e">
        <f>R41*dagenperjaar3</f>
        <v>#DIV/0!</v>
      </c>
      <c r="V41" s="25" t="e">
        <f>U41*ROUND(Q41,2)</f>
        <v>#DIV/0!</v>
      </c>
    </row>
    <row r="42" spans="1:22" x14ac:dyDescent="0.2">
      <c r="A42" s="92" t="s">
        <v>946</v>
      </c>
      <c r="B42" s="93" t="s">
        <v>47</v>
      </c>
      <c r="C42" s="93" t="s">
        <v>394</v>
      </c>
      <c r="D42" s="93" t="s">
        <v>1022</v>
      </c>
      <c r="E42" s="94" t="s">
        <v>1023</v>
      </c>
      <c r="F42" s="93" t="s">
        <v>397</v>
      </c>
      <c r="G42" s="93" t="s">
        <v>372</v>
      </c>
      <c r="H42" s="93" t="s">
        <v>18</v>
      </c>
      <c r="I42" s="93" t="s">
        <v>255</v>
      </c>
      <c r="J42" s="93" t="s">
        <v>47</v>
      </c>
      <c r="K42" s="93"/>
      <c r="L42" s="95">
        <v>20.310000000000002</v>
      </c>
      <c r="M42" s="95">
        <f>L42*VLOOKUP(H42,dagsoorttabel3,2,FALSE)</f>
        <v>20.310000000000002</v>
      </c>
      <c r="N42" s="96">
        <f>prodnorm127</f>
        <v>0</v>
      </c>
      <c r="O42" s="37">
        <f>dagwerk127</f>
        <v>0</v>
      </c>
      <c r="P42" s="93" t="s">
        <v>105</v>
      </c>
      <c r="Q42" s="24">
        <f>uurtarief127</f>
        <v>0</v>
      </c>
      <c r="R42" s="95" t="e">
        <f>IF(ISBLANK(N42),0,M42/ROUND(N42,4))</f>
        <v>#DIV/0!</v>
      </c>
      <c r="S42" s="95" t="e">
        <f>IF(ISBLANK(N42),0,R42*ROUND(O42,2))</f>
        <v>#DIV/0!</v>
      </c>
      <c r="T42" s="24" t="e">
        <f>ROUND(Q42,2)*R42</f>
        <v>#DIV/0!</v>
      </c>
      <c r="U42" s="95" t="e">
        <f>R42*dagenperjaar3</f>
        <v>#DIV/0!</v>
      </c>
      <c r="V42" s="25" t="e">
        <f>U42*ROUND(Q42,2)</f>
        <v>#DIV/0!</v>
      </c>
    </row>
    <row r="43" spans="1:22" x14ac:dyDescent="0.2">
      <c r="A43" s="92" t="s">
        <v>946</v>
      </c>
      <c r="B43" s="93" t="s">
        <v>47</v>
      </c>
      <c r="C43" s="93" t="s">
        <v>394</v>
      </c>
      <c r="D43" s="93" t="s">
        <v>1024</v>
      </c>
      <c r="E43" s="94" t="s">
        <v>1025</v>
      </c>
      <c r="F43" s="93" t="s">
        <v>397</v>
      </c>
      <c r="G43" s="93" t="s">
        <v>372</v>
      </c>
      <c r="H43" s="93" t="s">
        <v>18</v>
      </c>
      <c r="I43" s="93" t="s">
        <v>255</v>
      </c>
      <c r="J43" s="93" t="s">
        <v>47</v>
      </c>
      <c r="K43" s="93"/>
      <c r="L43" s="95">
        <v>20.310000000000002</v>
      </c>
      <c r="M43" s="95">
        <f>L43*VLOOKUP(H43,dagsoorttabel3,2,FALSE)</f>
        <v>20.310000000000002</v>
      </c>
      <c r="N43" s="96">
        <f>prodnorm127</f>
        <v>0</v>
      </c>
      <c r="O43" s="37">
        <f>dagwerk127</f>
        <v>0</v>
      </c>
      <c r="P43" s="93" t="s">
        <v>105</v>
      </c>
      <c r="Q43" s="24">
        <f>uurtarief127</f>
        <v>0</v>
      </c>
      <c r="R43" s="95" t="e">
        <f>IF(ISBLANK(N43),0,M43/ROUND(N43,4))</f>
        <v>#DIV/0!</v>
      </c>
      <c r="S43" s="95" t="e">
        <f>IF(ISBLANK(N43),0,R43*ROUND(O43,2))</f>
        <v>#DIV/0!</v>
      </c>
      <c r="T43" s="24" t="e">
        <f>ROUND(Q43,2)*R43</f>
        <v>#DIV/0!</v>
      </c>
      <c r="U43" s="95" t="e">
        <f>R43*dagenperjaar3</f>
        <v>#DIV/0!</v>
      </c>
      <c r="V43" s="25" t="e">
        <f>U43*ROUND(Q43,2)</f>
        <v>#DIV/0!</v>
      </c>
    </row>
    <row r="44" spans="1:22" x14ac:dyDescent="0.2">
      <c r="A44" s="92" t="s">
        <v>946</v>
      </c>
      <c r="B44" s="93" t="s">
        <v>47</v>
      </c>
      <c r="C44" s="93" t="s">
        <v>394</v>
      </c>
      <c r="D44" s="93" t="s">
        <v>1026</v>
      </c>
      <c r="E44" s="94" t="s">
        <v>1027</v>
      </c>
      <c r="F44" s="93" t="s">
        <v>397</v>
      </c>
      <c r="G44" s="93" t="s">
        <v>372</v>
      </c>
      <c r="H44" s="93" t="s">
        <v>18</v>
      </c>
      <c r="I44" s="93" t="s">
        <v>255</v>
      </c>
      <c r="J44" s="93" t="s">
        <v>47</v>
      </c>
      <c r="K44" s="93"/>
      <c r="L44" s="95">
        <v>20.310000000000002</v>
      </c>
      <c r="M44" s="95">
        <f>L44*VLOOKUP(H44,dagsoorttabel3,2,FALSE)</f>
        <v>20.310000000000002</v>
      </c>
      <c r="N44" s="96">
        <f>prodnorm127</f>
        <v>0</v>
      </c>
      <c r="O44" s="37">
        <f>dagwerk127</f>
        <v>0</v>
      </c>
      <c r="P44" s="93" t="s">
        <v>105</v>
      </c>
      <c r="Q44" s="24">
        <f>uurtarief127</f>
        <v>0</v>
      </c>
      <c r="R44" s="95" t="e">
        <f>IF(ISBLANK(N44),0,M44/ROUND(N44,4))</f>
        <v>#DIV/0!</v>
      </c>
      <c r="S44" s="95" t="e">
        <f>IF(ISBLANK(N44),0,R44*ROUND(O44,2))</f>
        <v>#DIV/0!</v>
      </c>
      <c r="T44" s="24" t="e">
        <f>ROUND(Q44,2)*R44</f>
        <v>#DIV/0!</v>
      </c>
      <c r="U44" s="95" t="e">
        <f>R44*dagenperjaar3</f>
        <v>#DIV/0!</v>
      </c>
      <c r="V44" s="25" t="e">
        <f>U44*ROUND(Q44,2)</f>
        <v>#DIV/0!</v>
      </c>
    </row>
    <row r="45" spans="1:22" x14ac:dyDescent="0.2">
      <c r="A45" s="92" t="s">
        <v>946</v>
      </c>
      <c r="B45" s="93" t="s">
        <v>47</v>
      </c>
      <c r="C45" s="93" t="s">
        <v>394</v>
      </c>
      <c r="D45" s="93" t="s">
        <v>1028</v>
      </c>
      <c r="E45" s="94" t="s">
        <v>1029</v>
      </c>
      <c r="F45" s="93" t="s">
        <v>397</v>
      </c>
      <c r="G45" s="93" t="s">
        <v>372</v>
      </c>
      <c r="H45" s="93" t="s">
        <v>18</v>
      </c>
      <c r="I45" s="93" t="s">
        <v>255</v>
      </c>
      <c r="J45" s="93" t="s">
        <v>47</v>
      </c>
      <c r="K45" s="93"/>
      <c r="L45" s="95">
        <v>104.47</v>
      </c>
      <c r="M45" s="95">
        <f>L45*VLOOKUP(H45,dagsoorttabel3,2,FALSE)</f>
        <v>104.47</v>
      </c>
      <c r="N45" s="96">
        <f>prodnorm127</f>
        <v>0</v>
      </c>
      <c r="O45" s="37">
        <f>dagwerk127</f>
        <v>0</v>
      </c>
      <c r="P45" s="93" t="s">
        <v>105</v>
      </c>
      <c r="Q45" s="24">
        <f>uurtarief127</f>
        <v>0</v>
      </c>
      <c r="R45" s="95" t="e">
        <f>IF(ISBLANK(N45),0,M45/ROUND(N45,4))</f>
        <v>#DIV/0!</v>
      </c>
      <c r="S45" s="95" t="e">
        <f>IF(ISBLANK(N45),0,R45*ROUND(O45,2))</f>
        <v>#DIV/0!</v>
      </c>
      <c r="T45" s="24" t="e">
        <f>ROUND(Q45,2)*R45</f>
        <v>#DIV/0!</v>
      </c>
      <c r="U45" s="95" t="e">
        <f>R45*dagenperjaar3</f>
        <v>#DIV/0!</v>
      </c>
      <c r="V45" s="25" t="e">
        <f>U45*ROUND(Q45,2)</f>
        <v>#DIV/0!</v>
      </c>
    </row>
    <row r="46" spans="1:22" x14ac:dyDescent="0.2">
      <c r="A46" s="92" t="s">
        <v>946</v>
      </c>
      <c r="B46" s="93" t="s">
        <v>47</v>
      </c>
      <c r="C46" s="93" t="s">
        <v>394</v>
      </c>
      <c r="D46" s="93" t="s">
        <v>1030</v>
      </c>
      <c r="E46" s="94" t="s">
        <v>1031</v>
      </c>
      <c r="F46" s="93" t="s">
        <v>397</v>
      </c>
      <c r="G46" s="93" t="s">
        <v>372</v>
      </c>
      <c r="H46" s="93" t="s">
        <v>18</v>
      </c>
      <c r="I46" s="93" t="s">
        <v>255</v>
      </c>
      <c r="J46" s="93" t="s">
        <v>47</v>
      </c>
      <c r="K46" s="93"/>
      <c r="L46" s="95">
        <v>20.310000000000002</v>
      </c>
      <c r="M46" s="95">
        <f>L46*VLOOKUP(H46,dagsoorttabel3,2,FALSE)</f>
        <v>20.310000000000002</v>
      </c>
      <c r="N46" s="96">
        <f>prodnorm127</f>
        <v>0</v>
      </c>
      <c r="O46" s="37">
        <f>dagwerk127</f>
        <v>0</v>
      </c>
      <c r="P46" s="93" t="s">
        <v>105</v>
      </c>
      <c r="Q46" s="24">
        <f>uurtarief127</f>
        <v>0</v>
      </c>
      <c r="R46" s="95" t="e">
        <f>IF(ISBLANK(N46),0,M46/ROUND(N46,4))</f>
        <v>#DIV/0!</v>
      </c>
      <c r="S46" s="95" t="e">
        <f>IF(ISBLANK(N46),0,R46*ROUND(O46,2))</f>
        <v>#DIV/0!</v>
      </c>
      <c r="T46" s="24" t="e">
        <f>ROUND(Q46,2)*R46</f>
        <v>#DIV/0!</v>
      </c>
      <c r="U46" s="95" t="e">
        <f>R46*dagenperjaar3</f>
        <v>#DIV/0!</v>
      </c>
      <c r="V46" s="25" t="e">
        <f>U46*ROUND(Q46,2)</f>
        <v>#DIV/0!</v>
      </c>
    </row>
    <row r="47" spans="1:22" x14ac:dyDescent="0.2">
      <c r="A47" s="92" t="s">
        <v>946</v>
      </c>
      <c r="B47" s="93" t="s">
        <v>47</v>
      </c>
      <c r="C47" s="93" t="s">
        <v>394</v>
      </c>
      <c r="D47" s="93" t="s">
        <v>1032</v>
      </c>
      <c r="E47" s="94" t="s">
        <v>1033</v>
      </c>
      <c r="F47" s="93" t="s">
        <v>397</v>
      </c>
      <c r="G47" s="93" t="s">
        <v>372</v>
      </c>
      <c r="H47" s="93" t="s">
        <v>18</v>
      </c>
      <c r="I47" s="93" t="s">
        <v>255</v>
      </c>
      <c r="J47" s="93" t="s">
        <v>47</v>
      </c>
      <c r="K47" s="93"/>
      <c r="L47" s="95">
        <v>20.310000000000002</v>
      </c>
      <c r="M47" s="95">
        <f>L47*VLOOKUP(H47,dagsoorttabel3,2,FALSE)</f>
        <v>20.310000000000002</v>
      </c>
      <c r="N47" s="96">
        <f>prodnorm127</f>
        <v>0</v>
      </c>
      <c r="O47" s="37">
        <f>dagwerk127</f>
        <v>0</v>
      </c>
      <c r="P47" s="93" t="s">
        <v>105</v>
      </c>
      <c r="Q47" s="24">
        <f>uurtarief127</f>
        <v>0</v>
      </c>
      <c r="R47" s="95" t="e">
        <f>IF(ISBLANK(N47),0,M47/ROUND(N47,4))</f>
        <v>#DIV/0!</v>
      </c>
      <c r="S47" s="95" t="e">
        <f>IF(ISBLANK(N47),0,R47*ROUND(O47,2))</f>
        <v>#DIV/0!</v>
      </c>
      <c r="T47" s="24" t="e">
        <f>ROUND(Q47,2)*R47</f>
        <v>#DIV/0!</v>
      </c>
      <c r="U47" s="95" t="e">
        <f>R47*dagenperjaar3</f>
        <v>#DIV/0!</v>
      </c>
      <c r="V47" s="25" t="e">
        <f>U47*ROUND(Q47,2)</f>
        <v>#DIV/0!</v>
      </c>
    </row>
    <row r="48" spans="1:22" x14ac:dyDescent="0.2">
      <c r="A48" s="92" t="s">
        <v>946</v>
      </c>
      <c r="B48" s="93" t="s">
        <v>47</v>
      </c>
      <c r="C48" s="93" t="s">
        <v>394</v>
      </c>
      <c r="D48" s="93" t="s">
        <v>1034</v>
      </c>
      <c r="E48" s="94" t="s">
        <v>1035</v>
      </c>
      <c r="F48" s="93" t="s">
        <v>397</v>
      </c>
      <c r="G48" s="93" t="s">
        <v>372</v>
      </c>
      <c r="H48" s="93" t="s">
        <v>18</v>
      </c>
      <c r="I48" s="93" t="s">
        <v>255</v>
      </c>
      <c r="J48" s="93" t="s">
        <v>47</v>
      </c>
      <c r="K48" s="93"/>
      <c r="L48" s="95">
        <v>20.310000000000002</v>
      </c>
      <c r="M48" s="95">
        <f>L48*VLOOKUP(H48,dagsoorttabel3,2,FALSE)</f>
        <v>20.310000000000002</v>
      </c>
      <c r="N48" s="96">
        <f>prodnorm127</f>
        <v>0</v>
      </c>
      <c r="O48" s="37">
        <f>dagwerk127</f>
        <v>0</v>
      </c>
      <c r="P48" s="93" t="s">
        <v>105</v>
      </c>
      <c r="Q48" s="24">
        <f>uurtarief127</f>
        <v>0</v>
      </c>
      <c r="R48" s="95" t="e">
        <f>IF(ISBLANK(N48),0,M48/ROUND(N48,4))</f>
        <v>#DIV/0!</v>
      </c>
      <c r="S48" s="95" t="e">
        <f>IF(ISBLANK(N48),0,R48*ROUND(O48,2))</f>
        <v>#DIV/0!</v>
      </c>
      <c r="T48" s="24" t="e">
        <f>ROUND(Q48,2)*R48</f>
        <v>#DIV/0!</v>
      </c>
      <c r="U48" s="95" t="e">
        <f>R48*dagenperjaar3</f>
        <v>#DIV/0!</v>
      </c>
      <c r="V48" s="25" t="e">
        <f>U48*ROUND(Q48,2)</f>
        <v>#DIV/0!</v>
      </c>
    </row>
    <row r="49" spans="1:22" x14ac:dyDescent="0.2">
      <c r="A49" s="97" t="s">
        <v>946</v>
      </c>
      <c r="B49" s="98" t="s">
        <v>47</v>
      </c>
      <c r="C49" s="98" t="s">
        <v>394</v>
      </c>
      <c r="D49" s="98" t="s">
        <v>1036</v>
      </c>
      <c r="E49" s="99" t="s">
        <v>1037</v>
      </c>
      <c r="F49" s="98" t="s">
        <v>397</v>
      </c>
      <c r="G49" s="98" t="s">
        <v>372</v>
      </c>
      <c r="H49" s="98" t="s">
        <v>18</v>
      </c>
      <c r="I49" s="98" t="s">
        <v>255</v>
      </c>
      <c r="J49" s="98" t="s">
        <v>47</v>
      </c>
      <c r="K49" s="98"/>
      <c r="L49" s="100">
        <v>20.310000000000002</v>
      </c>
      <c r="M49" s="100">
        <f>L49*VLOOKUP(H49,dagsoorttabel3,2,FALSE)</f>
        <v>20.310000000000002</v>
      </c>
      <c r="N49" s="101">
        <f>prodnorm127</f>
        <v>0</v>
      </c>
      <c r="O49" s="102">
        <f>dagwerk127</f>
        <v>0</v>
      </c>
      <c r="P49" s="98" t="s">
        <v>105</v>
      </c>
      <c r="Q49" s="34">
        <f>uurtarief127</f>
        <v>0</v>
      </c>
      <c r="R49" s="100" t="e">
        <f>IF(ISBLANK(N49),0,M49/ROUND(N49,4))</f>
        <v>#DIV/0!</v>
      </c>
      <c r="S49" s="100" t="e">
        <f>IF(ISBLANK(N49),0,R49*ROUND(O49,2))</f>
        <v>#DIV/0!</v>
      </c>
      <c r="T49" s="34" t="e">
        <f>ROUND(Q49,2)*R49</f>
        <v>#DIV/0!</v>
      </c>
      <c r="U49" s="100" t="e">
        <f>R49*dagenperjaar3</f>
        <v>#DIV/0!</v>
      </c>
      <c r="V49" s="35" t="e">
        <f>U49*ROUND(Q49,2)</f>
        <v>#DIV/0!</v>
      </c>
    </row>
    <row r="50" spans="1:22" x14ac:dyDescent="0.2">
      <c r="A50" s="72" t="s">
        <v>1152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5" t="e">
        <f>IF(_xlfn.SINGLE(object30_urenjaar3)&gt;0,_xlfn.SINGLE(object30_prijsjaar3)/_xlfn.SINGLE(object30_urenjaar3),0)</f>
        <v>#DIV/0!</v>
      </c>
      <c r="R50" s="74" t="e">
        <f>SUM(R5:R49)</f>
        <v>#DIV/0!</v>
      </c>
      <c r="S50" s="74" t="e">
        <f>SUM(S5:S49)</f>
        <v>#DIV/0!</v>
      </c>
      <c r="T50" s="75" t="e">
        <f>SUM(T5:T49)</f>
        <v>#DIV/0!</v>
      </c>
      <c r="U50" s="74" t="e">
        <f>SUM(U5:U49)</f>
        <v>#DIV/0!</v>
      </c>
      <c r="V50" s="75" t="e">
        <f>SUM(V5:V49)</f>
        <v>#DIV/0!</v>
      </c>
    </row>
  </sheetData>
  <sheetProtection algorithmName="SHA-512" hashValue="TDFEW6sEybcOM0MBVhtwOwWQhTp4iNMNnLY8TPY3RQ3WyEwmx0VqDXKYmAwYgRjZ9Id4kQ7yUpul2QxpxAjOMA==" saltValue="rfNDCRyVdLH6kYSQzAUL4w==" spinCount="100000" sheet="1" objects="1" scenarios="1" autoFilter="0"/>
  <autoFilter ref="A3:V50" xr:uid="{91C5EBFA-CF77-483D-9C7B-45BC5AC6EFF1}"/>
  <pageMargins left="0.7" right="0.7" top="0.75" bottom="0.75" header="0.3" footer="0.3"/>
  <pageSetup scale="61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BE6C-4A4F-4E2B-8A66-9799BD5BBC7D}">
  <dimension ref="A1:AO116"/>
  <sheetViews>
    <sheetView workbookViewId="0"/>
  </sheetViews>
  <sheetFormatPr defaultRowHeight="12.6" x14ac:dyDescent="0.2"/>
  <cols>
    <col min="1" max="1" width="5.6328125" customWidth="1"/>
    <col min="2" max="2" width="6.1796875" customWidth="1"/>
    <col min="3" max="3" width="11.6328125" customWidth="1"/>
    <col min="4" max="41" width="12.6328125" customWidth="1"/>
  </cols>
  <sheetData>
    <row r="1" spans="1:41" x14ac:dyDescent="0.2">
      <c r="A1" s="1" t="s">
        <v>1153</v>
      </c>
    </row>
    <row r="3" spans="1:41" ht="25.2" x14ac:dyDescent="0.2">
      <c r="A3" s="107" t="s">
        <v>246</v>
      </c>
      <c r="B3" s="107" t="s">
        <v>7</v>
      </c>
      <c r="C3" s="108" t="s">
        <v>1154</v>
      </c>
      <c r="D3" s="108" t="s">
        <v>1155</v>
      </c>
      <c r="E3" s="108" t="s">
        <v>1156</v>
      </c>
      <c r="F3" s="108" t="s">
        <v>1157</v>
      </c>
      <c r="G3" s="108" t="s">
        <v>1158</v>
      </c>
      <c r="H3" s="108" t="s">
        <v>1159</v>
      </c>
      <c r="I3" s="107" t="s">
        <v>1160</v>
      </c>
      <c r="J3" s="107" t="s">
        <v>1161</v>
      </c>
      <c r="K3" s="107" t="s">
        <v>1162</v>
      </c>
      <c r="L3" s="107" t="s">
        <v>1163</v>
      </c>
      <c r="M3" s="107" t="s">
        <v>1164</v>
      </c>
      <c r="N3" s="107" t="s">
        <v>1165</v>
      </c>
      <c r="O3" s="107" t="s">
        <v>1166</v>
      </c>
      <c r="P3" s="107" t="s">
        <v>1167</v>
      </c>
      <c r="Q3" s="107" t="s">
        <v>1168</v>
      </c>
      <c r="R3" s="107" t="s">
        <v>1169</v>
      </c>
      <c r="S3" s="107" t="s">
        <v>1170</v>
      </c>
      <c r="T3" s="107" t="s">
        <v>1171</v>
      </c>
      <c r="U3" s="107" t="s">
        <v>1172</v>
      </c>
      <c r="V3" s="107" t="s">
        <v>1173</v>
      </c>
      <c r="W3" s="107" t="s">
        <v>1174</v>
      </c>
      <c r="X3" s="107" t="s">
        <v>1175</v>
      </c>
      <c r="Y3" s="107" t="s">
        <v>1176</v>
      </c>
      <c r="Z3" s="107" t="s">
        <v>1177</v>
      </c>
      <c r="AA3" s="107" t="s">
        <v>1178</v>
      </c>
      <c r="AB3" s="107" t="s">
        <v>1179</v>
      </c>
      <c r="AC3" s="107" t="s">
        <v>1180</v>
      </c>
      <c r="AD3" s="107" t="s">
        <v>1181</v>
      </c>
      <c r="AE3" s="107" t="s">
        <v>1182</v>
      </c>
      <c r="AF3" s="107" t="s">
        <v>1183</v>
      </c>
      <c r="AG3" s="107" t="s">
        <v>1184</v>
      </c>
      <c r="AH3" s="107" t="s">
        <v>1185</v>
      </c>
      <c r="AI3" s="107" t="s">
        <v>1186</v>
      </c>
      <c r="AJ3" s="107" t="s">
        <v>1187</v>
      </c>
      <c r="AK3" s="107" t="s">
        <v>1188</v>
      </c>
      <c r="AL3" s="107" t="s">
        <v>1189</v>
      </c>
      <c r="AM3" s="107" t="s">
        <v>1190</v>
      </c>
      <c r="AN3" s="107" t="s">
        <v>1191</v>
      </c>
      <c r="AO3" s="107" t="s">
        <v>1192</v>
      </c>
    </row>
    <row r="4" spans="1:41" x14ac:dyDescent="0.2">
      <c r="A4" s="109"/>
      <c r="B4" s="109"/>
      <c r="C4" s="109"/>
      <c r="D4" s="109"/>
      <c r="E4" s="109"/>
      <c r="F4" s="109"/>
      <c r="G4" s="109"/>
      <c r="H4" s="109"/>
      <c r="I4" s="109"/>
      <c r="J4" s="110" t="s">
        <v>248</v>
      </c>
      <c r="K4" s="110" t="s">
        <v>248</v>
      </c>
      <c r="L4" s="110" t="s">
        <v>248</v>
      </c>
      <c r="M4" s="110" t="s">
        <v>248</v>
      </c>
      <c r="N4" s="110" t="s">
        <v>248</v>
      </c>
      <c r="O4" s="110" t="s">
        <v>248</v>
      </c>
      <c r="P4" s="110" t="s">
        <v>248</v>
      </c>
      <c r="Q4" s="110" t="s">
        <v>248</v>
      </c>
      <c r="R4" s="110" t="s">
        <v>248</v>
      </c>
      <c r="S4" s="110" t="s">
        <v>248</v>
      </c>
      <c r="T4" s="110" t="s">
        <v>248</v>
      </c>
      <c r="U4" s="110" t="s">
        <v>248</v>
      </c>
      <c r="V4" s="110" t="s">
        <v>248</v>
      </c>
      <c r="W4" s="110" t="s">
        <v>248</v>
      </c>
      <c r="X4" s="110" t="s">
        <v>248</v>
      </c>
      <c r="Y4" s="110" t="s">
        <v>248</v>
      </c>
      <c r="Z4" s="110" t="s">
        <v>248</v>
      </c>
      <c r="AA4" s="110" t="s">
        <v>248</v>
      </c>
      <c r="AB4" s="110" t="s">
        <v>248</v>
      </c>
      <c r="AC4" s="110" t="s">
        <v>248</v>
      </c>
      <c r="AD4" s="110" t="s">
        <v>248</v>
      </c>
      <c r="AE4" s="110" t="s">
        <v>248</v>
      </c>
      <c r="AF4" s="110" t="s">
        <v>248</v>
      </c>
      <c r="AG4" s="110" t="s">
        <v>248</v>
      </c>
      <c r="AH4" s="110" t="s">
        <v>248</v>
      </c>
      <c r="AI4" s="110" t="s">
        <v>248</v>
      </c>
      <c r="AJ4" s="110" t="s">
        <v>248</v>
      </c>
      <c r="AK4" s="110" t="s">
        <v>248</v>
      </c>
      <c r="AL4" s="110" t="s">
        <v>248</v>
      </c>
      <c r="AM4" s="110" t="s">
        <v>248</v>
      </c>
      <c r="AN4" s="110" t="s">
        <v>248</v>
      </c>
      <c r="AO4" s="110" t="s">
        <v>248</v>
      </c>
    </row>
    <row r="5" spans="1:41" x14ac:dyDescent="0.2">
      <c r="A5" s="47" t="s">
        <v>254</v>
      </c>
      <c r="B5" s="47" t="s">
        <v>24</v>
      </c>
      <c r="C5" s="47" t="s">
        <v>1193</v>
      </c>
      <c r="D5" s="47" t="s">
        <v>255</v>
      </c>
      <c r="E5" s="62">
        <f>IF(B5="","",VLOOKUP(B5,dagsoorttabel1,2,FALSE))</f>
        <v>4.7058823529411764E-2</v>
      </c>
      <c r="F5" s="62">
        <v>1</v>
      </c>
      <c r="G5" s="62">
        <f>IF(prodnorm25&gt;0,1/ROUND(prodnorm25,4),0)</f>
        <v>0</v>
      </c>
      <c r="H5" s="64">
        <f>ROUND(dagwerk25,4+2)</f>
        <v>0</v>
      </c>
      <c r="I5" s="51">
        <f>ROUND(uurtarief25,2)</f>
        <v>0</v>
      </c>
      <c r="J5" s="62">
        <v>0</v>
      </c>
      <c r="K5" s="62">
        <v>0</v>
      </c>
      <c r="L5" s="62">
        <v>0</v>
      </c>
      <c r="M5" s="62">
        <v>0</v>
      </c>
      <c r="N5" s="62">
        <v>0</v>
      </c>
      <c r="O5" s="62">
        <v>0</v>
      </c>
      <c r="P5" s="62">
        <v>0</v>
      </c>
      <c r="Q5" s="62">
        <v>0</v>
      </c>
      <c r="R5" s="62">
        <v>0</v>
      </c>
      <c r="S5" s="62">
        <v>0</v>
      </c>
      <c r="T5" s="62">
        <v>0</v>
      </c>
      <c r="U5" s="62">
        <v>0</v>
      </c>
      <c r="V5" s="62">
        <v>0</v>
      </c>
      <c r="W5" s="62">
        <v>0</v>
      </c>
      <c r="X5" s="62">
        <v>17.600000000000001</v>
      </c>
      <c r="Y5" s="62">
        <v>0</v>
      </c>
      <c r="Z5" s="62">
        <v>0</v>
      </c>
      <c r="AA5" s="62">
        <v>0</v>
      </c>
      <c r="AB5" s="62">
        <v>0</v>
      </c>
      <c r="AC5" s="62">
        <v>0</v>
      </c>
      <c r="AD5" s="62">
        <v>0</v>
      </c>
      <c r="AE5" s="62">
        <v>0</v>
      </c>
      <c r="AF5" s="62">
        <v>0</v>
      </c>
      <c r="AG5" s="62">
        <v>0</v>
      </c>
      <c r="AH5" s="62">
        <v>23.5</v>
      </c>
      <c r="AI5" s="62">
        <v>0</v>
      </c>
      <c r="AJ5" s="62">
        <v>5.9</v>
      </c>
      <c r="AK5" s="62">
        <v>3.2</v>
      </c>
      <c r="AL5" s="62">
        <v>0</v>
      </c>
      <c r="AM5" s="62">
        <v>0</v>
      </c>
      <c r="AN5" s="62">
        <v>0</v>
      </c>
      <c r="AO5" s="62">
        <v>0</v>
      </c>
    </row>
    <row r="6" spans="1:41" x14ac:dyDescent="0.2">
      <c r="A6" s="52" t="s">
        <v>254</v>
      </c>
      <c r="B6" s="52" t="s">
        <v>13</v>
      </c>
      <c r="C6" s="52" t="s">
        <v>1193</v>
      </c>
      <c r="D6" s="52" t="s">
        <v>255</v>
      </c>
      <c r="E6" s="65">
        <f>IF(B6="","",VLOOKUP(B6,dagsoorttabel1,2,FALSE))</f>
        <v>0.78431372549019607</v>
      </c>
      <c r="F6" s="65">
        <v>1</v>
      </c>
      <c r="G6" s="65">
        <f>IF(prodnorm26&gt;0,1/ROUND(prodnorm26,4),0)</f>
        <v>0</v>
      </c>
      <c r="H6" s="67">
        <f>ROUND(dagwerk26,4+2)</f>
        <v>0</v>
      </c>
      <c r="I6" s="56">
        <f>ROUND(uurtarief26,2)</f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5">
        <v>0</v>
      </c>
      <c r="S6" s="65">
        <v>0</v>
      </c>
      <c r="T6" s="65">
        <v>0</v>
      </c>
      <c r="U6" s="65">
        <v>0</v>
      </c>
      <c r="V6" s="65">
        <v>0</v>
      </c>
      <c r="W6" s="65">
        <v>0</v>
      </c>
      <c r="X6" s="65">
        <v>0</v>
      </c>
      <c r="Y6" s="65">
        <v>14.5</v>
      </c>
      <c r="Z6" s="65">
        <v>0</v>
      </c>
      <c r="AA6" s="65">
        <v>0</v>
      </c>
      <c r="AB6" s="65">
        <v>0</v>
      </c>
      <c r="AC6" s="65">
        <v>0</v>
      </c>
      <c r="AD6" s="65">
        <v>0</v>
      </c>
      <c r="AE6" s="65">
        <v>0</v>
      </c>
      <c r="AF6" s="65">
        <v>0</v>
      </c>
      <c r="AG6" s="65">
        <v>0</v>
      </c>
      <c r="AH6" s="65">
        <v>0</v>
      </c>
      <c r="AI6" s="65">
        <v>0</v>
      </c>
      <c r="AJ6" s="65">
        <v>0</v>
      </c>
      <c r="AK6" s="65">
        <v>0</v>
      </c>
      <c r="AL6" s="65">
        <v>0</v>
      </c>
      <c r="AM6" s="65">
        <v>0</v>
      </c>
      <c r="AN6" s="65">
        <v>0</v>
      </c>
      <c r="AO6" s="65">
        <v>0</v>
      </c>
    </row>
    <row r="7" spans="1:41" x14ac:dyDescent="0.2">
      <c r="A7" s="52" t="s">
        <v>254</v>
      </c>
      <c r="B7" s="52" t="s">
        <v>10</v>
      </c>
      <c r="C7" s="52" t="s">
        <v>1193</v>
      </c>
      <c r="D7" s="52" t="s">
        <v>255</v>
      </c>
      <c r="E7" s="65">
        <f>IF(B7="","",VLOOKUP(B7,dagsoorttabel1,2,FALSE))</f>
        <v>1</v>
      </c>
      <c r="F7" s="65">
        <v>1</v>
      </c>
      <c r="G7" s="65">
        <f>IF(prodnorm27&gt;0,1/ROUND(prodnorm27,4),0)</f>
        <v>0</v>
      </c>
      <c r="H7" s="67">
        <f>ROUND(dagwerk27,4+2)</f>
        <v>0</v>
      </c>
      <c r="I7" s="56">
        <f>ROUND(uurtarief27,2)</f>
        <v>0</v>
      </c>
      <c r="J7" s="65">
        <v>0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5">
        <v>0</v>
      </c>
      <c r="S7" s="65">
        <v>0</v>
      </c>
      <c r="T7" s="65">
        <v>0</v>
      </c>
      <c r="U7" s="65">
        <v>0</v>
      </c>
      <c r="V7" s="65">
        <v>34.65</v>
      </c>
      <c r="W7" s="65">
        <v>0</v>
      </c>
      <c r="X7" s="65">
        <v>0</v>
      </c>
      <c r="Y7" s="65">
        <v>0</v>
      </c>
      <c r="Z7" s="65">
        <v>0</v>
      </c>
      <c r="AA7" s="65">
        <v>0</v>
      </c>
      <c r="AB7" s="65">
        <v>0</v>
      </c>
      <c r="AC7" s="65">
        <v>0</v>
      </c>
      <c r="AD7" s="65">
        <v>0</v>
      </c>
      <c r="AE7" s="65">
        <v>0</v>
      </c>
      <c r="AF7" s="65">
        <v>0</v>
      </c>
      <c r="AG7" s="65">
        <v>0</v>
      </c>
      <c r="AH7" s="65">
        <v>0</v>
      </c>
      <c r="AI7" s="65">
        <v>0</v>
      </c>
      <c r="AJ7" s="65">
        <v>0</v>
      </c>
      <c r="AK7" s="65">
        <v>0</v>
      </c>
      <c r="AL7" s="65">
        <v>0</v>
      </c>
      <c r="AM7" s="65">
        <v>0</v>
      </c>
      <c r="AN7" s="65">
        <v>0</v>
      </c>
      <c r="AO7" s="65">
        <v>0</v>
      </c>
    </row>
    <row r="8" spans="1:41" x14ac:dyDescent="0.2">
      <c r="A8" s="52" t="s">
        <v>254</v>
      </c>
      <c r="B8" s="52" t="s">
        <v>22</v>
      </c>
      <c r="C8" s="52" t="s">
        <v>1193</v>
      </c>
      <c r="D8" s="52" t="s">
        <v>255</v>
      </c>
      <c r="E8" s="65">
        <f>IF(B8="","",VLOOKUP(B8,dagsoorttabel1,2,FALSE))</f>
        <v>0.15686274509803921</v>
      </c>
      <c r="F8" s="65">
        <v>1</v>
      </c>
      <c r="G8" s="65">
        <f>IF(prodnorm28&gt;0,1/ROUND(prodnorm28,4),0)</f>
        <v>0</v>
      </c>
      <c r="H8" s="67">
        <f>ROUND(dagwerk28,4+2)</f>
        <v>0</v>
      </c>
      <c r="I8" s="56">
        <f>ROUND(uurtarief28,2)</f>
        <v>0</v>
      </c>
      <c r="J8" s="65">
        <v>0</v>
      </c>
      <c r="K8" s="65">
        <v>22</v>
      </c>
      <c r="L8" s="65">
        <v>0</v>
      </c>
      <c r="M8" s="65">
        <v>0</v>
      </c>
      <c r="N8" s="65">
        <v>0</v>
      </c>
      <c r="O8" s="65">
        <v>0</v>
      </c>
      <c r="P8" s="65">
        <v>0</v>
      </c>
      <c r="Q8" s="65">
        <v>0</v>
      </c>
      <c r="R8" s="65">
        <v>0</v>
      </c>
      <c r="S8" s="65">
        <v>0</v>
      </c>
      <c r="T8" s="65">
        <v>0</v>
      </c>
      <c r="U8" s="65">
        <v>0</v>
      </c>
      <c r="V8" s="65">
        <v>0</v>
      </c>
      <c r="W8" s="65">
        <v>0</v>
      </c>
      <c r="X8" s="65">
        <v>0</v>
      </c>
      <c r="Y8" s="65">
        <v>3.1</v>
      </c>
      <c r="Z8" s="65">
        <v>0</v>
      </c>
      <c r="AA8" s="65">
        <v>0</v>
      </c>
      <c r="AB8" s="65">
        <v>0</v>
      </c>
      <c r="AC8" s="65">
        <v>0</v>
      </c>
      <c r="AD8" s="65">
        <v>0</v>
      </c>
      <c r="AE8" s="65">
        <v>0</v>
      </c>
      <c r="AF8" s="65">
        <v>0</v>
      </c>
      <c r="AG8" s="65">
        <v>0</v>
      </c>
      <c r="AH8" s="65">
        <v>0</v>
      </c>
      <c r="AI8" s="65">
        <v>0</v>
      </c>
      <c r="AJ8" s="65">
        <v>0</v>
      </c>
      <c r="AK8" s="65">
        <v>0</v>
      </c>
      <c r="AL8" s="65">
        <v>0</v>
      </c>
      <c r="AM8" s="65">
        <v>0</v>
      </c>
      <c r="AN8" s="65">
        <v>0</v>
      </c>
      <c r="AO8" s="65">
        <v>0</v>
      </c>
    </row>
    <row r="9" spans="1:41" x14ac:dyDescent="0.2">
      <c r="A9" s="52" t="s">
        <v>257</v>
      </c>
      <c r="B9" s="52" t="s">
        <v>10</v>
      </c>
      <c r="C9" s="52" t="s">
        <v>1193</v>
      </c>
      <c r="D9" s="52" t="s">
        <v>255</v>
      </c>
      <c r="E9" s="65">
        <f>IF(B9="","",VLOOKUP(B9,dagsoorttabel1,2,FALSE))</f>
        <v>1</v>
      </c>
      <c r="F9" s="65">
        <v>1</v>
      </c>
      <c r="G9" s="65">
        <f>IF(prodnorm29&gt;0,1/ROUND(prodnorm29,4),0)</f>
        <v>0</v>
      </c>
      <c r="H9" s="67">
        <f>ROUND(dagwerk29,4+2)</f>
        <v>0</v>
      </c>
      <c r="I9" s="56">
        <f>ROUND(uurtarief29,2)</f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12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0</v>
      </c>
      <c r="AE9" s="65">
        <v>0</v>
      </c>
      <c r="AF9" s="65">
        <v>0</v>
      </c>
      <c r="AG9" s="65">
        <v>0</v>
      </c>
      <c r="AH9" s="65">
        <v>0</v>
      </c>
      <c r="AI9" s="65">
        <v>0</v>
      </c>
      <c r="AJ9" s="65">
        <v>0</v>
      </c>
      <c r="AK9" s="65">
        <v>0</v>
      </c>
      <c r="AL9" s="65">
        <v>0</v>
      </c>
      <c r="AM9" s="65">
        <v>0</v>
      </c>
      <c r="AN9" s="65">
        <v>0</v>
      </c>
      <c r="AO9" s="65">
        <v>0</v>
      </c>
    </row>
    <row r="10" spans="1:41" x14ac:dyDescent="0.2">
      <c r="A10" s="52" t="s">
        <v>259</v>
      </c>
      <c r="B10" s="52" t="s">
        <v>24</v>
      </c>
      <c r="C10" s="52" t="s">
        <v>1193</v>
      </c>
      <c r="D10" s="52" t="s">
        <v>255</v>
      </c>
      <c r="E10" s="65">
        <f>IF(B10="","",VLOOKUP(B10,dagsoorttabel1,2,FALSE))</f>
        <v>4.7058823529411764E-2</v>
      </c>
      <c r="F10" s="65">
        <v>1</v>
      </c>
      <c r="G10" s="65">
        <f>IF(prodnorm30&gt;0,1/ROUND(prodnorm30,4),0)</f>
        <v>0</v>
      </c>
      <c r="H10" s="67">
        <f>ROUND(dagwerk30,4+2)</f>
        <v>0</v>
      </c>
      <c r="I10" s="56">
        <f>ROUND(uurtarief30,2)</f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5">
        <v>0</v>
      </c>
      <c r="V10" s="65">
        <v>0</v>
      </c>
      <c r="W10" s="65">
        <v>10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0</v>
      </c>
      <c r="AE10" s="65">
        <v>0</v>
      </c>
      <c r="AF10" s="65">
        <v>0</v>
      </c>
      <c r="AG10" s="65">
        <v>0</v>
      </c>
      <c r="AH10" s="65">
        <v>0</v>
      </c>
      <c r="AI10" s="65">
        <v>0</v>
      </c>
      <c r="AJ10" s="65">
        <v>0</v>
      </c>
      <c r="AK10" s="65">
        <v>0</v>
      </c>
      <c r="AL10" s="65">
        <v>0</v>
      </c>
      <c r="AM10" s="65">
        <v>0</v>
      </c>
      <c r="AN10" s="65">
        <v>0</v>
      </c>
      <c r="AO10" s="65">
        <v>0</v>
      </c>
    </row>
    <row r="11" spans="1:41" x14ac:dyDescent="0.2">
      <c r="A11" s="52" t="s">
        <v>259</v>
      </c>
      <c r="B11" s="52" t="s">
        <v>13</v>
      </c>
      <c r="C11" s="52" t="s">
        <v>1193</v>
      </c>
      <c r="D11" s="52" t="s">
        <v>255</v>
      </c>
      <c r="E11" s="65">
        <f>IF(B11="","",VLOOKUP(B11,dagsoorttabel1,2,FALSE))</f>
        <v>0.78431372549019607</v>
      </c>
      <c r="F11" s="65">
        <v>1</v>
      </c>
      <c r="G11" s="65">
        <f>IF(prodnorm31&gt;0,1/ROUND(prodnorm31,4),0)</f>
        <v>0</v>
      </c>
      <c r="H11" s="67">
        <f>ROUND(dagwerk31,4+2)</f>
        <v>0</v>
      </c>
      <c r="I11" s="56">
        <f>ROUND(uurtarief31,2)</f>
        <v>0</v>
      </c>
      <c r="J11" s="65">
        <v>0</v>
      </c>
      <c r="K11" s="65">
        <v>24</v>
      </c>
      <c r="L11" s="65">
        <v>0</v>
      </c>
      <c r="M11" s="65">
        <v>0</v>
      </c>
      <c r="N11" s="65">
        <v>0</v>
      </c>
      <c r="O11" s="65">
        <v>0</v>
      </c>
      <c r="P11" s="65">
        <v>98</v>
      </c>
      <c r="Q11" s="65">
        <v>0</v>
      </c>
      <c r="R11" s="65">
        <v>0</v>
      </c>
      <c r="S11" s="65">
        <v>5</v>
      </c>
      <c r="T11" s="65">
        <v>0</v>
      </c>
      <c r="U11" s="65">
        <v>200.90000000000003</v>
      </c>
      <c r="V11" s="65">
        <v>0</v>
      </c>
      <c r="W11" s="65">
        <v>0</v>
      </c>
      <c r="X11" s="65">
        <v>0</v>
      </c>
      <c r="Y11" s="65">
        <v>14</v>
      </c>
      <c r="Z11" s="65">
        <v>0</v>
      </c>
      <c r="AA11" s="65">
        <v>0</v>
      </c>
      <c r="AB11" s="65">
        <v>0</v>
      </c>
      <c r="AC11" s="65">
        <v>0</v>
      </c>
      <c r="AD11" s="65">
        <v>0</v>
      </c>
      <c r="AE11" s="65">
        <v>0</v>
      </c>
      <c r="AF11" s="65">
        <v>0</v>
      </c>
      <c r="AG11" s="65">
        <v>0</v>
      </c>
      <c r="AH11" s="65">
        <v>0</v>
      </c>
      <c r="AI11" s="65">
        <v>0</v>
      </c>
      <c r="AJ11" s="65">
        <v>0</v>
      </c>
      <c r="AK11" s="65">
        <v>0</v>
      </c>
      <c r="AL11" s="65">
        <v>0</v>
      </c>
      <c r="AM11" s="65">
        <v>0</v>
      </c>
      <c r="AN11" s="65">
        <v>0</v>
      </c>
      <c r="AO11" s="65">
        <v>0</v>
      </c>
    </row>
    <row r="12" spans="1:41" x14ac:dyDescent="0.2">
      <c r="A12" s="52" t="s">
        <v>259</v>
      </c>
      <c r="B12" s="52" t="s">
        <v>10</v>
      </c>
      <c r="C12" s="52" t="s">
        <v>1193</v>
      </c>
      <c r="D12" s="52" t="s">
        <v>255</v>
      </c>
      <c r="E12" s="65">
        <f>IF(B12="","",VLOOKUP(B12,dagsoorttabel1,2,FALSE))</f>
        <v>1</v>
      </c>
      <c r="F12" s="65">
        <v>1</v>
      </c>
      <c r="G12" s="65">
        <f>IF(prodnorm32&gt;0,1/ROUND(prodnorm32,4),0)</f>
        <v>0</v>
      </c>
      <c r="H12" s="67">
        <f>ROUND(dagwerk32,4+2)</f>
        <v>0</v>
      </c>
      <c r="I12" s="56">
        <f>ROUND(uurtarief32,2)</f>
        <v>0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0</v>
      </c>
      <c r="V12" s="65">
        <v>219</v>
      </c>
      <c r="W12" s="65">
        <v>0</v>
      </c>
      <c r="X12" s="65">
        <v>0</v>
      </c>
      <c r="Y12" s="65">
        <v>0</v>
      </c>
      <c r="Z12" s="65">
        <v>0</v>
      </c>
      <c r="AA12" s="65">
        <v>0</v>
      </c>
      <c r="AB12" s="65">
        <v>0</v>
      </c>
      <c r="AC12" s="65">
        <v>0</v>
      </c>
      <c r="AD12" s="65">
        <v>0</v>
      </c>
      <c r="AE12" s="65">
        <v>0</v>
      </c>
      <c r="AF12" s="65">
        <v>0</v>
      </c>
      <c r="AG12" s="65">
        <v>0</v>
      </c>
      <c r="AH12" s="65">
        <v>191.79999999999998</v>
      </c>
      <c r="AI12" s="65">
        <v>0</v>
      </c>
      <c r="AJ12" s="65">
        <v>76.900000000000006</v>
      </c>
      <c r="AK12" s="65">
        <v>152.35000000000002</v>
      </c>
      <c r="AL12" s="65">
        <v>79.960000000000008</v>
      </c>
      <c r="AM12" s="65">
        <v>0</v>
      </c>
      <c r="AN12" s="65">
        <v>0</v>
      </c>
      <c r="AO12" s="65">
        <v>0</v>
      </c>
    </row>
    <row r="13" spans="1:41" x14ac:dyDescent="0.2">
      <c r="A13" s="52" t="s">
        <v>259</v>
      </c>
      <c r="B13" s="52" t="s">
        <v>21</v>
      </c>
      <c r="C13" s="52" t="s">
        <v>1193</v>
      </c>
      <c r="D13" s="52" t="s">
        <v>255</v>
      </c>
      <c r="E13" s="65">
        <f>IF(B13="","",VLOOKUP(B13,dagsoorttabel1,2,FALSE))</f>
        <v>0.2</v>
      </c>
      <c r="F13" s="65">
        <v>1</v>
      </c>
      <c r="G13" s="65">
        <f>IF(prodnorm33&gt;0,1/ROUND(prodnorm33,4),0)</f>
        <v>0</v>
      </c>
      <c r="H13" s="67">
        <f>ROUND(dagwerk33,4+2)</f>
        <v>0</v>
      </c>
      <c r="I13" s="56">
        <f>ROUND(uurtarief33,2)</f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5">
        <v>0</v>
      </c>
      <c r="Y13" s="65">
        <v>0</v>
      </c>
      <c r="Z13" s="65">
        <v>0</v>
      </c>
      <c r="AA13" s="65">
        <v>0</v>
      </c>
      <c r="AB13" s="65">
        <v>0</v>
      </c>
      <c r="AC13" s="65">
        <v>0</v>
      </c>
      <c r="AD13" s="65">
        <v>0</v>
      </c>
      <c r="AE13" s="65">
        <v>0</v>
      </c>
      <c r="AF13" s="65">
        <v>0</v>
      </c>
      <c r="AG13" s="65">
        <v>0</v>
      </c>
      <c r="AH13" s="65">
        <v>0</v>
      </c>
      <c r="AI13" s="65">
        <v>0</v>
      </c>
      <c r="AJ13" s="65">
        <v>0</v>
      </c>
      <c r="AK13" s="65">
        <v>0</v>
      </c>
      <c r="AL13" s="65">
        <v>0</v>
      </c>
      <c r="AM13" s="65">
        <v>20.509999999999998</v>
      </c>
      <c r="AN13" s="65">
        <v>0</v>
      </c>
      <c r="AO13" s="65">
        <v>0</v>
      </c>
    </row>
    <row r="14" spans="1:41" x14ac:dyDescent="0.2">
      <c r="A14" s="52" t="s">
        <v>262</v>
      </c>
      <c r="B14" s="52" t="s">
        <v>22</v>
      </c>
      <c r="C14" s="52" t="s">
        <v>1193</v>
      </c>
      <c r="D14" s="52" t="s">
        <v>255</v>
      </c>
      <c r="E14" s="65">
        <f>IF(B14="","",VLOOKUP(B14,dagsoorttabel1,2,FALSE))</f>
        <v>0.15686274509803921</v>
      </c>
      <c r="F14" s="65">
        <v>1</v>
      </c>
      <c r="G14" s="65">
        <f>IF(prodnorm34&gt;0,1/ROUND(prodnorm34,4),0)</f>
        <v>0</v>
      </c>
      <c r="H14" s="67">
        <f>ROUND(dagwerk34,4+2)</f>
        <v>0</v>
      </c>
      <c r="I14" s="56">
        <f>ROUND(uurtarief34,2)</f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0</v>
      </c>
      <c r="R14" s="65">
        <v>0</v>
      </c>
      <c r="S14" s="65">
        <v>0</v>
      </c>
      <c r="T14" s="65">
        <v>0</v>
      </c>
      <c r="U14" s="65">
        <v>0</v>
      </c>
      <c r="V14" s="65">
        <v>0</v>
      </c>
      <c r="W14" s="65">
        <v>0</v>
      </c>
      <c r="X14" s="65">
        <v>0</v>
      </c>
      <c r="Y14" s="65">
        <v>8.8000000000000007</v>
      </c>
      <c r="Z14" s="65">
        <v>0</v>
      </c>
      <c r="AA14" s="65">
        <v>0</v>
      </c>
      <c r="AB14" s="65">
        <v>0</v>
      </c>
      <c r="AC14" s="65">
        <v>0</v>
      </c>
      <c r="AD14" s="65">
        <v>0</v>
      </c>
      <c r="AE14" s="65">
        <v>0</v>
      </c>
      <c r="AF14" s="65">
        <v>0</v>
      </c>
      <c r="AG14" s="65">
        <v>0</v>
      </c>
      <c r="AH14" s="65">
        <v>0</v>
      </c>
      <c r="AI14" s="65">
        <v>0</v>
      </c>
      <c r="AJ14" s="65">
        <v>0</v>
      </c>
      <c r="AK14" s="65">
        <v>0</v>
      </c>
      <c r="AL14" s="65">
        <v>0</v>
      </c>
      <c r="AM14" s="65">
        <v>0</v>
      </c>
      <c r="AN14" s="65">
        <v>0</v>
      </c>
      <c r="AO14" s="65">
        <v>0</v>
      </c>
    </row>
    <row r="15" spans="1:41" x14ac:dyDescent="0.2">
      <c r="A15" s="52" t="s">
        <v>263</v>
      </c>
      <c r="B15" s="52" t="s">
        <v>18</v>
      </c>
      <c r="C15" s="52" t="s">
        <v>1193</v>
      </c>
      <c r="D15" s="52" t="s">
        <v>255</v>
      </c>
      <c r="E15" s="65">
        <f>IF(B15="","",VLOOKUP(B15,dagsoorttabel1,2,FALSE))</f>
        <v>0.4</v>
      </c>
      <c r="F15" s="65">
        <v>1</v>
      </c>
      <c r="G15" s="65">
        <f>IF(prodnorm35&gt;0,1/ROUND(prodnorm35,4),0)</f>
        <v>0</v>
      </c>
      <c r="H15" s="67">
        <f>ROUND(dagwerk35,4+2)</f>
        <v>0</v>
      </c>
      <c r="I15" s="56">
        <f>ROUND(uurtarief35,2)</f>
        <v>0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65"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0</v>
      </c>
      <c r="X15" s="65">
        <v>81.400000000000006</v>
      </c>
      <c r="Y15" s="65">
        <v>0</v>
      </c>
      <c r="Z15" s="65">
        <v>0</v>
      </c>
      <c r="AA15" s="65">
        <v>0</v>
      </c>
      <c r="AB15" s="65">
        <v>0</v>
      </c>
      <c r="AC15" s="65">
        <v>0</v>
      </c>
      <c r="AD15" s="65">
        <v>0</v>
      </c>
      <c r="AE15" s="65">
        <v>0</v>
      </c>
      <c r="AF15" s="65">
        <v>0</v>
      </c>
      <c r="AG15" s="65">
        <v>0</v>
      </c>
      <c r="AH15" s="65">
        <v>0</v>
      </c>
      <c r="AI15" s="65">
        <v>0</v>
      </c>
      <c r="AJ15" s="65">
        <v>0</v>
      </c>
      <c r="AK15" s="65">
        <v>0</v>
      </c>
      <c r="AL15" s="65">
        <v>0</v>
      </c>
      <c r="AM15" s="65">
        <v>0</v>
      </c>
      <c r="AN15" s="65">
        <v>0</v>
      </c>
      <c r="AO15" s="65">
        <v>0</v>
      </c>
    </row>
    <row r="16" spans="1:41" x14ac:dyDescent="0.2">
      <c r="A16" s="52" t="s">
        <v>263</v>
      </c>
      <c r="B16" s="52" t="s">
        <v>13</v>
      </c>
      <c r="C16" s="52" t="s">
        <v>1193</v>
      </c>
      <c r="D16" s="52" t="s">
        <v>255</v>
      </c>
      <c r="E16" s="65">
        <f>IF(B16="","",VLOOKUP(B16,dagsoorttabel1,2,FALSE))</f>
        <v>0.78431372549019607</v>
      </c>
      <c r="F16" s="65">
        <v>1</v>
      </c>
      <c r="G16" s="65">
        <f>IF(prodnorm36&gt;0,1/ROUND(prodnorm36,4),0)</f>
        <v>0</v>
      </c>
      <c r="H16" s="67">
        <f>ROUND(dagwerk36,4+2)</f>
        <v>0</v>
      </c>
      <c r="I16" s="56">
        <f>ROUND(uurtarief36,2)</f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10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82.3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65">
        <v>0</v>
      </c>
      <c r="AJ16" s="65">
        <v>0</v>
      </c>
      <c r="AK16" s="65">
        <v>0</v>
      </c>
      <c r="AL16" s="65">
        <v>0</v>
      </c>
      <c r="AM16" s="65">
        <v>0</v>
      </c>
      <c r="AN16" s="65">
        <v>0</v>
      </c>
      <c r="AO16" s="65">
        <v>0</v>
      </c>
    </row>
    <row r="17" spans="1:41" x14ac:dyDescent="0.2">
      <c r="A17" s="52" t="s">
        <v>263</v>
      </c>
      <c r="B17" s="52" t="s">
        <v>10</v>
      </c>
      <c r="C17" s="52" t="s">
        <v>1193</v>
      </c>
      <c r="D17" s="52" t="s">
        <v>255</v>
      </c>
      <c r="E17" s="65">
        <f>IF(B17="","",VLOOKUP(B17,dagsoorttabel1,2,FALSE))</f>
        <v>1</v>
      </c>
      <c r="F17" s="65">
        <v>1</v>
      </c>
      <c r="G17" s="65">
        <f>IF(prodnorm37&gt;0,1/ROUND(prodnorm37,4),0)</f>
        <v>0</v>
      </c>
      <c r="H17" s="67">
        <f>ROUND(dagwerk37,4+2)</f>
        <v>0</v>
      </c>
      <c r="I17" s="56">
        <f>ROUND(uurtarief37,2)</f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879.6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34</v>
      </c>
      <c r="AI17" s="65">
        <v>0</v>
      </c>
      <c r="AJ17" s="65">
        <v>1.4</v>
      </c>
      <c r="AK17" s="65">
        <v>0</v>
      </c>
      <c r="AL17" s="65">
        <v>0</v>
      </c>
      <c r="AM17" s="65">
        <v>0</v>
      </c>
      <c r="AN17" s="65">
        <v>0</v>
      </c>
      <c r="AO17" s="65">
        <v>0</v>
      </c>
    </row>
    <row r="18" spans="1:41" x14ac:dyDescent="0.2">
      <c r="A18" s="52" t="s">
        <v>263</v>
      </c>
      <c r="B18" s="52" t="s">
        <v>22</v>
      </c>
      <c r="C18" s="52" t="s">
        <v>1193</v>
      </c>
      <c r="D18" s="52" t="s">
        <v>255</v>
      </c>
      <c r="E18" s="65">
        <f>IF(B18="","",VLOOKUP(B18,dagsoorttabel1,2,FALSE))</f>
        <v>0.15686274509803921</v>
      </c>
      <c r="F18" s="65">
        <v>1</v>
      </c>
      <c r="G18" s="65">
        <f>IF(prodnorm38&gt;0,1/ROUND(prodnorm38,4),0)</f>
        <v>0</v>
      </c>
      <c r="H18" s="67">
        <f>ROUND(dagwerk38,4+2)</f>
        <v>0</v>
      </c>
      <c r="I18" s="56">
        <f>ROUND(uurtarief38,2)</f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8.129999999999999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  <c r="AI18" s="65">
        <v>0</v>
      </c>
      <c r="AJ18" s="65">
        <v>0</v>
      </c>
      <c r="AK18" s="65">
        <v>0</v>
      </c>
      <c r="AL18" s="65">
        <v>0</v>
      </c>
      <c r="AM18" s="65">
        <v>0</v>
      </c>
      <c r="AN18" s="65">
        <v>0</v>
      </c>
      <c r="AO18" s="65">
        <v>0</v>
      </c>
    </row>
    <row r="19" spans="1:41" x14ac:dyDescent="0.2">
      <c r="A19" s="52" t="s">
        <v>263</v>
      </c>
      <c r="B19" s="52" t="s">
        <v>21</v>
      </c>
      <c r="C19" s="52" t="s">
        <v>1193</v>
      </c>
      <c r="D19" s="52" t="s">
        <v>255</v>
      </c>
      <c r="E19" s="65">
        <f>IF(B19="","",VLOOKUP(B19,dagsoorttabel1,2,FALSE))</f>
        <v>0.2</v>
      </c>
      <c r="F19" s="65">
        <v>1</v>
      </c>
      <c r="G19" s="65">
        <f>IF(prodnorm39&gt;0,1/ROUND(prodnorm39,4),0)</f>
        <v>0</v>
      </c>
      <c r="H19" s="67">
        <f>ROUND(dagwerk39,4+2)</f>
        <v>0</v>
      </c>
      <c r="I19" s="56">
        <f>ROUND(uurtarief39,2)</f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  <c r="AI19" s="65">
        <v>0</v>
      </c>
      <c r="AJ19" s="65">
        <v>0</v>
      </c>
      <c r="AK19" s="65">
        <v>0</v>
      </c>
      <c r="AL19" s="65">
        <v>0</v>
      </c>
      <c r="AM19" s="65">
        <v>40.26</v>
      </c>
      <c r="AN19" s="65">
        <v>0</v>
      </c>
      <c r="AO19" s="65">
        <v>0</v>
      </c>
    </row>
    <row r="20" spans="1:41" x14ac:dyDescent="0.2">
      <c r="A20" s="52" t="s">
        <v>266</v>
      </c>
      <c r="B20" s="52" t="s">
        <v>13</v>
      </c>
      <c r="C20" s="52" t="s">
        <v>1193</v>
      </c>
      <c r="D20" s="52" t="s">
        <v>255</v>
      </c>
      <c r="E20" s="65">
        <f>IF(B20="","",VLOOKUP(B20,dagsoorttabel1,2,FALSE))</f>
        <v>0.78431372549019607</v>
      </c>
      <c r="F20" s="65">
        <v>1</v>
      </c>
      <c r="G20" s="65">
        <f>IF(prodnorm40&gt;0,1/ROUND(prodnorm40,4),0)</f>
        <v>0</v>
      </c>
      <c r="H20" s="67">
        <f>ROUND(dagwerk40,4+2)</f>
        <v>0</v>
      </c>
      <c r="I20" s="56">
        <f>ROUND(uurtarief40,2)</f>
        <v>0</v>
      </c>
      <c r="J20" s="65">
        <v>35.33</v>
      </c>
      <c r="K20" s="65">
        <v>142.6</v>
      </c>
      <c r="L20" s="65">
        <v>0</v>
      </c>
      <c r="M20" s="65">
        <v>0</v>
      </c>
      <c r="N20" s="65">
        <v>29</v>
      </c>
      <c r="O20" s="65">
        <v>0</v>
      </c>
      <c r="P20" s="65">
        <v>26.060000000000002</v>
      </c>
      <c r="Q20" s="65">
        <v>60</v>
      </c>
      <c r="R20" s="65">
        <v>0</v>
      </c>
      <c r="S20" s="65">
        <v>20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138.80000000000001</v>
      </c>
      <c r="Z20" s="65">
        <v>12</v>
      </c>
      <c r="AA20" s="65">
        <v>16.509999999999998</v>
      </c>
      <c r="AB20" s="65">
        <v>0</v>
      </c>
      <c r="AC20" s="65">
        <v>16</v>
      </c>
      <c r="AD20" s="65">
        <v>0</v>
      </c>
      <c r="AE20" s="65">
        <v>26.060000000000002</v>
      </c>
      <c r="AF20" s="65">
        <v>60.57</v>
      </c>
      <c r="AG20" s="65">
        <v>62.89</v>
      </c>
      <c r="AH20" s="65">
        <v>0</v>
      </c>
      <c r="AI20" s="65">
        <v>0</v>
      </c>
      <c r="AJ20" s="65">
        <v>0</v>
      </c>
      <c r="AK20" s="65">
        <v>0</v>
      </c>
      <c r="AL20" s="65">
        <v>0</v>
      </c>
      <c r="AM20" s="65">
        <v>61.769999999999996</v>
      </c>
      <c r="AN20" s="65">
        <v>33.299999999999997</v>
      </c>
      <c r="AO20" s="65">
        <v>8</v>
      </c>
    </row>
    <row r="21" spans="1:41" x14ac:dyDescent="0.2">
      <c r="A21" s="52" t="s">
        <v>266</v>
      </c>
      <c r="B21" s="52" t="s">
        <v>10</v>
      </c>
      <c r="C21" s="52" t="s">
        <v>1193</v>
      </c>
      <c r="D21" s="52" t="s">
        <v>255</v>
      </c>
      <c r="E21" s="65">
        <f>IF(B21="","",VLOOKUP(B21,dagsoorttabel1,2,FALSE))</f>
        <v>1</v>
      </c>
      <c r="F21" s="65">
        <v>1</v>
      </c>
      <c r="G21" s="65">
        <f>IF(prodnorm41&gt;0,1/ROUND(prodnorm41,4),0)</f>
        <v>0</v>
      </c>
      <c r="H21" s="67">
        <f>ROUND(dagwerk41,4+2)</f>
        <v>0</v>
      </c>
      <c r="I21" s="56">
        <f>ROUND(uurtarief41,2)</f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7.84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  <c r="AI21" s="65">
        <v>26.279999999999998</v>
      </c>
      <c r="AJ21" s="65">
        <v>0</v>
      </c>
      <c r="AK21" s="65">
        <v>0</v>
      </c>
      <c r="AL21" s="65">
        <v>0</v>
      </c>
      <c r="AM21" s="65">
        <v>0</v>
      </c>
      <c r="AN21" s="65">
        <v>0</v>
      </c>
      <c r="AO21" s="65">
        <v>0</v>
      </c>
    </row>
    <row r="22" spans="1:41" x14ac:dyDescent="0.2">
      <c r="A22" s="52" t="s">
        <v>268</v>
      </c>
      <c r="B22" s="52" t="s">
        <v>13</v>
      </c>
      <c r="C22" s="52" t="s">
        <v>1193</v>
      </c>
      <c r="D22" s="52" t="s">
        <v>255</v>
      </c>
      <c r="E22" s="65">
        <f>IF(B22="","",VLOOKUP(B22,dagsoorttabel1,2,FALSE))</f>
        <v>0.78431372549019607</v>
      </c>
      <c r="F22" s="65">
        <v>1</v>
      </c>
      <c r="G22" s="65">
        <f>IF(prodnorm42&gt;0,1/ROUND(prodnorm42,4),0)</f>
        <v>0</v>
      </c>
      <c r="H22" s="67">
        <f>ROUND(dagwerk42,4+2)</f>
        <v>0</v>
      </c>
      <c r="I22" s="56">
        <f>ROUND(uurtarief42,2)</f>
        <v>0</v>
      </c>
      <c r="J22" s="65">
        <v>34.18</v>
      </c>
      <c r="K22" s="65">
        <v>142.6</v>
      </c>
      <c r="L22" s="65">
        <v>0</v>
      </c>
      <c r="M22" s="65">
        <v>0</v>
      </c>
      <c r="N22" s="65">
        <v>0</v>
      </c>
      <c r="O22" s="65">
        <v>0</v>
      </c>
      <c r="P22" s="65">
        <v>26.060000000000002</v>
      </c>
      <c r="Q22" s="65">
        <v>60</v>
      </c>
      <c r="R22" s="65">
        <v>0</v>
      </c>
      <c r="S22" s="65">
        <v>20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138.80000000000001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60.57</v>
      </c>
      <c r="AG22" s="65">
        <v>62.89</v>
      </c>
      <c r="AH22" s="65">
        <v>0</v>
      </c>
      <c r="AI22" s="65">
        <v>0</v>
      </c>
      <c r="AJ22" s="65">
        <v>0</v>
      </c>
      <c r="AK22" s="65">
        <v>0</v>
      </c>
      <c r="AL22" s="65">
        <v>0</v>
      </c>
      <c r="AM22" s="65">
        <v>0</v>
      </c>
      <c r="AN22" s="65">
        <v>0</v>
      </c>
      <c r="AO22" s="65">
        <v>0</v>
      </c>
    </row>
    <row r="23" spans="1:41" x14ac:dyDescent="0.2">
      <c r="A23" s="52" t="s">
        <v>270</v>
      </c>
      <c r="B23" s="52" t="s">
        <v>13</v>
      </c>
      <c r="C23" s="52" t="s">
        <v>1193</v>
      </c>
      <c r="D23" s="52" t="s">
        <v>255</v>
      </c>
      <c r="E23" s="65">
        <f>IF(B23="","",VLOOKUP(B23,dagsoorttabel1,2,FALSE))</f>
        <v>0.78431372549019607</v>
      </c>
      <c r="F23" s="65">
        <v>1</v>
      </c>
      <c r="G23" s="65">
        <f>IF(prodnorm43&gt;0,1/ROUND(prodnorm43,4),0)</f>
        <v>0</v>
      </c>
      <c r="H23" s="67">
        <f>ROUND(dagwerk43,4+2)</f>
        <v>0</v>
      </c>
      <c r="I23" s="56">
        <f>ROUND(uurtarief43,2)</f>
        <v>0</v>
      </c>
      <c r="J23" s="65">
        <v>18.399999999999999</v>
      </c>
      <c r="K23" s="65">
        <v>15</v>
      </c>
      <c r="L23" s="65">
        <v>9</v>
      </c>
      <c r="M23" s="65">
        <v>9</v>
      </c>
      <c r="N23" s="65">
        <v>9</v>
      </c>
      <c r="O23" s="65">
        <v>9</v>
      </c>
      <c r="P23" s="65">
        <v>14.09</v>
      </c>
      <c r="Q23" s="65">
        <v>9.5</v>
      </c>
      <c r="R23" s="65">
        <v>9</v>
      </c>
      <c r="S23" s="65">
        <v>0</v>
      </c>
      <c r="T23" s="65">
        <v>26</v>
      </c>
      <c r="U23" s="65">
        <v>10.8</v>
      </c>
      <c r="V23" s="65">
        <v>0</v>
      </c>
      <c r="W23" s="65">
        <v>0</v>
      </c>
      <c r="X23" s="65">
        <v>0</v>
      </c>
      <c r="Y23" s="65">
        <v>14</v>
      </c>
      <c r="Z23" s="65">
        <v>0</v>
      </c>
      <c r="AA23" s="65">
        <v>0</v>
      </c>
      <c r="AB23" s="65">
        <v>0</v>
      </c>
      <c r="AC23" s="65">
        <v>39.5</v>
      </c>
      <c r="AD23" s="65">
        <v>9</v>
      </c>
      <c r="AE23" s="65">
        <v>0</v>
      </c>
      <c r="AF23" s="65">
        <v>7.4300000000000006</v>
      </c>
      <c r="AG23" s="65">
        <v>0</v>
      </c>
      <c r="AH23" s="65">
        <v>0</v>
      </c>
      <c r="AI23" s="65">
        <v>0</v>
      </c>
      <c r="AJ23" s="65">
        <v>0</v>
      </c>
      <c r="AK23" s="65">
        <v>0</v>
      </c>
      <c r="AL23" s="65">
        <v>0</v>
      </c>
      <c r="AM23" s="65">
        <v>0</v>
      </c>
      <c r="AN23" s="65">
        <v>9</v>
      </c>
      <c r="AO23" s="65">
        <v>10</v>
      </c>
    </row>
    <row r="24" spans="1:41" x14ac:dyDescent="0.2">
      <c r="A24" s="52" t="s">
        <v>270</v>
      </c>
      <c r="B24" s="52" t="s">
        <v>10</v>
      </c>
      <c r="C24" s="52" t="s">
        <v>1193</v>
      </c>
      <c r="D24" s="52" t="s">
        <v>255</v>
      </c>
      <c r="E24" s="65">
        <f>IF(B24="","",VLOOKUP(B24,dagsoorttabel1,2,FALSE))</f>
        <v>1</v>
      </c>
      <c r="F24" s="65">
        <v>1</v>
      </c>
      <c r="G24" s="65">
        <f>IF(prodnorm44&gt;0,1/ROUND(prodnorm44,4),0)</f>
        <v>0</v>
      </c>
      <c r="H24" s="67">
        <f>ROUND(dagwerk44,4+2)</f>
        <v>0</v>
      </c>
      <c r="I24" s="56">
        <f>ROUND(uurtarief44,2)</f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55</v>
      </c>
      <c r="W24" s="65">
        <v>0</v>
      </c>
      <c r="X24" s="65">
        <v>18.100000000000001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7</v>
      </c>
      <c r="AI24" s="65">
        <v>0</v>
      </c>
      <c r="AJ24" s="65">
        <v>0</v>
      </c>
      <c r="AK24" s="65">
        <v>0</v>
      </c>
      <c r="AL24" s="65">
        <v>0</v>
      </c>
      <c r="AM24" s="65">
        <v>200.93</v>
      </c>
      <c r="AN24" s="65">
        <v>0</v>
      </c>
      <c r="AO24" s="65">
        <v>0</v>
      </c>
    </row>
    <row r="25" spans="1:41" x14ac:dyDescent="0.2">
      <c r="A25" s="52" t="s">
        <v>272</v>
      </c>
      <c r="B25" s="52" t="s">
        <v>13</v>
      </c>
      <c r="C25" s="52" t="s">
        <v>1193</v>
      </c>
      <c r="D25" s="52" t="s">
        <v>255</v>
      </c>
      <c r="E25" s="65">
        <f>IF(B25="","",VLOOKUP(B25,dagsoorttabel1,2,FALSE))</f>
        <v>0.78431372549019607</v>
      </c>
      <c r="F25" s="65">
        <v>1</v>
      </c>
      <c r="G25" s="65">
        <f>IF(prodnorm45&gt;0,1/ROUND(prodnorm45,4),0)</f>
        <v>0</v>
      </c>
      <c r="H25" s="67">
        <f>ROUND(dagwerk45,4+2)</f>
        <v>0</v>
      </c>
      <c r="I25" s="56">
        <f>ROUND(uurtarief45,2)</f>
        <v>0</v>
      </c>
      <c r="J25" s="65">
        <v>0</v>
      </c>
      <c r="K25" s="65">
        <v>15</v>
      </c>
      <c r="L25" s="65">
        <v>0</v>
      </c>
      <c r="M25" s="65">
        <v>0</v>
      </c>
      <c r="N25" s="65">
        <v>0</v>
      </c>
      <c r="O25" s="65">
        <v>0</v>
      </c>
      <c r="P25" s="65">
        <v>14.09</v>
      </c>
      <c r="Q25" s="65">
        <v>9.5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7.4300000000000006</v>
      </c>
      <c r="AG25" s="65">
        <v>0</v>
      </c>
      <c r="AH25" s="65">
        <v>0</v>
      </c>
      <c r="AI25" s="65">
        <v>0</v>
      </c>
      <c r="AJ25" s="65">
        <v>0</v>
      </c>
      <c r="AK25" s="65">
        <v>0</v>
      </c>
      <c r="AL25" s="65">
        <v>0</v>
      </c>
      <c r="AM25" s="65">
        <v>0</v>
      </c>
      <c r="AN25" s="65">
        <v>0</v>
      </c>
      <c r="AO25" s="65">
        <v>0</v>
      </c>
    </row>
    <row r="26" spans="1:41" x14ac:dyDescent="0.2">
      <c r="A26" s="52" t="s">
        <v>272</v>
      </c>
      <c r="B26" s="52" t="s">
        <v>10</v>
      </c>
      <c r="C26" s="52" t="s">
        <v>1193</v>
      </c>
      <c r="D26" s="52" t="s">
        <v>255</v>
      </c>
      <c r="E26" s="65">
        <f>IF(B26="","",VLOOKUP(B26,dagsoorttabel1,2,FALSE))</f>
        <v>1</v>
      </c>
      <c r="F26" s="65">
        <v>1</v>
      </c>
      <c r="G26" s="65">
        <f>IF(prodnorm46&gt;0,1/ROUND(prodnorm46,4),0)</f>
        <v>0</v>
      </c>
      <c r="H26" s="67">
        <f>ROUND(dagwerk46,4+2)</f>
        <v>0</v>
      </c>
      <c r="I26" s="56">
        <f>ROUND(uurtarief46,2)</f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0</v>
      </c>
      <c r="AM26" s="65">
        <v>176.46</v>
      </c>
      <c r="AN26" s="65">
        <v>0</v>
      </c>
      <c r="AO26" s="65">
        <v>0</v>
      </c>
    </row>
    <row r="27" spans="1:41" x14ac:dyDescent="0.2">
      <c r="A27" s="52" t="s">
        <v>274</v>
      </c>
      <c r="B27" s="52" t="s">
        <v>13</v>
      </c>
      <c r="C27" s="52" t="s">
        <v>1193</v>
      </c>
      <c r="D27" s="52" t="s">
        <v>255</v>
      </c>
      <c r="E27" s="65">
        <f>IF(B27="","",VLOOKUP(B27,dagsoorttabel1,2,FALSE))</f>
        <v>0.78431372549019607</v>
      </c>
      <c r="F27" s="65">
        <v>1</v>
      </c>
      <c r="G27" s="65">
        <f>IF(prodnorm47&gt;0,1/ROUND(prodnorm47,4),0)</f>
        <v>0</v>
      </c>
      <c r="H27" s="67">
        <f>ROUND(dagwerk47,4+2)</f>
        <v>0</v>
      </c>
      <c r="I27" s="56">
        <f>ROUND(uurtarief47,2)</f>
        <v>0</v>
      </c>
      <c r="J27" s="65">
        <v>0</v>
      </c>
      <c r="K27" s="65">
        <v>0</v>
      </c>
      <c r="L27" s="65">
        <v>9</v>
      </c>
      <c r="M27" s="65">
        <v>9</v>
      </c>
      <c r="N27" s="65">
        <v>9</v>
      </c>
      <c r="O27" s="65">
        <v>9</v>
      </c>
      <c r="P27" s="65">
        <v>7</v>
      </c>
      <c r="Q27" s="65">
        <v>0</v>
      </c>
      <c r="R27" s="65">
        <v>9</v>
      </c>
      <c r="S27" s="65">
        <v>9</v>
      </c>
      <c r="T27" s="65">
        <v>0</v>
      </c>
      <c r="U27" s="65">
        <v>11.9</v>
      </c>
      <c r="V27" s="65">
        <v>0</v>
      </c>
      <c r="W27" s="65">
        <v>0</v>
      </c>
      <c r="X27" s="65">
        <v>0</v>
      </c>
      <c r="Y27" s="65">
        <v>7.2</v>
      </c>
      <c r="Z27" s="65">
        <v>0</v>
      </c>
      <c r="AA27" s="65">
        <v>5.84</v>
      </c>
      <c r="AB27" s="65">
        <v>22.5</v>
      </c>
      <c r="AC27" s="65">
        <v>10</v>
      </c>
      <c r="AD27" s="65">
        <v>9</v>
      </c>
      <c r="AE27" s="65">
        <v>0</v>
      </c>
      <c r="AF27" s="65">
        <v>0</v>
      </c>
      <c r="AG27" s="65">
        <v>4.51</v>
      </c>
      <c r="AH27" s="65">
        <v>0</v>
      </c>
      <c r="AI27" s="65">
        <v>0</v>
      </c>
      <c r="AJ27" s="65">
        <v>0</v>
      </c>
      <c r="AK27" s="65">
        <v>0</v>
      </c>
      <c r="AL27" s="65">
        <v>0</v>
      </c>
      <c r="AM27" s="65">
        <v>0</v>
      </c>
      <c r="AN27" s="65">
        <v>9</v>
      </c>
      <c r="AO27" s="65">
        <v>0</v>
      </c>
    </row>
    <row r="28" spans="1:41" x14ac:dyDescent="0.2">
      <c r="A28" s="52" t="s">
        <v>274</v>
      </c>
      <c r="B28" s="52" t="s">
        <v>10</v>
      </c>
      <c r="C28" s="52" t="s">
        <v>1193</v>
      </c>
      <c r="D28" s="52" t="s">
        <v>255</v>
      </c>
      <c r="E28" s="65">
        <f>IF(B28="","",VLOOKUP(B28,dagsoorttabel1,2,FALSE))</f>
        <v>1</v>
      </c>
      <c r="F28" s="65">
        <v>1</v>
      </c>
      <c r="G28" s="65">
        <f>IF(prodnorm48&gt;0,1/ROUND(prodnorm48,4),0)</f>
        <v>0</v>
      </c>
      <c r="H28" s="67">
        <f>ROUND(dagwerk48,4+2)</f>
        <v>0</v>
      </c>
      <c r="I28" s="56">
        <f>ROUND(uurtarief48,2)</f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10</v>
      </c>
      <c r="W28" s="65">
        <v>0</v>
      </c>
      <c r="X28" s="65">
        <v>62.2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11</v>
      </c>
      <c r="AI28" s="65">
        <v>6.1099999999999994</v>
      </c>
      <c r="AJ28" s="65">
        <v>4.5999999999999996</v>
      </c>
      <c r="AK28" s="65">
        <v>2.2999999999999998</v>
      </c>
      <c r="AL28" s="65">
        <v>5.4300000000000006</v>
      </c>
      <c r="AM28" s="65">
        <v>0</v>
      </c>
      <c r="AN28" s="65">
        <v>0</v>
      </c>
      <c r="AO28" s="65">
        <v>0</v>
      </c>
    </row>
    <row r="29" spans="1:41" x14ac:dyDescent="0.2">
      <c r="A29" s="52" t="s">
        <v>274</v>
      </c>
      <c r="B29" s="52" t="s">
        <v>21</v>
      </c>
      <c r="C29" s="52" t="s">
        <v>1193</v>
      </c>
      <c r="D29" s="52" t="s">
        <v>255</v>
      </c>
      <c r="E29" s="65">
        <f>IF(B29="","",VLOOKUP(B29,dagsoorttabel1,2,FALSE))</f>
        <v>0.2</v>
      </c>
      <c r="F29" s="65">
        <v>1</v>
      </c>
      <c r="G29" s="65">
        <f>IF(prodnorm49&gt;0,1/ROUND(prodnorm49,4),0)</f>
        <v>0</v>
      </c>
      <c r="H29" s="67">
        <f>ROUND(dagwerk49,4+2)</f>
        <v>0</v>
      </c>
      <c r="I29" s="56">
        <f>ROUND(uurtarief49,2)</f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20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  <c r="AI29" s="65">
        <v>0</v>
      </c>
      <c r="AJ29" s="65">
        <v>0</v>
      </c>
      <c r="AK29" s="65">
        <v>0</v>
      </c>
      <c r="AL29" s="65">
        <v>0</v>
      </c>
      <c r="AM29" s="65">
        <v>0</v>
      </c>
      <c r="AN29" s="65">
        <v>0</v>
      </c>
      <c r="AO29" s="65">
        <v>0</v>
      </c>
    </row>
    <row r="30" spans="1:41" x14ac:dyDescent="0.2">
      <c r="A30" s="52" t="s">
        <v>276</v>
      </c>
      <c r="B30" s="52" t="s">
        <v>13</v>
      </c>
      <c r="C30" s="52" t="s">
        <v>1193</v>
      </c>
      <c r="D30" s="52" t="s">
        <v>255</v>
      </c>
      <c r="E30" s="65">
        <f>IF(B30="","",VLOOKUP(B30,dagsoorttabel1,2,FALSE))</f>
        <v>0.78431372549019607</v>
      </c>
      <c r="F30" s="65">
        <v>1</v>
      </c>
      <c r="G30" s="65">
        <f>IF(prodnorm50&gt;0,1/ROUND(prodnorm50,4),0)</f>
        <v>0</v>
      </c>
      <c r="H30" s="67">
        <f>ROUND(dagwerk50,4+2)</f>
        <v>0</v>
      </c>
      <c r="I30" s="56">
        <f>ROUND(uurtarief50,2)</f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7</v>
      </c>
      <c r="Q30" s="65">
        <v>0</v>
      </c>
      <c r="R30" s="65">
        <v>0</v>
      </c>
      <c r="S30" s="65">
        <v>9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4.51</v>
      </c>
      <c r="AH30" s="65">
        <v>0</v>
      </c>
      <c r="AI30" s="65">
        <v>0</v>
      </c>
      <c r="AJ30" s="65">
        <v>0</v>
      </c>
      <c r="AK30" s="65">
        <v>0</v>
      </c>
      <c r="AL30" s="65">
        <v>0</v>
      </c>
      <c r="AM30" s="65">
        <v>0</v>
      </c>
      <c r="AN30" s="65">
        <v>0</v>
      </c>
      <c r="AO30" s="65">
        <v>0</v>
      </c>
    </row>
    <row r="31" spans="1:41" x14ac:dyDescent="0.2">
      <c r="A31" s="52" t="s">
        <v>278</v>
      </c>
      <c r="B31" s="52" t="s">
        <v>10</v>
      </c>
      <c r="C31" s="52" t="s">
        <v>1193</v>
      </c>
      <c r="D31" s="52" t="s">
        <v>255</v>
      </c>
      <c r="E31" s="65">
        <f>IF(B31="","",VLOOKUP(B31,dagsoorttabel1,2,FALSE))</f>
        <v>1</v>
      </c>
      <c r="F31" s="65">
        <v>1</v>
      </c>
      <c r="G31" s="65">
        <f>IF(prodnorm51&gt;0,1/ROUND(prodnorm51,4),0)</f>
        <v>0</v>
      </c>
      <c r="H31" s="67">
        <f>ROUND(dagwerk51,4+2)</f>
        <v>0</v>
      </c>
      <c r="I31" s="56">
        <f>ROUND(uurtarief51,2)</f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  <c r="AI31" s="65">
        <v>0</v>
      </c>
      <c r="AJ31" s="65">
        <v>0</v>
      </c>
      <c r="AK31" s="65">
        <v>0</v>
      </c>
      <c r="AL31" s="65">
        <v>0</v>
      </c>
      <c r="AM31" s="65">
        <v>5.04</v>
      </c>
      <c r="AN31" s="65">
        <v>0</v>
      </c>
      <c r="AO31" s="65">
        <v>0</v>
      </c>
    </row>
    <row r="32" spans="1:41" x14ac:dyDescent="0.2">
      <c r="A32" s="52" t="s">
        <v>280</v>
      </c>
      <c r="B32" s="52" t="s">
        <v>13</v>
      </c>
      <c r="C32" s="52" t="s">
        <v>1193</v>
      </c>
      <c r="D32" s="52" t="s">
        <v>255</v>
      </c>
      <c r="E32" s="65">
        <f>IF(B32="","",VLOOKUP(B32,dagsoorttabel1,2,FALSE))</f>
        <v>0.78431372549019607</v>
      </c>
      <c r="F32" s="65">
        <v>1</v>
      </c>
      <c r="G32" s="65">
        <f>IF(prodnorm52&gt;0,1/ROUND(prodnorm52,4),0)</f>
        <v>0</v>
      </c>
      <c r="H32" s="67">
        <f>ROUND(dagwerk52,4+2)</f>
        <v>0</v>
      </c>
      <c r="I32" s="56">
        <f>ROUND(uurtarief52,2)</f>
        <v>0</v>
      </c>
      <c r="J32" s="65">
        <v>770</v>
      </c>
      <c r="K32" s="65">
        <v>1344</v>
      </c>
      <c r="L32" s="65">
        <v>293</v>
      </c>
      <c r="M32" s="65">
        <v>293</v>
      </c>
      <c r="N32" s="65">
        <v>293</v>
      </c>
      <c r="O32" s="65">
        <v>293</v>
      </c>
      <c r="P32" s="65">
        <v>672</v>
      </c>
      <c r="Q32" s="65">
        <v>1056</v>
      </c>
      <c r="R32" s="65">
        <v>293</v>
      </c>
      <c r="S32" s="65">
        <v>780</v>
      </c>
      <c r="T32" s="65">
        <v>292</v>
      </c>
      <c r="U32" s="65">
        <v>0</v>
      </c>
      <c r="V32" s="65">
        <v>0</v>
      </c>
      <c r="W32" s="65">
        <v>0</v>
      </c>
      <c r="X32" s="65">
        <v>0</v>
      </c>
      <c r="Y32" s="65">
        <v>871</v>
      </c>
      <c r="Z32" s="65">
        <v>275.89</v>
      </c>
      <c r="AA32" s="65">
        <v>252</v>
      </c>
      <c r="AB32" s="65">
        <v>235.3</v>
      </c>
      <c r="AC32" s="65">
        <v>616.29999999999995</v>
      </c>
      <c r="AD32" s="65">
        <v>252</v>
      </c>
      <c r="AE32" s="65">
        <v>0</v>
      </c>
      <c r="AF32" s="65">
        <v>1338</v>
      </c>
      <c r="AG32" s="65">
        <v>1294.3</v>
      </c>
      <c r="AH32" s="65">
        <v>0</v>
      </c>
      <c r="AI32" s="65">
        <v>0</v>
      </c>
      <c r="AJ32" s="65">
        <v>0</v>
      </c>
      <c r="AK32" s="65">
        <v>0</v>
      </c>
      <c r="AL32" s="65">
        <v>0</v>
      </c>
      <c r="AM32" s="65">
        <v>1793.7</v>
      </c>
      <c r="AN32" s="65">
        <v>252</v>
      </c>
      <c r="AO32" s="65">
        <v>180</v>
      </c>
    </row>
    <row r="33" spans="1:41" x14ac:dyDescent="0.2">
      <c r="A33" s="52" t="s">
        <v>280</v>
      </c>
      <c r="B33" s="52" t="s">
        <v>11</v>
      </c>
      <c r="C33" s="52" t="s">
        <v>1193</v>
      </c>
      <c r="D33" s="52" t="s">
        <v>255</v>
      </c>
      <c r="E33" s="65">
        <f>IF(B33="","",VLOOKUP(B33,dagsoorttabel1,2,FALSE))</f>
        <v>0.90196078431372551</v>
      </c>
      <c r="F33" s="65">
        <v>1</v>
      </c>
      <c r="G33" s="65">
        <f>IF(prodnorm53&gt;0,1/ROUND(prodnorm53,4),0)</f>
        <v>0</v>
      </c>
      <c r="H33" s="67">
        <f>ROUND(dagwerk53,4+2)</f>
        <v>0</v>
      </c>
      <c r="I33" s="56">
        <f>ROUND(uurtarief53,2)</f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1330</v>
      </c>
      <c r="AF33" s="65">
        <v>0</v>
      </c>
      <c r="AG33" s="65">
        <v>0</v>
      </c>
      <c r="AH33" s="65">
        <v>0</v>
      </c>
      <c r="AI33" s="65">
        <v>0</v>
      </c>
      <c r="AJ33" s="65">
        <v>0</v>
      </c>
      <c r="AK33" s="65">
        <v>0</v>
      </c>
      <c r="AL33" s="65">
        <v>0</v>
      </c>
      <c r="AM33" s="65">
        <v>0</v>
      </c>
      <c r="AN33" s="65">
        <v>0</v>
      </c>
      <c r="AO33" s="65">
        <v>0</v>
      </c>
    </row>
    <row r="34" spans="1:41" x14ac:dyDescent="0.2">
      <c r="A34" s="52" t="s">
        <v>280</v>
      </c>
      <c r="B34" s="52" t="s">
        <v>22</v>
      </c>
      <c r="C34" s="52" t="s">
        <v>1193</v>
      </c>
      <c r="D34" s="52" t="s">
        <v>255</v>
      </c>
      <c r="E34" s="65">
        <f>IF(B34="","",VLOOKUP(B34,dagsoorttabel1,2,FALSE))</f>
        <v>0.15686274509803921</v>
      </c>
      <c r="F34" s="65">
        <v>1</v>
      </c>
      <c r="G34" s="65">
        <f>IF(prodnorm54&gt;0,1/ROUND(prodnorm54,4),0)</f>
        <v>0</v>
      </c>
      <c r="H34" s="67">
        <f>ROUND(dagwerk54,4+2)</f>
        <v>0</v>
      </c>
      <c r="I34" s="56">
        <f>ROUND(uurtarief54,2)</f>
        <v>0</v>
      </c>
      <c r="J34" s="65">
        <v>113.28</v>
      </c>
      <c r="K34" s="65">
        <v>208</v>
      </c>
      <c r="L34" s="65">
        <v>0</v>
      </c>
      <c r="M34" s="65">
        <v>0</v>
      </c>
      <c r="N34" s="65">
        <v>0</v>
      </c>
      <c r="O34" s="65">
        <v>0</v>
      </c>
      <c r="P34" s="65">
        <v>78</v>
      </c>
      <c r="Q34" s="65">
        <v>131</v>
      </c>
      <c r="R34" s="65">
        <v>0</v>
      </c>
      <c r="S34" s="65">
        <v>42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129.80000000000001</v>
      </c>
      <c r="Z34" s="65">
        <v>0</v>
      </c>
      <c r="AA34" s="65">
        <v>39.67</v>
      </c>
      <c r="AB34" s="65">
        <v>59.4</v>
      </c>
      <c r="AC34" s="65">
        <v>141.6</v>
      </c>
      <c r="AD34" s="65">
        <v>41</v>
      </c>
      <c r="AE34" s="65">
        <v>0</v>
      </c>
      <c r="AF34" s="65">
        <v>0</v>
      </c>
      <c r="AG34" s="65">
        <v>0</v>
      </c>
      <c r="AH34" s="65">
        <v>0</v>
      </c>
      <c r="AI34" s="65">
        <v>0</v>
      </c>
      <c r="AJ34" s="65">
        <v>0</v>
      </c>
      <c r="AK34" s="65">
        <v>0</v>
      </c>
      <c r="AL34" s="65">
        <v>0</v>
      </c>
      <c r="AM34" s="65">
        <v>184.60999999999999</v>
      </c>
      <c r="AN34" s="65">
        <v>41</v>
      </c>
      <c r="AO34" s="65">
        <v>54</v>
      </c>
    </row>
    <row r="35" spans="1:41" x14ac:dyDescent="0.2">
      <c r="A35" s="52" t="s">
        <v>282</v>
      </c>
      <c r="B35" s="52" t="s">
        <v>13</v>
      </c>
      <c r="C35" s="52" t="s">
        <v>1193</v>
      </c>
      <c r="D35" s="52" t="s">
        <v>255</v>
      </c>
      <c r="E35" s="65">
        <f>IF(B35="","",VLOOKUP(B35,dagsoorttabel1,2,FALSE))</f>
        <v>0.78431372549019607</v>
      </c>
      <c r="F35" s="65">
        <v>1</v>
      </c>
      <c r="G35" s="65">
        <f>IF(prodnorm55&gt;0,1/ROUND(prodnorm55,4),0)</f>
        <v>0</v>
      </c>
      <c r="H35" s="67">
        <f>ROUND(dagwerk55,4+2)</f>
        <v>0</v>
      </c>
      <c r="I35" s="56">
        <f>ROUND(uurtarief55,2)</f>
        <v>0</v>
      </c>
      <c r="J35" s="65">
        <v>770</v>
      </c>
      <c r="K35" s="65">
        <v>1344</v>
      </c>
      <c r="L35" s="65">
        <v>0</v>
      </c>
      <c r="M35" s="65">
        <v>0</v>
      </c>
      <c r="N35" s="65">
        <v>0</v>
      </c>
      <c r="O35" s="65">
        <v>0</v>
      </c>
      <c r="P35" s="65">
        <v>672</v>
      </c>
      <c r="Q35" s="65">
        <v>1056</v>
      </c>
      <c r="R35" s="65">
        <v>0</v>
      </c>
      <c r="S35" s="65">
        <v>780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871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1338</v>
      </c>
      <c r="AG35" s="65">
        <v>1294.3</v>
      </c>
      <c r="AH35" s="65">
        <v>0</v>
      </c>
      <c r="AI35" s="65">
        <v>0</v>
      </c>
      <c r="AJ35" s="65">
        <v>0</v>
      </c>
      <c r="AK35" s="65">
        <v>0</v>
      </c>
      <c r="AL35" s="65">
        <v>0</v>
      </c>
      <c r="AM35" s="65">
        <v>0</v>
      </c>
      <c r="AN35" s="65">
        <v>0</v>
      </c>
      <c r="AO35" s="65">
        <v>0</v>
      </c>
    </row>
    <row r="36" spans="1:41" x14ac:dyDescent="0.2">
      <c r="A36" s="52" t="s">
        <v>282</v>
      </c>
      <c r="B36" s="52" t="s">
        <v>22</v>
      </c>
      <c r="C36" s="52" t="s">
        <v>1193</v>
      </c>
      <c r="D36" s="52" t="s">
        <v>255</v>
      </c>
      <c r="E36" s="65">
        <f>IF(B36="","",VLOOKUP(B36,dagsoorttabel1,2,FALSE))</f>
        <v>0.15686274509803921</v>
      </c>
      <c r="F36" s="65">
        <v>1</v>
      </c>
      <c r="G36" s="65">
        <f>IF(prodnorm56&gt;0,1/ROUND(prodnorm56,4),0)</f>
        <v>0</v>
      </c>
      <c r="H36" s="67">
        <f>ROUND(dagwerk56,4+2)</f>
        <v>0</v>
      </c>
      <c r="I36" s="56">
        <f>ROUND(uurtarief56,2)</f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28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65">
        <v>0</v>
      </c>
      <c r="AJ36" s="65">
        <v>0</v>
      </c>
      <c r="AK36" s="65">
        <v>0</v>
      </c>
      <c r="AL36" s="65">
        <v>0</v>
      </c>
      <c r="AM36" s="65">
        <v>0</v>
      </c>
      <c r="AN36" s="65">
        <v>0</v>
      </c>
      <c r="AO36" s="65">
        <v>0</v>
      </c>
    </row>
    <row r="37" spans="1:41" x14ac:dyDescent="0.2">
      <c r="A37" s="52" t="s">
        <v>284</v>
      </c>
      <c r="B37" s="52" t="s">
        <v>18</v>
      </c>
      <c r="C37" s="52" t="s">
        <v>1193</v>
      </c>
      <c r="D37" s="52" t="s">
        <v>255</v>
      </c>
      <c r="E37" s="65">
        <f>IF(B37="","",VLOOKUP(B37,dagsoorttabel1,2,FALSE))</f>
        <v>0.4</v>
      </c>
      <c r="F37" s="65">
        <v>1</v>
      </c>
      <c r="G37" s="65">
        <f>IF(prodnorm57&gt;0,1/ROUND(prodnorm57,4),0)</f>
        <v>0</v>
      </c>
      <c r="H37" s="67">
        <f>ROUND(dagwerk57,4+2)</f>
        <v>0</v>
      </c>
      <c r="I37" s="56">
        <f>ROUND(uurtarief57,2)</f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65">
        <v>0</v>
      </c>
      <c r="AJ37" s="65">
        <v>0</v>
      </c>
      <c r="AK37" s="65">
        <v>0</v>
      </c>
      <c r="AL37" s="65">
        <v>0</v>
      </c>
      <c r="AM37" s="65">
        <v>29.75</v>
      </c>
      <c r="AN37" s="65">
        <v>0</v>
      </c>
      <c r="AO37" s="65">
        <v>0</v>
      </c>
    </row>
    <row r="38" spans="1:41" x14ac:dyDescent="0.2">
      <c r="A38" s="52" t="s">
        <v>284</v>
      </c>
      <c r="B38" s="52" t="s">
        <v>13</v>
      </c>
      <c r="C38" s="52" t="s">
        <v>1193</v>
      </c>
      <c r="D38" s="52" t="s">
        <v>255</v>
      </c>
      <c r="E38" s="65">
        <f>IF(B38="","",VLOOKUP(B38,dagsoorttabel1,2,FALSE))</f>
        <v>0.78431372549019607</v>
      </c>
      <c r="F38" s="65">
        <v>1</v>
      </c>
      <c r="G38" s="65">
        <f>IF(prodnorm58&gt;0,1/ROUND(prodnorm58,4),0)</f>
        <v>0</v>
      </c>
      <c r="H38" s="67">
        <f>ROUND(dagwerk58,4+2)</f>
        <v>0</v>
      </c>
      <c r="I38" s="56">
        <f>ROUND(uurtarief58,2)</f>
        <v>0</v>
      </c>
      <c r="J38" s="65">
        <v>101.12</v>
      </c>
      <c r="K38" s="65">
        <v>196</v>
      </c>
      <c r="L38" s="65">
        <v>69.3</v>
      </c>
      <c r="M38" s="65">
        <v>69.3</v>
      </c>
      <c r="N38" s="65">
        <v>69.3</v>
      </c>
      <c r="O38" s="65">
        <v>69.3</v>
      </c>
      <c r="P38" s="65">
        <v>84.5</v>
      </c>
      <c r="Q38" s="65">
        <v>118.5</v>
      </c>
      <c r="R38" s="65">
        <v>69.3</v>
      </c>
      <c r="S38" s="65">
        <v>84</v>
      </c>
      <c r="T38" s="65">
        <v>42</v>
      </c>
      <c r="U38" s="65">
        <v>0</v>
      </c>
      <c r="V38" s="65">
        <v>0</v>
      </c>
      <c r="W38" s="65">
        <v>0</v>
      </c>
      <c r="X38" s="65">
        <v>0</v>
      </c>
      <c r="Y38" s="65">
        <v>110.9</v>
      </c>
      <c r="Z38" s="65">
        <v>50.300000000000004</v>
      </c>
      <c r="AA38" s="65">
        <v>65.180000000000007</v>
      </c>
      <c r="AB38" s="65">
        <v>47.9</v>
      </c>
      <c r="AC38" s="65">
        <v>117.9</v>
      </c>
      <c r="AD38" s="65">
        <v>69.3</v>
      </c>
      <c r="AE38" s="65">
        <v>84.5</v>
      </c>
      <c r="AF38" s="65">
        <v>164.76999999999998</v>
      </c>
      <c r="AG38" s="65">
        <v>171.56000000000003</v>
      </c>
      <c r="AH38" s="65">
        <v>0</v>
      </c>
      <c r="AI38" s="65">
        <v>0</v>
      </c>
      <c r="AJ38" s="65">
        <v>0</v>
      </c>
      <c r="AK38" s="65">
        <v>0</v>
      </c>
      <c r="AL38" s="65">
        <v>0</v>
      </c>
      <c r="AM38" s="65">
        <v>180.5</v>
      </c>
      <c r="AN38" s="65">
        <v>69.3</v>
      </c>
      <c r="AO38" s="65">
        <v>30</v>
      </c>
    </row>
    <row r="39" spans="1:41" x14ac:dyDescent="0.2">
      <c r="A39" s="52" t="s">
        <v>284</v>
      </c>
      <c r="B39" s="52" t="s">
        <v>10</v>
      </c>
      <c r="C39" s="52" t="s">
        <v>1193</v>
      </c>
      <c r="D39" s="52" t="s">
        <v>255</v>
      </c>
      <c r="E39" s="65">
        <f>IF(B39="","",VLOOKUP(B39,dagsoorttabel1,2,FALSE))</f>
        <v>1</v>
      </c>
      <c r="F39" s="65">
        <v>1</v>
      </c>
      <c r="G39" s="65">
        <f>IF(prodnorm59&gt;0,1/ROUND(prodnorm59,4),0)</f>
        <v>0</v>
      </c>
      <c r="H39" s="67">
        <f>ROUND(dagwerk59,4+2)</f>
        <v>0</v>
      </c>
      <c r="I39" s="56">
        <f>ROUND(uurtarief59,2)</f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24.2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65">
        <v>104.44</v>
      </c>
      <c r="AJ39" s="65">
        <v>0</v>
      </c>
      <c r="AK39" s="65">
        <v>0</v>
      </c>
      <c r="AL39" s="65">
        <v>0</v>
      </c>
      <c r="AM39" s="65">
        <v>0</v>
      </c>
      <c r="AN39" s="65">
        <v>0</v>
      </c>
      <c r="AO39" s="65">
        <v>0</v>
      </c>
    </row>
    <row r="40" spans="1:41" x14ac:dyDescent="0.2">
      <c r="A40" s="52" t="s">
        <v>284</v>
      </c>
      <c r="B40" s="52" t="s">
        <v>21</v>
      </c>
      <c r="C40" s="52" t="s">
        <v>1193</v>
      </c>
      <c r="D40" s="52" t="s">
        <v>255</v>
      </c>
      <c r="E40" s="65">
        <f>IF(B40="","",VLOOKUP(B40,dagsoorttabel1,2,FALSE))</f>
        <v>0.2</v>
      </c>
      <c r="F40" s="65">
        <v>1</v>
      </c>
      <c r="G40" s="65">
        <f>IF(prodnorm60&gt;0,1/ROUND(prodnorm60,4),0)</f>
        <v>0</v>
      </c>
      <c r="H40" s="67">
        <f>ROUND(dagwerk60,4+2)</f>
        <v>0</v>
      </c>
      <c r="I40" s="56">
        <f>ROUND(uurtarief60,2)</f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5">
        <v>0</v>
      </c>
      <c r="Q40" s="65">
        <v>0</v>
      </c>
      <c r="R40" s="65">
        <v>0</v>
      </c>
      <c r="S40" s="65">
        <v>0</v>
      </c>
      <c r="T40" s="65">
        <v>0</v>
      </c>
      <c r="U40" s="65">
        <v>0</v>
      </c>
      <c r="V40" s="65">
        <v>0</v>
      </c>
      <c r="W40" s="65">
        <v>0</v>
      </c>
      <c r="X40" s="65">
        <v>0</v>
      </c>
      <c r="Y40" s="65">
        <v>0</v>
      </c>
      <c r="Z40" s="65">
        <v>0</v>
      </c>
      <c r="AA40" s="65">
        <v>0</v>
      </c>
      <c r="AB40" s="65">
        <v>0</v>
      </c>
      <c r="AC40" s="65">
        <v>0</v>
      </c>
      <c r="AD40" s="65">
        <v>0</v>
      </c>
      <c r="AE40" s="65">
        <v>0</v>
      </c>
      <c r="AF40" s="65">
        <v>0</v>
      </c>
      <c r="AG40" s="65">
        <v>0</v>
      </c>
      <c r="AH40" s="65">
        <v>0</v>
      </c>
      <c r="AI40" s="65">
        <v>0</v>
      </c>
      <c r="AJ40" s="65">
        <v>0</v>
      </c>
      <c r="AK40" s="65">
        <v>0</v>
      </c>
      <c r="AL40" s="65">
        <v>0</v>
      </c>
      <c r="AM40" s="65">
        <v>19.91</v>
      </c>
      <c r="AN40" s="65">
        <v>0</v>
      </c>
      <c r="AO40" s="65">
        <v>0</v>
      </c>
    </row>
    <row r="41" spans="1:41" x14ac:dyDescent="0.2">
      <c r="A41" s="52" t="s">
        <v>286</v>
      </c>
      <c r="B41" s="52" t="s">
        <v>13</v>
      </c>
      <c r="C41" s="52" t="s">
        <v>1193</v>
      </c>
      <c r="D41" s="52" t="s">
        <v>255</v>
      </c>
      <c r="E41" s="65">
        <f>IF(B41="","",VLOOKUP(B41,dagsoorttabel1,2,FALSE))</f>
        <v>0.78431372549019607</v>
      </c>
      <c r="F41" s="65">
        <v>1</v>
      </c>
      <c r="G41" s="65">
        <f>IF(prodnorm61&gt;0,1/ROUND(prodnorm61,4),0)</f>
        <v>0</v>
      </c>
      <c r="H41" s="67">
        <f>ROUND(dagwerk61,4+2)</f>
        <v>0</v>
      </c>
      <c r="I41" s="56">
        <f>ROUND(uurtarief61,2)</f>
        <v>0</v>
      </c>
      <c r="J41" s="65">
        <v>101.12</v>
      </c>
      <c r="K41" s="65">
        <v>196</v>
      </c>
      <c r="L41" s="65">
        <v>0</v>
      </c>
      <c r="M41" s="65">
        <v>0</v>
      </c>
      <c r="N41" s="65">
        <v>0</v>
      </c>
      <c r="O41" s="65">
        <v>0</v>
      </c>
      <c r="P41" s="65">
        <v>84.5</v>
      </c>
      <c r="Q41" s="65">
        <v>118.5</v>
      </c>
      <c r="R41" s="65">
        <v>0</v>
      </c>
      <c r="S41" s="65">
        <v>76</v>
      </c>
      <c r="T41" s="65">
        <v>0</v>
      </c>
      <c r="U41" s="65">
        <v>0</v>
      </c>
      <c r="V41" s="65">
        <v>0</v>
      </c>
      <c r="W41" s="65">
        <v>0</v>
      </c>
      <c r="X41" s="65">
        <v>0</v>
      </c>
      <c r="Y41" s="65">
        <v>110.9</v>
      </c>
      <c r="Z41" s="65">
        <v>0</v>
      </c>
      <c r="AA41" s="65">
        <v>0</v>
      </c>
      <c r="AB41" s="65">
        <v>0</v>
      </c>
      <c r="AC41" s="65">
        <v>0</v>
      </c>
      <c r="AD41" s="65">
        <v>0</v>
      </c>
      <c r="AE41" s="65">
        <v>0</v>
      </c>
      <c r="AF41" s="65">
        <v>164.76999999999998</v>
      </c>
      <c r="AG41" s="65">
        <v>171.56000000000003</v>
      </c>
      <c r="AH41" s="65">
        <v>0</v>
      </c>
      <c r="AI41" s="65">
        <v>0</v>
      </c>
      <c r="AJ41" s="65">
        <v>0</v>
      </c>
      <c r="AK41" s="65">
        <v>0</v>
      </c>
      <c r="AL41" s="65">
        <v>0</v>
      </c>
      <c r="AM41" s="65">
        <v>0</v>
      </c>
      <c r="AN41" s="65">
        <v>0</v>
      </c>
      <c r="AO41" s="65">
        <v>0</v>
      </c>
    </row>
    <row r="42" spans="1:41" x14ac:dyDescent="0.2">
      <c r="A42" s="52" t="s">
        <v>288</v>
      </c>
      <c r="B42" s="52" t="s">
        <v>13</v>
      </c>
      <c r="C42" s="52" t="s">
        <v>1193</v>
      </c>
      <c r="D42" s="52" t="s">
        <v>255</v>
      </c>
      <c r="E42" s="65">
        <f>IF(B42="","",VLOOKUP(B42,dagsoorttabel1,2,FALSE))</f>
        <v>0.78431372549019607</v>
      </c>
      <c r="F42" s="65">
        <v>1</v>
      </c>
      <c r="G42" s="65">
        <f>IF(prodnorm62&gt;0,1/ROUND(prodnorm62,4),0)</f>
        <v>0</v>
      </c>
      <c r="H42" s="67">
        <f>ROUND(dagwerk62,4+2)</f>
        <v>0</v>
      </c>
      <c r="I42" s="56">
        <f>ROUND(uurtarief62,2)</f>
        <v>0</v>
      </c>
      <c r="J42" s="65">
        <v>0</v>
      </c>
      <c r="K42" s="65">
        <v>0</v>
      </c>
      <c r="L42" s="65">
        <v>0</v>
      </c>
      <c r="M42" s="65">
        <v>0</v>
      </c>
      <c r="N42" s="65">
        <v>0</v>
      </c>
      <c r="O42" s="65">
        <v>0</v>
      </c>
      <c r="P42" s="65">
        <v>0</v>
      </c>
      <c r="Q42" s="65">
        <v>0</v>
      </c>
      <c r="R42" s="65">
        <v>0</v>
      </c>
      <c r="S42" s="65">
        <v>0</v>
      </c>
      <c r="T42" s="65">
        <v>0</v>
      </c>
      <c r="U42" s="65">
        <v>1725.4000000000003</v>
      </c>
      <c r="V42" s="65">
        <v>0</v>
      </c>
      <c r="W42" s="65">
        <v>0</v>
      </c>
      <c r="X42" s="65">
        <v>0</v>
      </c>
      <c r="Y42" s="65">
        <v>62.9</v>
      </c>
      <c r="Z42" s="65">
        <v>0</v>
      </c>
      <c r="AA42" s="65">
        <v>0</v>
      </c>
      <c r="AB42" s="65">
        <v>0</v>
      </c>
      <c r="AC42" s="65">
        <v>0</v>
      </c>
      <c r="AD42" s="65">
        <v>0</v>
      </c>
      <c r="AE42" s="65">
        <v>0</v>
      </c>
      <c r="AF42" s="65">
        <v>0</v>
      </c>
      <c r="AG42" s="65">
        <v>0</v>
      </c>
      <c r="AH42" s="65">
        <v>0</v>
      </c>
      <c r="AI42" s="65">
        <v>0</v>
      </c>
      <c r="AJ42" s="65">
        <v>0</v>
      </c>
      <c r="AK42" s="65">
        <v>0</v>
      </c>
      <c r="AL42" s="65">
        <v>0</v>
      </c>
      <c r="AM42" s="65">
        <v>0</v>
      </c>
      <c r="AN42" s="65">
        <v>0</v>
      </c>
      <c r="AO42" s="65">
        <v>0</v>
      </c>
    </row>
    <row r="43" spans="1:41" x14ac:dyDescent="0.2">
      <c r="A43" s="52" t="s">
        <v>288</v>
      </c>
      <c r="B43" s="52" t="s">
        <v>10</v>
      </c>
      <c r="C43" s="52" t="s">
        <v>1193</v>
      </c>
      <c r="D43" s="52" t="s">
        <v>255</v>
      </c>
      <c r="E43" s="65">
        <f>IF(B43="","",VLOOKUP(B43,dagsoorttabel1,2,FALSE))</f>
        <v>1</v>
      </c>
      <c r="F43" s="65">
        <v>1</v>
      </c>
      <c r="G43" s="65">
        <f>IF(prodnorm63&gt;0,1/ROUND(prodnorm63,4),0)</f>
        <v>0</v>
      </c>
      <c r="H43" s="67">
        <f>ROUND(dagwerk63,4+2)</f>
        <v>0</v>
      </c>
      <c r="I43" s="56">
        <f>ROUND(uurtarief63,2)</f>
        <v>0</v>
      </c>
      <c r="J43" s="65">
        <v>0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65">
        <v>0</v>
      </c>
      <c r="X43" s="65">
        <v>68.8</v>
      </c>
      <c r="Y43" s="65">
        <v>0</v>
      </c>
      <c r="Z43" s="65">
        <v>0</v>
      </c>
      <c r="AA43" s="65">
        <v>0</v>
      </c>
      <c r="AB43" s="65">
        <v>0</v>
      </c>
      <c r="AC43" s="65">
        <v>0</v>
      </c>
      <c r="AD43" s="65">
        <v>0</v>
      </c>
      <c r="AE43" s="65">
        <v>0</v>
      </c>
      <c r="AF43" s="65">
        <v>0</v>
      </c>
      <c r="AG43" s="65">
        <v>0</v>
      </c>
      <c r="AH43" s="65">
        <v>0</v>
      </c>
      <c r="AI43" s="65">
        <v>0</v>
      </c>
      <c r="AJ43" s="65">
        <v>0</v>
      </c>
      <c r="AK43" s="65">
        <v>0</v>
      </c>
      <c r="AL43" s="65">
        <v>0</v>
      </c>
      <c r="AM43" s="65">
        <v>0</v>
      </c>
      <c r="AN43" s="65">
        <v>0</v>
      </c>
      <c r="AO43" s="65">
        <v>0</v>
      </c>
    </row>
    <row r="44" spans="1:41" x14ac:dyDescent="0.2">
      <c r="A44" s="52" t="s">
        <v>290</v>
      </c>
      <c r="B44" s="52" t="s">
        <v>13</v>
      </c>
      <c r="C44" s="52" t="s">
        <v>1193</v>
      </c>
      <c r="D44" s="52" t="s">
        <v>255</v>
      </c>
      <c r="E44" s="65">
        <f>IF(B44="","",VLOOKUP(B44,dagsoorttabel1,2,FALSE))</f>
        <v>0.78431372549019607</v>
      </c>
      <c r="F44" s="65">
        <v>1</v>
      </c>
      <c r="G44" s="65">
        <f>IF(prodnorm64&gt;0,1/ROUND(prodnorm64,4),0)</f>
        <v>0</v>
      </c>
      <c r="H44" s="67">
        <f>ROUND(dagwerk64,4+2)</f>
        <v>0</v>
      </c>
      <c r="I44" s="56">
        <f>ROUND(uurtarief64,2)</f>
        <v>0</v>
      </c>
      <c r="J44" s="65">
        <v>0</v>
      </c>
      <c r="K44" s="65">
        <v>0</v>
      </c>
      <c r="L44" s="65">
        <v>0</v>
      </c>
      <c r="M44" s="65">
        <v>0</v>
      </c>
      <c r="N44" s="65">
        <v>0</v>
      </c>
      <c r="O44" s="65">
        <v>0</v>
      </c>
      <c r="P44" s="65">
        <v>0</v>
      </c>
      <c r="Q44" s="65">
        <v>0</v>
      </c>
      <c r="R44" s="65">
        <v>0</v>
      </c>
      <c r="S44" s="65">
        <v>0</v>
      </c>
      <c r="T44" s="65">
        <v>0</v>
      </c>
      <c r="U44" s="65">
        <v>0</v>
      </c>
      <c r="V44" s="65">
        <v>0</v>
      </c>
      <c r="W44" s="65">
        <v>0</v>
      </c>
      <c r="X44" s="65">
        <v>0</v>
      </c>
      <c r="Y44" s="65">
        <v>69.400000000000006</v>
      </c>
      <c r="Z44" s="65">
        <v>0</v>
      </c>
      <c r="AA44" s="65">
        <v>0</v>
      </c>
      <c r="AB44" s="65">
        <v>0</v>
      </c>
      <c r="AC44" s="65">
        <v>0</v>
      </c>
      <c r="AD44" s="65">
        <v>0</v>
      </c>
      <c r="AE44" s="65">
        <v>0</v>
      </c>
      <c r="AF44" s="65">
        <v>0</v>
      </c>
      <c r="AG44" s="65">
        <v>0</v>
      </c>
      <c r="AH44" s="65">
        <v>0</v>
      </c>
      <c r="AI44" s="65">
        <v>0</v>
      </c>
      <c r="AJ44" s="65">
        <v>0</v>
      </c>
      <c r="AK44" s="65">
        <v>0</v>
      </c>
      <c r="AL44" s="65">
        <v>0</v>
      </c>
      <c r="AM44" s="65">
        <v>0</v>
      </c>
      <c r="AN44" s="65">
        <v>0</v>
      </c>
      <c r="AO44" s="65">
        <v>0</v>
      </c>
    </row>
    <row r="45" spans="1:41" x14ac:dyDescent="0.2">
      <c r="A45" s="52" t="s">
        <v>292</v>
      </c>
      <c r="B45" s="52" t="s">
        <v>10</v>
      </c>
      <c r="C45" s="52" t="s">
        <v>1193</v>
      </c>
      <c r="D45" s="52" t="s">
        <v>255</v>
      </c>
      <c r="E45" s="65">
        <f>IF(B45="","",VLOOKUP(B45,dagsoorttabel1,2,FALSE))</f>
        <v>1</v>
      </c>
      <c r="F45" s="65">
        <v>1</v>
      </c>
      <c r="G45" s="65">
        <f>IF(prodnorm65&gt;0,1/ROUND(prodnorm65,4),0)</f>
        <v>0</v>
      </c>
      <c r="H45" s="67">
        <f>ROUND(dagwerk65,4+2)</f>
        <v>0</v>
      </c>
      <c r="I45" s="56">
        <f>ROUND(uurtarief65,2)</f>
        <v>0</v>
      </c>
      <c r="J45" s="65">
        <v>0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0</v>
      </c>
      <c r="R45" s="65">
        <v>0</v>
      </c>
      <c r="S45" s="65">
        <v>0</v>
      </c>
      <c r="T45" s="65">
        <v>0</v>
      </c>
      <c r="U45" s="65">
        <v>0</v>
      </c>
      <c r="V45" s="65">
        <v>118</v>
      </c>
      <c r="W45" s="65">
        <v>0</v>
      </c>
      <c r="X45" s="65">
        <v>0</v>
      </c>
      <c r="Y45" s="65">
        <v>0</v>
      </c>
      <c r="Z45" s="65">
        <v>0</v>
      </c>
      <c r="AA45" s="65">
        <v>0</v>
      </c>
      <c r="AB45" s="65">
        <v>0</v>
      </c>
      <c r="AC45" s="65">
        <v>0</v>
      </c>
      <c r="AD45" s="65">
        <v>0</v>
      </c>
      <c r="AE45" s="65">
        <v>0</v>
      </c>
      <c r="AF45" s="65">
        <v>0</v>
      </c>
      <c r="AG45" s="65">
        <v>0</v>
      </c>
      <c r="AH45" s="65">
        <v>0</v>
      </c>
      <c r="AI45" s="65">
        <v>0</v>
      </c>
      <c r="AJ45" s="65">
        <v>0</v>
      </c>
      <c r="AK45" s="65">
        <v>0</v>
      </c>
      <c r="AL45" s="65">
        <v>0</v>
      </c>
      <c r="AM45" s="65">
        <v>0</v>
      </c>
      <c r="AN45" s="65">
        <v>0</v>
      </c>
      <c r="AO45" s="65">
        <v>0</v>
      </c>
    </row>
    <row r="46" spans="1:41" x14ac:dyDescent="0.2">
      <c r="A46" s="52" t="s">
        <v>294</v>
      </c>
      <c r="B46" s="52" t="s">
        <v>13</v>
      </c>
      <c r="C46" s="52" t="s">
        <v>1193</v>
      </c>
      <c r="D46" s="52" t="s">
        <v>255</v>
      </c>
      <c r="E46" s="65">
        <f>IF(B46="","",VLOOKUP(B46,dagsoorttabel1,2,FALSE))</f>
        <v>0.78431372549019607</v>
      </c>
      <c r="F46" s="65">
        <v>1</v>
      </c>
      <c r="G46" s="65">
        <f>IF(prodnorm66&gt;0,1/ROUND(prodnorm66,4),0)</f>
        <v>0</v>
      </c>
      <c r="H46" s="67">
        <f>ROUND(dagwerk66,4+2)</f>
        <v>0</v>
      </c>
      <c r="I46" s="56">
        <f>ROUND(uurtarief66,2)</f>
        <v>0</v>
      </c>
      <c r="J46" s="65">
        <v>0</v>
      </c>
      <c r="K46" s="65">
        <v>0</v>
      </c>
      <c r="L46" s="65">
        <v>0</v>
      </c>
      <c r="M46" s="65">
        <v>0</v>
      </c>
      <c r="N46" s="65">
        <v>0</v>
      </c>
      <c r="O46" s="65">
        <v>0</v>
      </c>
      <c r="P46" s="65">
        <v>0</v>
      </c>
      <c r="Q46" s="65">
        <v>0</v>
      </c>
      <c r="R46" s="65">
        <v>0</v>
      </c>
      <c r="S46" s="65">
        <v>0</v>
      </c>
      <c r="T46" s="65">
        <v>0</v>
      </c>
      <c r="U46" s="65">
        <v>19.5</v>
      </c>
      <c r="V46" s="65">
        <v>0</v>
      </c>
      <c r="W46" s="65">
        <v>0</v>
      </c>
      <c r="X46" s="65">
        <v>0</v>
      </c>
      <c r="Y46" s="65">
        <v>19.100000000000001</v>
      </c>
      <c r="Z46" s="65">
        <v>0</v>
      </c>
      <c r="AA46" s="65">
        <v>0</v>
      </c>
      <c r="AB46" s="65">
        <v>0</v>
      </c>
      <c r="AC46" s="65">
        <v>0</v>
      </c>
      <c r="AD46" s="65">
        <v>0</v>
      </c>
      <c r="AE46" s="65">
        <v>0</v>
      </c>
      <c r="AF46" s="65">
        <v>0</v>
      </c>
      <c r="AG46" s="65">
        <v>0</v>
      </c>
      <c r="AH46" s="65">
        <v>0</v>
      </c>
      <c r="AI46" s="65">
        <v>0</v>
      </c>
      <c r="AJ46" s="65">
        <v>0</v>
      </c>
      <c r="AK46" s="65">
        <v>0</v>
      </c>
      <c r="AL46" s="65">
        <v>0</v>
      </c>
      <c r="AM46" s="65">
        <v>0</v>
      </c>
      <c r="AN46" s="65">
        <v>0</v>
      </c>
      <c r="AO46" s="65">
        <v>0</v>
      </c>
    </row>
    <row r="47" spans="1:41" x14ac:dyDescent="0.2">
      <c r="A47" s="52" t="s">
        <v>294</v>
      </c>
      <c r="B47" s="52" t="s">
        <v>10</v>
      </c>
      <c r="C47" s="52" t="s">
        <v>1193</v>
      </c>
      <c r="D47" s="52" t="s">
        <v>255</v>
      </c>
      <c r="E47" s="65">
        <f>IF(B47="","",VLOOKUP(B47,dagsoorttabel1,2,FALSE))</f>
        <v>1</v>
      </c>
      <c r="F47" s="65">
        <v>1</v>
      </c>
      <c r="G47" s="65">
        <f>IF(prodnorm67&gt;0,1/ROUND(prodnorm67,4),0)</f>
        <v>0</v>
      </c>
      <c r="H47" s="67">
        <f>ROUND(dagwerk67,4+2)</f>
        <v>0</v>
      </c>
      <c r="I47" s="56">
        <f>ROUND(uurtarief67,2)</f>
        <v>0</v>
      </c>
      <c r="J47" s="65">
        <v>0</v>
      </c>
      <c r="K47" s="65">
        <v>0</v>
      </c>
      <c r="L47" s="65">
        <v>0</v>
      </c>
      <c r="M47" s="65">
        <v>0</v>
      </c>
      <c r="N47" s="65">
        <v>0</v>
      </c>
      <c r="O47" s="65">
        <v>0</v>
      </c>
      <c r="P47" s="65">
        <v>0</v>
      </c>
      <c r="Q47" s="65">
        <v>0</v>
      </c>
      <c r="R47" s="65">
        <v>0</v>
      </c>
      <c r="S47" s="65">
        <v>0</v>
      </c>
      <c r="T47" s="65">
        <v>0</v>
      </c>
      <c r="U47" s="65">
        <v>0</v>
      </c>
      <c r="V47" s="65">
        <v>19</v>
      </c>
      <c r="W47" s="65">
        <v>0</v>
      </c>
      <c r="X47" s="65">
        <v>38.1</v>
      </c>
      <c r="Y47" s="65">
        <v>0</v>
      </c>
      <c r="Z47" s="65">
        <v>0</v>
      </c>
      <c r="AA47" s="65">
        <v>0</v>
      </c>
      <c r="AB47" s="65">
        <v>0</v>
      </c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5">
        <v>21.3</v>
      </c>
      <c r="AI47" s="65">
        <v>0</v>
      </c>
      <c r="AJ47" s="65">
        <v>7.8</v>
      </c>
      <c r="AK47" s="65">
        <v>9.6999999999999993</v>
      </c>
      <c r="AL47" s="65">
        <v>4.74</v>
      </c>
      <c r="AM47" s="65">
        <v>0</v>
      </c>
      <c r="AN47" s="65">
        <v>0</v>
      </c>
      <c r="AO47" s="65">
        <v>0</v>
      </c>
    </row>
    <row r="48" spans="1:41" x14ac:dyDescent="0.2">
      <c r="A48" s="52" t="s">
        <v>296</v>
      </c>
      <c r="B48" s="52" t="s">
        <v>13</v>
      </c>
      <c r="C48" s="52" t="s">
        <v>1193</v>
      </c>
      <c r="D48" s="52" t="s">
        <v>255</v>
      </c>
      <c r="E48" s="65">
        <f>IF(B48="","",VLOOKUP(B48,dagsoorttabel1,2,FALSE))</f>
        <v>0.78431372549019607</v>
      </c>
      <c r="F48" s="65">
        <v>1</v>
      </c>
      <c r="G48" s="65">
        <f>IF(prodnorm68&gt;0,1/ROUND(prodnorm68,4),0)</f>
        <v>0</v>
      </c>
      <c r="H48" s="67">
        <f>ROUND(dagwerk68,4+2)</f>
        <v>0</v>
      </c>
      <c r="I48" s="56">
        <f>ROUND(uurtarief68,2)</f>
        <v>0</v>
      </c>
      <c r="J48" s="65">
        <v>0</v>
      </c>
      <c r="K48" s="65">
        <v>0</v>
      </c>
      <c r="L48" s="65">
        <v>0</v>
      </c>
      <c r="M48" s="65">
        <v>0</v>
      </c>
      <c r="N48" s="65">
        <v>0</v>
      </c>
      <c r="O48" s="65">
        <v>0</v>
      </c>
      <c r="P48" s="65">
        <v>0</v>
      </c>
      <c r="Q48" s="65">
        <v>0</v>
      </c>
      <c r="R48" s="65">
        <v>0</v>
      </c>
      <c r="S48" s="65">
        <v>0</v>
      </c>
      <c r="T48" s="65">
        <v>0</v>
      </c>
      <c r="U48" s="65">
        <v>0</v>
      </c>
      <c r="V48" s="65">
        <v>0</v>
      </c>
      <c r="W48" s="65">
        <v>0</v>
      </c>
      <c r="X48" s="65">
        <v>0</v>
      </c>
      <c r="Y48" s="65">
        <v>48.9</v>
      </c>
      <c r="Z48" s="65">
        <v>0</v>
      </c>
      <c r="AA48" s="65">
        <v>0</v>
      </c>
      <c r="AB48" s="65">
        <v>0</v>
      </c>
      <c r="AC48" s="65">
        <v>0</v>
      </c>
      <c r="AD48" s="65">
        <v>0</v>
      </c>
      <c r="AE48" s="65">
        <v>0</v>
      </c>
      <c r="AF48" s="65">
        <v>0</v>
      </c>
      <c r="AG48" s="65">
        <v>0</v>
      </c>
      <c r="AH48" s="65">
        <v>0</v>
      </c>
      <c r="AI48" s="65">
        <v>0</v>
      </c>
      <c r="AJ48" s="65">
        <v>0</v>
      </c>
      <c r="AK48" s="65">
        <v>0</v>
      </c>
      <c r="AL48" s="65">
        <v>0</v>
      </c>
      <c r="AM48" s="65">
        <v>0</v>
      </c>
      <c r="AN48" s="65">
        <v>0</v>
      </c>
      <c r="AO48" s="65">
        <v>0</v>
      </c>
    </row>
    <row r="49" spans="1:41" x14ac:dyDescent="0.2">
      <c r="A49" s="52" t="s">
        <v>298</v>
      </c>
      <c r="B49" s="52" t="s">
        <v>10</v>
      </c>
      <c r="C49" s="52" t="s">
        <v>1193</v>
      </c>
      <c r="D49" s="52" t="s">
        <v>255</v>
      </c>
      <c r="E49" s="65">
        <f>IF(B49="","",VLOOKUP(B49,dagsoorttabel1,2,FALSE))</f>
        <v>1</v>
      </c>
      <c r="F49" s="65">
        <v>1</v>
      </c>
      <c r="G49" s="65">
        <f>IF(prodnorm69&gt;0,1/ROUND(prodnorm69,4),0)</f>
        <v>0</v>
      </c>
      <c r="H49" s="67">
        <f>ROUND(dagwerk69,4+2)</f>
        <v>0</v>
      </c>
      <c r="I49" s="56">
        <f>ROUND(uurtarief69,2)</f>
        <v>0</v>
      </c>
      <c r="J49" s="65">
        <v>0</v>
      </c>
      <c r="K49" s="65">
        <v>0</v>
      </c>
      <c r="L49" s="65">
        <v>0</v>
      </c>
      <c r="M49" s="65">
        <v>0</v>
      </c>
      <c r="N49" s="65">
        <v>0</v>
      </c>
      <c r="O49" s="65">
        <v>0</v>
      </c>
      <c r="P49" s="65">
        <v>0</v>
      </c>
      <c r="Q49" s="65">
        <v>0</v>
      </c>
      <c r="R49" s="65">
        <v>0</v>
      </c>
      <c r="S49" s="65">
        <v>0</v>
      </c>
      <c r="T49" s="65">
        <v>0</v>
      </c>
      <c r="U49" s="65">
        <v>0</v>
      </c>
      <c r="V49" s="65">
        <v>0</v>
      </c>
      <c r="W49" s="65">
        <v>0</v>
      </c>
      <c r="X49" s="65">
        <v>40.700000000000003</v>
      </c>
      <c r="Y49" s="65">
        <v>0</v>
      </c>
      <c r="Z49" s="65">
        <v>0</v>
      </c>
      <c r="AA49" s="65">
        <v>0</v>
      </c>
      <c r="AB49" s="65">
        <v>0</v>
      </c>
      <c r="AC49" s="65">
        <v>0</v>
      </c>
      <c r="AD49" s="65">
        <v>0</v>
      </c>
      <c r="AE49" s="65">
        <v>0</v>
      </c>
      <c r="AF49" s="65">
        <v>0</v>
      </c>
      <c r="AG49" s="65">
        <v>0</v>
      </c>
      <c r="AH49" s="65">
        <v>0</v>
      </c>
      <c r="AI49" s="65">
        <v>0</v>
      </c>
      <c r="AJ49" s="65">
        <v>0</v>
      </c>
      <c r="AK49" s="65">
        <v>0</v>
      </c>
      <c r="AL49" s="65">
        <v>0</v>
      </c>
      <c r="AM49" s="65">
        <v>0</v>
      </c>
      <c r="AN49" s="65">
        <v>0</v>
      </c>
      <c r="AO49" s="65">
        <v>0</v>
      </c>
    </row>
    <row r="50" spans="1:41" x14ac:dyDescent="0.2">
      <c r="A50" s="52" t="s">
        <v>300</v>
      </c>
      <c r="B50" s="52" t="s">
        <v>13</v>
      </c>
      <c r="C50" s="52" t="s">
        <v>1193</v>
      </c>
      <c r="D50" s="52" t="s">
        <v>255</v>
      </c>
      <c r="E50" s="65">
        <f>IF(B50="","",VLOOKUP(B50,dagsoorttabel1,2,FALSE))</f>
        <v>0.78431372549019607</v>
      </c>
      <c r="F50" s="65">
        <v>1</v>
      </c>
      <c r="G50" s="65">
        <f>IF(prodnorm70&gt;0,1/ROUND(prodnorm70,4),0)</f>
        <v>0</v>
      </c>
      <c r="H50" s="67">
        <f>ROUND(dagwerk70,4+2)</f>
        <v>0</v>
      </c>
      <c r="I50" s="56">
        <f>ROUND(uurtarief70,2)</f>
        <v>0</v>
      </c>
      <c r="J50" s="65">
        <v>0</v>
      </c>
      <c r="K50" s="65">
        <v>0</v>
      </c>
      <c r="L50" s="65">
        <v>0</v>
      </c>
      <c r="M50" s="65">
        <v>0</v>
      </c>
      <c r="N50" s="65">
        <v>0</v>
      </c>
      <c r="O50" s="65">
        <v>0</v>
      </c>
      <c r="P50" s="65">
        <v>0</v>
      </c>
      <c r="Q50" s="65">
        <v>0</v>
      </c>
      <c r="R50" s="65">
        <v>0</v>
      </c>
      <c r="S50" s="65">
        <v>0</v>
      </c>
      <c r="T50" s="65">
        <v>0</v>
      </c>
      <c r="U50" s="65">
        <v>721.6</v>
      </c>
      <c r="V50" s="65">
        <v>0</v>
      </c>
      <c r="W50" s="65">
        <v>0</v>
      </c>
      <c r="X50" s="65">
        <v>0</v>
      </c>
      <c r="Y50" s="65">
        <v>54.800000000000004</v>
      </c>
      <c r="Z50" s="65">
        <v>0</v>
      </c>
      <c r="AA50" s="65">
        <v>0</v>
      </c>
      <c r="AB50" s="65">
        <v>0</v>
      </c>
      <c r="AC50" s="65">
        <v>0</v>
      </c>
      <c r="AD50" s="65">
        <v>0</v>
      </c>
      <c r="AE50" s="65">
        <v>0</v>
      </c>
      <c r="AF50" s="65">
        <v>0</v>
      </c>
      <c r="AG50" s="65">
        <v>0</v>
      </c>
      <c r="AH50" s="65">
        <v>0</v>
      </c>
      <c r="AI50" s="65">
        <v>0</v>
      </c>
      <c r="AJ50" s="65">
        <v>0</v>
      </c>
      <c r="AK50" s="65">
        <v>0</v>
      </c>
      <c r="AL50" s="65">
        <v>0</v>
      </c>
      <c r="AM50" s="65">
        <v>0</v>
      </c>
      <c r="AN50" s="65">
        <v>0</v>
      </c>
      <c r="AO50" s="65">
        <v>0</v>
      </c>
    </row>
    <row r="51" spans="1:41" x14ac:dyDescent="0.2">
      <c r="A51" s="52" t="s">
        <v>300</v>
      </c>
      <c r="B51" s="52" t="s">
        <v>10</v>
      </c>
      <c r="C51" s="52" t="s">
        <v>1193</v>
      </c>
      <c r="D51" s="52" t="s">
        <v>255</v>
      </c>
      <c r="E51" s="65">
        <f>IF(B51="","",VLOOKUP(B51,dagsoorttabel1,2,FALSE))</f>
        <v>1</v>
      </c>
      <c r="F51" s="65">
        <v>1</v>
      </c>
      <c r="G51" s="65">
        <f>IF(prodnorm71&gt;0,1/ROUND(prodnorm71,4),0)</f>
        <v>0</v>
      </c>
      <c r="H51" s="67">
        <f>ROUND(dagwerk71,4+2)</f>
        <v>0</v>
      </c>
      <c r="I51" s="56">
        <f>ROUND(uurtarief71,2)</f>
        <v>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  <c r="Q51" s="65">
        <v>0</v>
      </c>
      <c r="R51" s="65">
        <v>0</v>
      </c>
      <c r="S51" s="65">
        <v>0</v>
      </c>
      <c r="T51" s="65">
        <v>0</v>
      </c>
      <c r="U51" s="65">
        <v>0</v>
      </c>
      <c r="V51" s="65">
        <v>99</v>
      </c>
      <c r="W51" s="65">
        <v>0</v>
      </c>
      <c r="X51" s="65">
        <v>100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65">
        <v>0</v>
      </c>
      <c r="AE51" s="65">
        <v>0</v>
      </c>
      <c r="AF51" s="65">
        <v>0</v>
      </c>
      <c r="AG51" s="65">
        <v>0</v>
      </c>
      <c r="AH51" s="65">
        <v>0</v>
      </c>
      <c r="AI51" s="65">
        <v>0</v>
      </c>
      <c r="AJ51" s="65">
        <v>0</v>
      </c>
      <c r="AK51" s="65">
        <v>0</v>
      </c>
      <c r="AL51" s="65">
        <v>0</v>
      </c>
      <c r="AM51" s="65">
        <v>0</v>
      </c>
      <c r="AN51" s="65">
        <v>0</v>
      </c>
      <c r="AO51" s="65">
        <v>0</v>
      </c>
    </row>
    <row r="52" spans="1:41" x14ac:dyDescent="0.2">
      <c r="A52" s="52" t="s">
        <v>300</v>
      </c>
      <c r="B52" s="52" t="s">
        <v>21</v>
      </c>
      <c r="C52" s="52" t="s">
        <v>1193</v>
      </c>
      <c r="D52" s="52" t="s">
        <v>255</v>
      </c>
      <c r="E52" s="65">
        <f>IF(B52="","",VLOOKUP(B52,dagsoorttabel1,2,FALSE))</f>
        <v>0.2</v>
      </c>
      <c r="F52" s="65">
        <v>1</v>
      </c>
      <c r="G52" s="65">
        <f>IF(prodnorm72&gt;0,1/ROUND(prodnorm72,4),0)</f>
        <v>0</v>
      </c>
      <c r="H52" s="67">
        <f>ROUND(dagwerk72,4+2)</f>
        <v>0</v>
      </c>
      <c r="I52" s="56">
        <f>ROUND(uurtarief72,2)</f>
        <v>0</v>
      </c>
      <c r="J52" s="65">
        <v>0</v>
      </c>
      <c r="K52" s="65">
        <v>0</v>
      </c>
      <c r="L52" s="65">
        <v>0</v>
      </c>
      <c r="M52" s="65">
        <v>0</v>
      </c>
      <c r="N52" s="65">
        <v>0</v>
      </c>
      <c r="O52" s="65">
        <v>0</v>
      </c>
      <c r="P52" s="65">
        <v>0</v>
      </c>
      <c r="Q52" s="65">
        <v>0</v>
      </c>
      <c r="R52" s="65">
        <v>0</v>
      </c>
      <c r="S52" s="65">
        <v>0</v>
      </c>
      <c r="T52" s="65">
        <v>0</v>
      </c>
      <c r="U52" s="65">
        <v>0</v>
      </c>
      <c r="V52" s="65">
        <v>0</v>
      </c>
      <c r="W52" s="65">
        <v>270</v>
      </c>
      <c r="X52" s="65">
        <v>0</v>
      </c>
      <c r="Y52" s="65">
        <v>0</v>
      </c>
      <c r="Z52" s="65">
        <v>0</v>
      </c>
      <c r="AA52" s="65">
        <v>0</v>
      </c>
      <c r="AB52" s="65">
        <v>0</v>
      </c>
      <c r="AC52" s="65">
        <v>0</v>
      </c>
      <c r="AD52" s="65">
        <v>0</v>
      </c>
      <c r="AE52" s="65">
        <v>0</v>
      </c>
      <c r="AF52" s="65">
        <v>0</v>
      </c>
      <c r="AG52" s="65">
        <v>0</v>
      </c>
      <c r="AH52" s="65">
        <v>0</v>
      </c>
      <c r="AI52" s="65">
        <v>0</v>
      </c>
      <c r="AJ52" s="65">
        <v>0</v>
      </c>
      <c r="AK52" s="65">
        <v>0</v>
      </c>
      <c r="AL52" s="65">
        <v>0</v>
      </c>
      <c r="AM52" s="65">
        <v>0</v>
      </c>
      <c r="AN52" s="65">
        <v>0</v>
      </c>
      <c r="AO52" s="65">
        <v>0</v>
      </c>
    </row>
    <row r="53" spans="1:41" x14ac:dyDescent="0.2">
      <c r="A53" s="52" t="s">
        <v>302</v>
      </c>
      <c r="B53" s="52" t="s">
        <v>13</v>
      </c>
      <c r="C53" s="52" t="s">
        <v>1193</v>
      </c>
      <c r="D53" s="52" t="s">
        <v>255</v>
      </c>
      <c r="E53" s="65">
        <f>IF(B53="","",VLOOKUP(B53,dagsoorttabel1,2,FALSE))</f>
        <v>0.78431372549019607</v>
      </c>
      <c r="F53" s="65">
        <v>1</v>
      </c>
      <c r="G53" s="65">
        <f>IF(prodnorm73&gt;0,1/ROUND(prodnorm73,4),0)</f>
        <v>0</v>
      </c>
      <c r="H53" s="67">
        <f>ROUND(dagwerk73,4+2)</f>
        <v>0</v>
      </c>
      <c r="I53" s="56">
        <f>ROUND(uurtarief73,2)</f>
        <v>0</v>
      </c>
      <c r="J53" s="65">
        <v>0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  <c r="Q53" s="65">
        <v>0</v>
      </c>
      <c r="R53" s="65">
        <v>0</v>
      </c>
      <c r="S53" s="65">
        <v>0</v>
      </c>
      <c r="T53" s="65">
        <v>0</v>
      </c>
      <c r="U53" s="65">
        <v>0</v>
      </c>
      <c r="V53" s="65">
        <v>0</v>
      </c>
      <c r="W53" s="65">
        <v>0</v>
      </c>
      <c r="X53" s="65">
        <v>0</v>
      </c>
      <c r="Y53" s="65">
        <v>0</v>
      </c>
      <c r="Z53" s="65">
        <v>0</v>
      </c>
      <c r="AA53" s="65">
        <v>0</v>
      </c>
      <c r="AB53" s="65">
        <v>0</v>
      </c>
      <c r="AC53" s="65">
        <v>0</v>
      </c>
      <c r="AD53" s="65">
        <v>0</v>
      </c>
      <c r="AE53" s="65">
        <v>0</v>
      </c>
      <c r="AF53" s="65">
        <v>0</v>
      </c>
      <c r="AG53" s="65">
        <v>0</v>
      </c>
      <c r="AH53" s="65">
        <v>0</v>
      </c>
      <c r="AI53" s="65">
        <v>0</v>
      </c>
      <c r="AJ53" s="65">
        <v>0</v>
      </c>
      <c r="AK53" s="65">
        <v>0</v>
      </c>
      <c r="AL53" s="65">
        <v>0</v>
      </c>
      <c r="AM53" s="65">
        <v>1.57</v>
      </c>
      <c r="AN53" s="65">
        <v>0</v>
      </c>
      <c r="AO53" s="65">
        <v>0</v>
      </c>
    </row>
    <row r="54" spans="1:41" x14ac:dyDescent="0.2">
      <c r="A54" s="52" t="s">
        <v>304</v>
      </c>
      <c r="B54" s="52" t="s">
        <v>13</v>
      </c>
      <c r="C54" s="52" t="s">
        <v>1193</v>
      </c>
      <c r="D54" s="52" t="s">
        <v>255</v>
      </c>
      <c r="E54" s="65">
        <f>IF(B54="","",VLOOKUP(B54,dagsoorttabel1,2,FALSE))</f>
        <v>0.78431372549019607</v>
      </c>
      <c r="F54" s="65">
        <v>1</v>
      </c>
      <c r="G54" s="65">
        <f>IF(prodnorm74&gt;0,1/ROUND(prodnorm74,4),0)</f>
        <v>0</v>
      </c>
      <c r="H54" s="67">
        <f>ROUND(dagwerk74,4+2)</f>
        <v>0</v>
      </c>
      <c r="I54" s="56">
        <f>ROUND(uurtarief74,2)</f>
        <v>0</v>
      </c>
      <c r="J54" s="65">
        <v>17.639999999999997</v>
      </c>
      <c r="K54" s="65">
        <v>19</v>
      </c>
      <c r="L54" s="65">
        <v>6</v>
      </c>
      <c r="M54" s="65">
        <v>6</v>
      </c>
      <c r="N54" s="65">
        <v>10.3</v>
      </c>
      <c r="O54" s="65">
        <v>6</v>
      </c>
      <c r="P54" s="65">
        <v>30.200000000000003</v>
      </c>
      <c r="Q54" s="65">
        <v>33.050000000000004</v>
      </c>
      <c r="R54" s="65">
        <v>6</v>
      </c>
      <c r="S54" s="65">
        <v>26</v>
      </c>
      <c r="T54" s="65">
        <v>9</v>
      </c>
      <c r="U54" s="65">
        <v>217.8</v>
      </c>
      <c r="V54" s="65">
        <v>0</v>
      </c>
      <c r="W54" s="65">
        <v>0</v>
      </c>
      <c r="X54" s="65">
        <v>0</v>
      </c>
      <c r="Y54" s="65">
        <v>60.4</v>
      </c>
      <c r="Z54" s="65">
        <v>3.3000000000000003</v>
      </c>
      <c r="AA54" s="65">
        <v>10.549999999999999</v>
      </c>
      <c r="AB54" s="65">
        <v>16.649999999999999</v>
      </c>
      <c r="AC54" s="65">
        <v>13.600000000000001</v>
      </c>
      <c r="AD54" s="65">
        <v>6</v>
      </c>
      <c r="AE54" s="65">
        <v>3.3000000000000003</v>
      </c>
      <c r="AF54" s="65">
        <v>41.219999999999992</v>
      </c>
      <c r="AG54" s="65">
        <v>43.61</v>
      </c>
      <c r="AH54" s="65">
        <v>0</v>
      </c>
      <c r="AI54" s="65">
        <v>0</v>
      </c>
      <c r="AJ54" s="65">
        <v>0</v>
      </c>
      <c r="AK54" s="65">
        <v>0</v>
      </c>
      <c r="AL54" s="65">
        <v>0</v>
      </c>
      <c r="AM54" s="65">
        <v>20.63</v>
      </c>
      <c r="AN54" s="65">
        <v>6</v>
      </c>
      <c r="AO54" s="65">
        <v>2</v>
      </c>
    </row>
    <row r="55" spans="1:41" x14ac:dyDescent="0.2">
      <c r="A55" s="52" t="s">
        <v>304</v>
      </c>
      <c r="B55" s="52" t="s">
        <v>10</v>
      </c>
      <c r="C55" s="52" t="s">
        <v>1193</v>
      </c>
      <c r="D55" s="52" t="s">
        <v>255</v>
      </c>
      <c r="E55" s="65">
        <f>IF(B55="","",VLOOKUP(B55,dagsoorttabel1,2,FALSE))</f>
        <v>1</v>
      </c>
      <c r="F55" s="65">
        <v>1</v>
      </c>
      <c r="G55" s="65">
        <f>IF(prodnorm75&gt;0,1/ROUND(prodnorm75,4),0)</f>
        <v>0</v>
      </c>
      <c r="H55" s="67">
        <f>ROUND(dagwerk75,4+2)</f>
        <v>0</v>
      </c>
      <c r="I55" s="56">
        <f>ROUND(uurtarief75,2)</f>
        <v>0</v>
      </c>
      <c r="J55" s="65">
        <v>0</v>
      </c>
      <c r="K55" s="65">
        <v>0</v>
      </c>
      <c r="L55" s="65">
        <v>0</v>
      </c>
      <c r="M55" s="65">
        <v>0</v>
      </c>
      <c r="N55" s="65">
        <v>0</v>
      </c>
      <c r="O55" s="65">
        <v>0</v>
      </c>
      <c r="P55" s="65">
        <v>0</v>
      </c>
      <c r="Q55" s="65">
        <v>0</v>
      </c>
      <c r="R55" s="65">
        <v>0</v>
      </c>
      <c r="S55" s="65">
        <v>0</v>
      </c>
      <c r="T55" s="65">
        <v>0</v>
      </c>
      <c r="U55" s="65">
        <v>0</v>
      </c>
      <c r="V55" s="65">
        <v>58.5</v>
      </c>
      <c r="W55" s="65">
        <v>0</v>
      </c>
      <c r="X55" s="65">
        <v>16.399999999999999</v>
      </c>
      <c r="Y55" s="65">
        <v>0</v>
      </c>
      <c r="Z55" s="65">
        <v>0</v>
      </c>
      <c r="AA55" s="65">
        <v>0</v>
      </c>
      <c r="AB55" s="65">
        <v>0</v>
      </c>
      <c r="AC55" s="65">
        <v>0</v>
      </c>
      <c r="AD55" s="65">
        <v>0</v>
      </c>
      <c r="AE55" s="65">
        <v>0</v>
      </c>
      <c r="AF55" s="65">
        <v>0</v>
      </c>
      <c r="AG55" s="65">
        <v>0</v>
      </c>
      <c r="AH55" s="65">
        <v>19.600000000000001</v>
      </c>
      <c r="AI55" s="65">
        <v>18.200000000000003</v>
      </c>
      <c r="AJ55" s="65">
        <v>1.5</v>
      </c>
      <c r="AK55" s="65">
        <v>4.8</v>
      </c>
      <c r="AL55" s="65">
        <v>15.11</v>
      </c>
      <c r="AM55" s="65">
        <v>131.23999999999998</v>
      </c>
      <c r="AN55" s="65">
        <v>0</v>
      </c>
      <c r="AO55" s="65">
        <v>0</v>
      </c>
    </row>
    <row r="56" spans="1:41" x14ac:dyDescent="0.2">
      <c r="A56" s="52" t="s">
        <v>304</v>
      </c>
      <c r="B56" s="52" t="s">
        <v>21</v>
      </c>
      <c r="C56" s="52" t="s">
        <v>1193</v>
      </c>
      <c r="D56" s="52" t="s">
        <v>255</v>
      </c>
      <c r="E56" s="65">
        <f>IF(B56="","",VLOOKUP(B56,dagsoorttabel1,2,FALSE))</f>
        <v>0.2</v>
      </c>
      <c r="F56" s="65">
        <v>1</v>
      </c>
      <c r="G56" s="65">
        <f>IF(prodnorm76&gt;0,1/ROUND(prodnorm76,4),0)</f>
        <v>0</v>
      </c>
      <c r="H56" s="67">
        <f>ROUND(dagwerk76,4+2)</f>
        <v>0</v>
      </c>
      <c r="I56" s="56">
        <f>ROUND(uurtarief76,2)</f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15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65">
        <v>0</v>
      </c>
      <c r="AJ56" s="65">
        <v>0</v>
      </c>
      <c r="AK56" s="65">
        <v>0</v>
      </c>
      <c r="AL56" s="65">
        <v>0</v>
      </c>
      <c r="AM56" s="65">
        <v>0</v>
      </c>
      <c r="AN56" s="65">
        <v>0</v>
      </c>
      <c r="AO56" s="65">
        <v>0</v>
      </c>
    </row>
    <row r="57" spans="1:41" x14ac:dyDescent="0.2">
      <c r="A57" s="52" t="s">
        <v>306</v>
      </c>
      <c r="B57" s="52" t="s">
        <v>15</v>
      </c>
      <c r="C57" s="52" t="s">
        <v>1193</v>
      </c>
      <c r="D57" s="52" t="s">
        <v>255</v>
      </c>
      <c r="E57" s="65">
        <f>IF(B57="","",VLOOKUP(B57,dagsoorttabel1,2,FALSE))</f>
        <v>0.50980392156862742</v>
      </c>
      <c r="F57" s="65">
        <v>1</v>
      </c>
      <c r="G57" s="65">
        <f>IF(prodnorm77&gt;0,1/ROUND(prodnorm77,4),0)</f>
        <v>0</v>
      </c>
      <c r="H57" s="67">
        <f>ROUND(dagwerk77,4+2)</f>
        <v>0</v>
      </c>
      <c r="I57" s="56">
        <f>ROUND(uurtarief77,2)</f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4.8800000000000008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</row>
    <row r="58" spans="1:41" x14ac:dyDescent="0.2">
      <c r="A58" s="52" t="s">
        <v>306</v>
      </c>
      <c r="B58" s="52" t="s">
        <v>13</v>
      </c>
      <c r="C58" s="52" t="s">
        <v>1193</v>
      </c>
      <c r="D58" s="52" t="s">
        <v>255</v>
      </c>
      <c r="E58" s="65">
        <f>IF(B58="","",VLOOKUP(B58,dagsoorttabel1,2,FALSE))</f>
        <v>0.78431372549019607</v>
      </c>
      <c r="F58" s="65">
        <v>1</v>
      </c>
      <c r="G58" s="65">
        <f>IF(prodnorm78&gt;0,1/ROUND(prodnorm78,4),0)</f>
        <v>0</v>
      </c>
      <c r="H58" s="67">
        <f>ROUND(dagwerk78,4+2)</f>
        <v>0</v>
      </c>
      <c r="I58" s="56">
        <f>ROUND(uurtarief78,2)</f>
        <v>0</v>
      </c>
      <c r="J58" s="65">
        <v>8.24</v>
      </c>
      <c r="K58" s="65">
        <v>19</v>
      </c>
      <c r="L58" s="65">
        <v>0</v>
      </c>
      <c r="M58" s="65">
        <v>0</v>
      </c>
      <c r="N58" s="65">
        <v>0</v>
      </c>
      <c r="O58" s="65">
        <v>0</v>
      </c>
      <c r="P58" s="65">
        <v>27.000000000000004</v>
      </c>
      <c r="Q58" s="65">
        <v>33.050000000000004</v>
      </c>
      <c r="R58" s="65">
        <v>0</v>
      </c>
      <c r="S58" s="65">
        <v>26</v>
      </c>
      <c r="T58" s="65">
        <v>0</v>
      </c>
      <c r="U58" s="65">
        <v>217.8</v>
      </c>
      <c r="V58" s="65">
        <v>0</v>
      </c>
      <c r="W58" s="65">
        <v>0</v>
      </c>
      <c r="X58" s="65">
        <v>0</v>
      </c>
      <c r="Y58" s="65">
        <v>21.699999999999996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41.219999999999992</v>
      </c>
      <c r="AG58" s="65">
        <v>38.729999999999997</v>
      </c>
      <c r="AH58" s="65">
        <v>0</v>
      </c>
      <c r="AI58" s="65">
        <v>0</v>
      </c>
      <c r="AJ58" s="65">
        <v>0</v>
      </c>
      <c r="AK58" s="65">
        <v>0</v>
      </c>
      <c r="AL58" s="65">
        <v>0</v>
      </c>
      <c r="AM58" s="65">
        <v>10.91</v>
      </c>
      <c r="AN58" s="65">
        <v>0</v>
      </c>
      <c r="AO58" s="65">
        <v>0</v>
      </c>
    </row>
    <row r="59" spans="1:41" x14ac:dyDescent="0.2">
      <c r="A59" s="52" t="s">
        <v>306</v>
      </c>
      <c r="B59" s="52" t="s">
        <v>10</v>
      </c>
      <c r="C59" s="52" t="s">
        <v>1193</v>
      </c>
      <c r="D59" s="52" t="s">
        <v>255</v>
      </c>
      <c r="E59" s="65">
        <f>IF(B59="","",VLOOKUP(B59,dagsoorttabel1,2,FALSE))</f>
        <v>1</v>
      </c>
      <c r="F59" s="65">
        <v>1</v>
      </c>
      <c r="G59" s="65">
        <f>IF(prodnorm79&gt;0,1/ROUND(prodnorm79,4),0)</f>
        <v>0</v>
      </c>
      <c r="H59" s="67">
        <f>ROUND(dagwerk79,4+2)</f>
        <v>0</v>
      </c>
      <c r="I59" s="56">
        <f>ROUND(uurtarief79,2)</f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65">
        <v>0</v>
      </c>
      <c r="AJ59" s="65">
        <v>0</v>
      </c>
      <c r="AK59" s="65">
        <v>0</v>
      </c>
      <c r="AL59" s="65">
        <v>0</v>
      </c>
      <c r="AM59" s="65">
        <v>71.03</v>
      </c>
      <c r="AN59" s="65">
        <v>0</v>
      </c>
      <c r="AO59" s="65">
        <v>0</v>
      </c>
    </row>
    <row r="60" spans="1:41" x14ac:dyDescent="0.2">
      <c r="A60" s="52" t="s">
        <v>308</v>
      </c>
      <c r="B60" s="52" t="s">
        <v>24</v>
      </c>
      <c r="C60" s="52" t="s">
        <v>1193</v>
      </c>
      <c r="D60" s="52" t="s">
        <v>255</v>
      </c>
      <c r="E60" s="65">
        <f>IF(B60="","",VLOOKUP(B60,dagsoorttabel1,2,FALSE))</f>
        <v>4.7058823529411764E-2</v>
      </c>
      <c r="F60" s="65">
        <v>1</v>
      </c>
      <c r="G60" s="65">
        <f>IF(prodnorm80&gt;0,1/ROUND(prodnorm80,4),0)</f>
        <v>0</v>
      </c>
      <c r="H60" s="67">
        <f>ROUND(dagwerk80,4+2)</f>
        <v>0</v>
      </c>
      <c r="I60" s="56">
        <f>ROUND(uurtarief80,2)</f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18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65">
        <v>0</v>
      </c>
      <c r="AJ60" s="65">
        <v>0</v>
      </c>
      <c r="AK60" s="65">
        <v>0</v>
      </c>
      <c r="AL60" s="65">
        <v>0</v>
      </c>
      <c r="AM60" s="65">
        <v>0</v>
      </c>
      <c r="AN60" s="65">
        <v>0</v>
      </c>
      <c r="AO60" s="65">
        <v>0</v>
      </c>
    </row>
    <row r="61" spans="1:41" x14ac:dyDescent="0.2">
      <c r="A61" s="52" t="s">
        <v>308</v>
      </c>
      <c r="B61" s="52" t="s">
        <v>13</v>
      </c>
      <c r="C61" s="52" t="s">
        <v>1193</v>
      </c>
      <c r="D61" s="52" t="s">
        <v>255</v>
      </c>
      <c r="E61" s="65">
        <f>IF(B61="","",VLOOKUP(B61,dagsoorttabel1,2,FALSE))</f>
        <v>0.78431372549019607</v>
      </c>
      <c r="F61" s="65">
        <v>1</v>
      </c>
      <c r="G61" s="65">
        <f>IF(prodnorm81&gt;0,1/ROUND(prodnorm81,4),0)</f>
        <v>0</v>
      </c>
      <c r="H61" s="67">
        <f>ROUND(dagwerk81,4+2)</f>
        <v>0</v>
      </c>
      <c r="I61" s="56">
        <f>ROUND(uurtarief81,2)</f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8</v>
      </c>
      <c r="T61" s="65">
        <v>0</v>
      </c>
      <c r="U61" s="65">
        <v>287.78000000000003</v>
      </c>
      <c r="V61" s="65">
        <v>0</v>
      </c>
      <c r="W61" s="65">
        <v>0</v>
      </c>
      <c r="X61" s="65">
        <v>0</v>
      </c>
      <c r="Y61" s="65">
        <v>125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65">
        <v>0</v>
      </c>
      <c r="AJ61" s="65">
        <v>0</v>
      </c>
      <c r="AK61" s="65">
        <v>0</v>
      </c>
      <c r="AL61" s="65">
        <v>0</v>
      </c>
      <c r="AM61" s="65">
        <v>0</v>
      </c>
      <c r="AN61" s="65">
        <v>0</v>
      </c>
      <c r="AO61" s="65">
        <v>0</v>
      </c>
    </row>
    <row r="62" spans="1:41" x14ac:dyDescent="0.2">
      <c r="A62" s="52" t="s">
        <v>308</v>
      </c>
      <c r="B62" s="52" t="s">
        <v>10</v>
      </c>
      <c r="C62" s="52" t="s">
        <v>1193</v>
      </c>
      <c r="D62" s="52" t="s">
        <v>255</v>
      </c>
      <c r="E62" s="65">
        <f>IF(B62="","",VLOOKUP(B62,dagsoorttabel1,2,FALSE))</f>
        <v>1</v>
      </c>
      <c r="F62" s="65">
        <v>1</v>
      </c>
      <c r="G62" s="65">
        <f>IF(prodnorm82&gt;0,1/ROUND(prodnorm82,4),0)</f>
        <v>0</v>
      </c>
      <c r="H62" s="67">
        <f>ROUND(dagwerk82,4+2)</f>
        <v>0</v>
      </c>
      <c r="I62" s="56">
        <f>ROUND(uurtarief82,2)</f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36.75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65">
        <v>0</v>
      </c>
      <c r="AJ62" s="65">
        <v>0</v>
      </c>
      <c r="AK62" s="65">
        <v>2.9</v>
      </c>
      <c r="AL62" s="65">
        <v>0</v>
      </c>
      <c r="AM62" s="65">
        <v>200.56</v>
      </c>
      <c r="AN62" s="65">
        <v>0</v>
      </c>
      <c r="AO62" s="65">
        <v>0</v>
      </c>
    </row>
    <row r="63" spans="1:41" x14ac:dyDescent="0.2">
      <c r="A63" s="52" t="s">
        <v>308</v>
      </c>
      <c r="B63" s="52" t="s">
        <v>22</v>
      </c>
      <c r="C63" s="52" t="s">
        <v>1193</v>
      </c>
      <c r="D63" s="52" t="s">
        <v>255</v>
      </c>
      <c r="E63" s="65">
        <f>IF(B63="","",VLOOKUP(B63,dagsoorttabel1,2,FALSE))</f>
        <v>0.15686274509803921</v>
      </c>
      <c r="F63" s="65">
        <v>1</v>
      </c>
      <c r="G63" s="65">
        <f>IF(prodnorm83&gt;0,1/ROUND(prodnorm83,4),0)</f>
        <v>0</v>
      </c>
      <c r="H63" s="67">
        <f>ROUND(dagwerk83,4+2)</f>
        <v>0</v>
      </c>
      <c r="I63" s="56">
        <f>ROUND(uurtarief83,2)</f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6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65">
        <v>0</v>
      </c>
      <c r="AJ63" s="65">
        <v>0</v>
      </c>
      <c r="AK63" s="65">
        <v>0</v>
      </c>
      <c r="AL63" s="65">
        <v>0</v>
      </c>
      <c r="AM63" s="65">
        <v>0</v>
      </c>
      <c r="AN63" s="65">
        <v>0</v>
      </c>
      <c r="AO63" s="65">
        <v>0</v>
      </c>
    </row>
    <row r="64" spans="1:41" x14ac:dyDescent="0.2">
      <c r="A64" s="52" t="s">
        <v>308</v>
      </c>
      <c r="B64" s="52" t="s">
        <v>21</v>
      </c>
      <c r="C64" s="52" t="s">
        <v>1193</v>
      </c>
      <c r="D64" s="52" t="s">
        <v>255</v>
      </c>
      <c r="E64" s="65">
        <f>IF(B64="","",VLOOKUP(B64,dagsoorttabel1,2,FALSE))</f>
        <v>0.2</v>
      </c>
      <c r="F64" s="65">
        <v>1</v>
      </c>
      <c r="G64" s="65">
        <f>IF(prodnorm84&gt;0,1/ROUND(prodnorm84,4),0)</f>
        <v>0</v>
      </c>
      <c r="H64" s="67">
        <f>ROUND(dagwerk84,4+2)</f>
        <v>0</v>
      </c>
      <c r="I64" s="56">
        <f>ROUND(uurtarief84,2)</f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8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65">
        <v>0</v>
      </c>
      <c r="AJ64" s="65">
        <v>0</v>
      </c>
      <c r="AK64" s="65">
        <v>0</v>
      </c>
      <c r="AL64" s="65">
        <v>0</v>
      </c>
      <c r="AM64" s="65">
        <v>20.58</v>
      </c>
      <c r="AN64" s="65">
        <v>0</v>
      </c>
      <c r="AO64" s="65">
        <v>0</v>
      </c>
    </row>
    <row r="65" spans="1:41" x14ac:dyDescent="0.2">
      <c r="A65" s="52" t="s">
        <v>310</v>
      </c>
      <c r="B65" s="52" t="s">
        <v>13</v>
      </c>
      <c r="C65" s="52" t="s">
        <v>1193</v>
      </c>
      <c r="D65" s="52" t="s">
        <v>255</v>
      </c>
      <c r="E65" s="65">
        <f>IF(B65="","",VLOOKUP(B65,dagsoorttabel1,2,FALSE))</f>
        <v>0.78431372549019607</v>
      </c>
      <c r="F65" s="65">
        <v>1</v>
      </c>
      <c r="G65" s="65">
        <f>IF(prodnorm85&gt;0,1/ROUND(prodnorm85,4),0)</f>
        <v>0</v>
      </c>
      <c r="H65" s="67">
        <f>ROUND(dagwerk85,4+2)</f>
        <v>0</v>
      </c>
      <c r="I65" s="56">
        <f>ROUND(uurtarief85,2)</f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8</v>
      </c>
      <c r="T65" s="65">
        <v>0</v>
      </c>
      <c r="U65" s="65">
        <v>23.04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65">
        <v>0</v>
      </c>
      <c r="AJ65" s="65">
        <v>0</v>
      </c>
      <c r="AK65" s="65">
        <v>0</v>
      </c>
      <c r="AL65" s="65">
        <v>0</v>
      </c>
      <c r="AM65" s="65">
        <v>0</v>
      </c>
      <c r="AN65" s="65">
        <v>0</v>
      </c>
      <c r="AO65" s="65">
        <v>0</v>
      </c>
    </row>
    <row r="66" spans="1:41" x14ac:dyDescent="0.2">
      <c r="A66" s="52" t="s">
        <v>312</v>
      </c>
      <c r="B66" s="52" t="s">
        <v>10</v>
      </c>
      <c r="C66" s="52" t="s">
        <v>1193</v>
      </c>
      <c r="D66" s="52" t="s">
        <v>255</v>
      </c>
      <c r="E66" s="65">
        <f>IF(B66="","",VLOOKUP(B66,dagsoorttabel1,2,FALSE))</f>
        <v>1</v>
      </c>
      <c r="F66" s="65">
        <v>1</v>
      </c>
      <c r="G66" s="65">
        <f>IF(prodnorm86&gt;0,1/ROUND(prodnorm86,4),0)</f>
        <v>0</v>
      </c>
      <c r="H66" s="67">
        <f>ROUND(dagwerk86,4+2)</f>
        <v>0</v>
      </c>
      <c r="I66" s="56">
        <f>ROUND(uurtarief86,2)</f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36.75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65">
        <v>0</v>
      </c>
      <c r="AJ66" s="65">
        <v>0</v>
      </c>
      <c r="AK66" s="65">
        <v>0</v>
      </c>
      <c r="AL66" s="65">
        <v>0</v>
      </c>
      <c r="AM66" s="65">
        <v>0</v>
      </c>
      <c r="AN66" s="65">
        <v>0</v>
      </c>
      <c r="AO66" s="65">
        <v>0</v>
      </c>
    </row>
    <row r="67" spans="1:41" x14ac:dyDescent="0.2">
      <c r="A67" s="52" t="s">
        <v>314</v>
      </c>
      <c r="B67" s="52" t="s">
        <v>18</v>
      </c>
      <c r="C67" s="52" t="s">
        <v>1193</v>
      </c>
      <c r="D67" s="52" t="s">
        <v>255</v>
      </c>
      <c r="E67" s="65">
        <f>IF(B67="","",VLOOKUP(B67,dagsoorttabel1,2,FALSE))</f>
        <v>0.4</v>
      </c>
      <c r="F67" s="65">
        <v>1</v>
      </c>
      <c r="G67" s="65">
        <f>IF(prodnorm87&gt;0,1/ROUND(prodnorm87,4),0)</f>
        <v>0</v>
      </c>
      <c r="H67" s="67">
        <f>ROUND(dagwerk87,4+2)</f>
        <v>0</v>
      </c>
      <c r="I67" s="56">
        <f>ROUND(uurtarief87,2)</f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5</v>
      </c>
      <c r="AI67" s="65">
        <v>0</v>
      </c>
      <c r="AJ67" s="65">
        <v>0</v>
      </c>
      <c r="AK67" s="65">
        <v>0</v>
      </c>
      <c r="AL67" s="65">
        <v>0</v>
      </c>
      <c r="AM67" s="65">
        <v>173.29</v>
      </c>
      <c r="AN67" s="65">
        <v>0</v>
      </c>
      <c r="AO67" s="65">
        <v>0</v>
      </c>
    </row>
    <row r="68" spans="1:41" x14ac:dyDescent="0.2">
      <c r="A68" s="52" t="s">
        <v>314</v>
      </c>
      <c r="B68" s="52" t="s">
        <v>13</v>
      </c>
      <c r="C68" s="52" t="s">
        <v>1193</v>
      </c>
      <c r="D68" s="52" t="s">
        <v>255</v>
      </c>
      <c r="E68" s="65">
        <f>IF(B68="","",VLOOKUP(B68,dagsoorttabel1,2,FALSE))</f>
        <v>0.78431372549019607</v>
      </c>
      <c r="F68" s="65">
        <v>1</v>
      </c>
      <c r="G68" s="65">
        <f>IF(prodnorm88&gt;0,1/ROUND(prodnorm88,4),0)</f>
        <v>0</v>
      </c>
      <c r="H68" s="67">
        <f>ROUND(dagwerk88,4+2)</f>
        <v>0</v>
      </c>
      <c r="I68" s="56">
        <f>ROUND(uurtarief88,2)</f>
        <v>0</v>
      </c>
      <c r="J68" s="65">
        <v>215.75</v>
      </c>
      <c r="K68" s="65">
        <v>445</v>
      </c>
      <c r="L68" s="65">
        <v>0</v>
      </c>
      <c r="M68" s="65">
        <v>0</v>
      </c>
      <c r="N68" s="65">
        <v>0</v>
      </c>
      <c r="O68" s="65">
        <v>0</v>
      </c>
      <c r="P68" s="65">
        <v>63.82</v>
      </c>
      <c r="Q68" s="65">
        <v>165</v>
      </c>
      <c r="R68" s="65">
        <v>0</v>
      </c>
      <c r="S68" s="65">
        <v>141</v>
      </c>
      <c r="T68" s="65">
        <v>0</v>
      </c>
      <c r="U68" s="65">
        <v>1041.2</v>
      </c>
      <c r="V68" s="65">
        <v>0</v>
      </c>
      <c r="W68" s="65">
        <v>0</v>
      </c>
      <c r="X68" s="65">
        <v>0</v>
      </c>
      <c r="Y68" s="65">
        <v>109.39999999999999</v>
      </c>
      <c r="Z68" s="65">
        <v>54.8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82.609999999999985</v>
      </c>
      <c r="AG68" s="65">
        <v>205.54</v>
      </c>
      <c r="AH68" s="65">
        <v>0</v>
      </c>
      <c r="AI68" s="65">
        <v>0</v>
      </c>
      <c r="AJ68" s="65">
        <v>0</v>
      </c>
      <c r="AK68" s="65">
        <v>0</v>
      </c>
      <c r="AL68" s="65">
        <v>0</v>
      </c>
      <c r="AM68" s="65">
        <v>156.39999999999998</v>
      </c>
      <c r="AN68" s="65">
        <v>0</v>
      </c>
      <c r="AO68" s="65">
        <v>0</v>
      </c>
    </row>
    <row r="69" spans="1:41" x14ac:dyDescent="0.2">
      <c r="A69" s="52" t="s">
        <v>314</v>
      </c>
      <c r="B69" s="52" t="s">
        <v>10</v>
      </c>
      <c r="C69" s="52" t="s">
        <v>1193</v>
      </c>
      <c r="D69" s="52" t="s">
        <v>255</v>
      </c>
      <c r="E69" s="65">
        <f>IF(B69="","",VLOOKUP(B69,dagsoorttabel1,2,FALSE))</f>
        <v>1</v>
      </c>
      <c r="F69" s="65">
        <v>1</v>
      </c>
      <c r="G69" s="65">
        <f>IF(prodnorm89&gt;0,1/ROUND(prodnorm89,4),0)</f>
        <v>0</v>
      </c>
      <c r="H69" s="67">
        <f>ROUND(dagwerk89,4+2)</f>
        <v>0</v>
      </c>
      <c r="I69" s="56">
        <f>ROUND(uurtarief89,2)</f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271.95</v>
      </c>
      <c r="W69" s="65">
        <v>0</v>
      </c>
      <c r="X69" s="65">
        <v>12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189.4</v>
      </c>
      <c r="AI69" s="65">
        <v>20.93</v>
      </c>
      <c r="AJ69" s="65">
        <v>0</v>
      </c>
      <c r="AK69" s="65">
        <v>11.9</v>
      </c>
      <c r="AL69" s="65">
        <v>32.720000000000006</v>
      </c>
      <c r="AM69" s="65">
        <v>434.07999999999993</v>
      </c>
      <c r="AN69" s="65">
        <v>0</v>
      </c>
      <c r="AO69" s="65">
        <v>0</v>
      </c>
    </row>
    <row r="70" spans="1:41" x14ac:dyDescent="0.2">
      <c r="A70" s="52" t="s">
        <v>314</v>
      </c>
      <c r="B70" s="52" t="s">
        <v>22</v>
      </c>
      <c r="C70" s="52" t="s">
        <v>1193</v>
      </c>
      <c r="D70" s="52" t="s">
        <v>255</v>
      </c>
      <c r="E70" s="65">
        <f>IF(B70="","",VLOOKUP(B70,dagsoorttabel1,2,FALSE))</f>
        <v>0.15686274509803921</v>
      </c>
      <c r="F70" s="65">
        <v>1</v>
      </c>
      <c r="G70" s="65">
        <f>IF(prodnorm90&gt;0,1/ROUND(prodnorm90,4),0)</f>
        <v>0</v>
      </c>
      <c r="H70" s="67">
        <f>ROUND(dagwerk90,4+2)</f>
        <v>0</v>
      </c>
      <c r="I70" s="56">
        <f>ROUND(uurtarief90,2)</f>
        <v>0</v>
      </c>
      <c r="J70" s="65">
        <v>6.25</v>
      </c>
      <c r="K70" s="65">
        <v>22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13</v>
      </c>
      <c r="R70" s="65">
        <v>0</v>
      </c>
      <c r="S70" s="65">
        <v>4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65">
        <v>0</v>
      </c>
      <c r="AJ70" s="65">
        <v>0</v>
      </c>
      <c r="AK70" s="65">
        <v>0</v>
      </c>
      <c r="AL70" s="65">
        <v>0</v>
      </c>
      <c r="AM70" s="65">
        <v>0</v>
      </c>
      <c r="AN70" s="65">
        <v>0</v>
      </c>
      <c r="AO70" s="65">
        <v>0</v>
      </c>
    </row>
    <row r="71" spans="1:41" x14ac:dyDescent="0.2">
      <c r="A71" s="52" t="s">
        <v>314</v>
      </c>
      <c r="B71" s="52" t="s">
        <v>21</v>
      </c>
      <c r="C71" s="52" t="s">
        <v>1193</v>
      </c>
      <c r="D71" s="52" t="s">
        <v>255</v>
      </c>
      <c r="E71" s="65">
        <f>IF(B71="","",VLOOKUP(B71,dagsoorttabel1,2,FALSE))</f>
        <v>0.2</v>
      </c>
      <c r="F71" s="65">
        <v>1</v>
      </c>
      <c r="G71" s="65">
        <f>IF(prodnorm91&gt;0,1/ROUND(prodnorm91,4),0)</f>
        <v>0</v>
      </c>
      <c r="H71" s="67">
        <f>ROUND(dagwerk91,4+2)</f>
        <v>0</v>
      </c>
      <c r="I71" s="56">
        <f>ROUND(uurtarief91,2)</f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431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5">
        <v>279.53999999999996</v>
      </c>
      <c r="AN71" s="65">
        <v>0</v>
      </c>
      <c r="AO71" s="65">
        <v>0</v>
      </c>
    </row>
    <row r="72" spans="1:41" x14ac:dyDescent="0.2">
      <c r="A72" s="52" t="s">
        <v>314</v>
      </c>
      <c r="B72" s="52" t="s">
        <v>27</v>
      </c>
      <c r="C72" s="52" t="s">
        <v>1193</v>
      </c>
      <c r="D72" s="52" t="s">
        <v>255</v>
      </c>
      <c r="E72" s="65">
        <f>IF(B72="","",VLOOKUP(B72,dagsoorttabel1,2,FALSE))</f>
        <v>2.3529411764705882E-2</v>
      </c>
      <c r="F72" s="65">
        <v>1</v>
      </c>
      <c r="G72" s="65">
        <f>IF(prodnorm92&gt;0,1/ROUND(prodnorm92,4),0)</f>
        <v>0</v>
      </c>
      <c r="H72" s="67">
        <f>ROUND(dagwerk92,4+2)</f>
        <v>0</v>
      </c>
      <c r="I72" s="56">
        <f>ROUND(uurtarief92,2)</f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65">
        <v>0</v>
      </c>
      <c r="AJ72" s="65">
        <v>0</v>
      </c>
      <c r="AK72" s="65">
        <v>0</v>
      </c>
      <c r="AL72" s="65">
        <v>0</v>
      </c>
      <c r="AM72" s="65">
        <v>14.04</v>
      </c>
      <c r="AN72" s="65">
        <v>0</v>
      </c>
      <c r="AO72" s="65">
        <v>0</v>
      </c>
    </row>
    <row r="73" spans="1:41" x14ac:dyDescent="0.2">
      <c r="A73" s="52" t="s">
        <v>316</v>
      </c>
      <c r="B73" s="52" t="s">
        <v>13</v>
      </c>
      <c r="C73" s="52" t="s">
        <v>1193</v>
      </c>
      <c r="D73" s="52" t="s">
        <v>255</v>
      </c>
      <c r="E73" s="65">
        <f>IF(B73="","",VLOOKUP(B73,dagsoorttabel1,2,FALSE))</f>
        <v>0.78431372549019607</v>
      </c>
      <c r="F73" s="65">
        <v>1</v>
      </c>
      <c r="G73" s="65">
        <f>IF(prodnorm93&gt;0,1/ROUND(prodnorm93,4),0)</f>
        <v>0</v>
      </c>
      <c r="H73" s="67">
        <f>ROUND(dagwerk93,4+2)</f>
        <v>0</v>
      </c>
      <c r="I73" s="56">
        <f>ROUND(uurtarief93,2)</f>
        <v>0</v>
      </c>
      <c r="J73" s="65">
        <v>0</v>
      </c>
      <c r="K73" s="65">
        <v>445</v>
      </c>
      <c r="L73" s="65">
        <v>0</v>
      </c>
      <c r="M73" s="65">
        <v>0</v>
      </c>
      <c r="N73" s="65">
        <v>0</v>
      </c>
      <c r="O73" s="65">
        <v>0</v>
      </c>
      <c r="P73" s="65">
        <v>63.82</v>
      </c>
      <c r="Q73" s="65">
        <v>165</v>
      </c>
      <c r="R73" s="65">
        <v>0</v>
      </c>
      <c r="S73" s="65">
        <v>141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82.609999999999985</v>
      </c>
      <c r="AG73" s="65">
        <v>205.54</v>
      </c>
      <c r="AH73" s="65">
        <v>0</v>
      </c>
      <c r="AI73" s="65">
        <v>0</v>
      </c>
      <c r="AJ73" s="65">
        <v>0</v>
      </c>
      <c r="AK73" s="65">
        <v>0</v>
      </c>
      <c r="AL73" s="65">
        <v>0</v>
      </c>
      <c r="AM73" s="65">
        <v>0</v>
      </c>
      <c r="AN73" s="65">
        <v>0</v>
      </c>
      <c r="AO73" s="65">
        <v>0</v>
      </c>
    </row>
    <row r="74" spans="1:41" x14ac:dyDescent="0.2">
      <c r="A74" s="52" t="s">
        <v>318</v>
      </c>
      <c r="B74" s="52" t="s">
        <v>10</v>
      </c>
      <c r="C74" s="52" t="s">
        <v>1193</v>
      </c>
      <c r="D74" s="52" t="s">
        <v>255</v>
      </c>
      <c r="E74" s="65">
        <f>IF(B74="","",VLOOKUP(B74,dagsoorttabel1,2,FALSE))</f>
        <v>1</v>
      </c>
      <c r="F74" s="65">
        <v>1</v>
      </c>
      <c r="G74" s="65">
        <f>IF(prodnorm94&gt;0,1/ROUND(prodnorm94,4),0)</f>
        <v>0</v>
      </c>
      <c r="H74" s="67">
        <f>ROUND(dagwerk94,4+2)</f>
        <v>0</v>
      </c>
      <c r="I74" s="56">
        <f>ROUND(uurtarief94,2)</f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65">
        <v>0</v>
      </c>
      <c r="AJ74" s="65">
        <v>0</v>
      </c>
      <c r="AK74" s="65">
        <v>0</v>
      </c>
      <c r="AL74" s="65">
        <v>0</v>
      </c>
      <c r="AM74" s="65">
        <v>25.32</v>
      </c>
      <c r="AN74" s="65">
        <v>0</v>
      </c>
      <c r="AO74" s="65">
        <v>0</v>
      </c>
    </row>
    <row r="75" spans="1:41" x14ac:dyDescent="0.2">
      <c r="A75" s="52" t="s">
        <v>320</v>
      </c>
      <c r="B75" s="52" t="s">
        <v>21</v>
      </c>
      <c r="C75" s="52" t="s">
        <v>1193</v>
      </c>
      <c r="D75" s="52" t="s">
        <v>255</v>
      </c>
      <c r="E75" s="65">
        <f>IF(B75="","",VLOOKUP(B75,dagsoorttabel1,2,FALSE))</f>
        <v>0.2</v>
      </c>
      <c r="F75" s="65">
        <v>1</v>
      </c>
      <c r="G75" s="65">
        <f>IF(prodnorm95&gt;0,1/ROUND(prodnorm95,4),0)</f>
        <v>0</v>
      </c>
      <c r="H75" s="67">
        <f>ROUND(dagwerk95,4+2)</f>
        <v>0</v>
      </c>
      <c r="I75" s="56">
        <f>ROUND(uurtarief95,2)</f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65">
        <v>0</v>
      </c>
      <c r="AJ75" s="65">
        <v>0</v>
      </c>
      <c r="AK75" s="65">
        <v>0</v>
      </c>
      <c r="AL75" s="65">
        <v>0</v>
      </c>
      <c r="AM75" s="65">
        <v>82.24</v>
      </c>
      <c r="AN75" s="65">
        <v>0</v>
      </c>
      <c r="AO75" s="65">
        <v>0</v>
      </c>
    </row>
    <row r="76" spans="1:41" x14ac:dyDescent="0.2">
      <c r="A76" s="52" t="s">
        <v>322</v>
      </c>
      <c r="B76" s="52" t="s">
        <v>10</v>
      </c>
      <c r="C76" s="52" t="s">
        <v>1193</v>
      </c>
      <c r="D76" s="52" t="s">
        <v>255</v>
      </c>
      <c r="E76" s="65">
        <f>IF(B76="","",VLOOKUP(B76,dagsoorttabel1,2,FALSE))</f>
        <v>1</v>
      </c>
      <c r="F76" s="65">
        <v>1</v>
      </c>
      <c r="G76" s="65">
        <f>IF(prodnorm96&gt;0,1/ROUND(prodnorm96,4),0)</f>
        <v>0</v>
      </c>
      <c r="H76" s="67">
        <f>ROUND(dagwerk96,4+2)</f>
        <v>0</v>
      </c>
      <c r="I76" s="56">
        <f>ROUND(uurtarief96,2)</f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65">
        <v>0</v>
      </c>
      <c r="AJ76" s="65">
        <v>0</v>
      </c>
      <c r="AK76" s="65">
        <v>0</v>
      </c>
      <c r="AL76" s="65">
        <v>0</v>
      </c>
      <c r="AM76" s="65">
        <v>73.89</v>
      </c>
      <c r="AN76" s="65">
        <v>0</v>
      </c>
      <c r="AO76" s="65">
        <v>0</v>
      </c>
    </row>
    <row r="77" spans="1:41" x14ac:dyDescent="0.2">
      <c r="A77" s="52" t="s">
        <v>322</v>
      </c>
      <c r="B77" s="52" t="s">
        <v>19</v>
      </c>
      <c r="C77" s="52" t="s">
        <v>1193</v>
      </c>
      <c r="D77" s="52" t="s">
        <v>255</v>
      </c>
      <c r="E77" s="65">
        <f>IF(B77="","",VLOOKUP(B77,dagsoorttabel1,2,FALSE))</f>
        <v>0.20392156862745098</v>
      </c>
      <c r="F77" s="65">
        <v>1</v>
      </c>
      <c r="G77" s="65">
        <f>IF(prodnorm97&gt;0,1/ROUND(prodnorm97,4),0)</f>
        <v>0</v>
      </c>
      <c r="H77" s="67">
        <f>ROUND(dagwerk97,4+2)</f>
        <v>0</v>
      </c>
      <c r="I77" s="56">
        <f>ROUND(uurtarief97,2)</f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10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65">
        <v>0</v>
      </c>
      <c r="AJ77" s="65">
        <v>0</v>
      </c>
      <c r="AK77" s="65">
        <v>0</v>
      </c>
      <c r="AL77" s="65">
        <v>0</v>
      </c>
      <c r="AM77" s="65">
        <v>0</v>
      </c>
      <c r="AN77" s="65">
        <v>0</v>
      </c>
      <c r="AO77" s="65">
        <v>0</v>
      </c>
    </row>
    <row r="78" spans="1:41" x14ac:dyDescent="0.2">
      <c r="A78" s="52" t="s">
        <v>324</v>
      </c>
      <c r="B78" s="52" t="s">
        <v>10</v>
      </c>
      <c r="C78" s="52" t="s">
        <v>1193</v>
      </c>
      <c r="D78" s="52" t="s">
        <v>255</v>
      </c>
      <c r="E78" s="65">
        <f>IF(B78="","",VLOOKUP(B78,dagsoorttabel1,2,FALSE))</f>
        <v>1</v>
      </c>
      <c r="F78" s="65">
        <v>1</v>
      </c>
      <c r="G78" s="65">
        <f>IF(prodnorm98&gt;0,1/ROUND(prodnorm98,4),0)</f>
        <v>0</v>
      </c>
      <c r="H78" s="67">
        <f>ROUND(dagwerk98,4+2)</f>
        <v>0</v>
      </c>
      <c r="I78" s="56">
        <f>ROUND(uurtarief98,2)</f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0</v>
      </c>
      <c r="AK78" s="65">
        <v>0</v>
      </c>
      <c r="AL78" s="65">
        <v>0</v>
      </c>
      <c r="AM78" s="65">
        <v>46.46</v>
      </c>
      <c r="AN78" s="65">
        <v>0</v>
      </c>
      <c r="AO78" s="65">
        <v>0</v>
      </c>
    </row>
    <row r="79" spans="1:41" x14ac:dyDescent="0.2">
      <c r="A79" s="52" t="s">
        <v>326</v>
      </c>
      <c r="B79" s="52" t="s">
        <v>10</v>
      </c>
      <c r="C79" s="52" t="s">
        <v>1193</v>
      </c>
      <c r="D79" s="52" t="s">
        <v>255</v>
      </c>
      <c r="E79" s="65">
        <f>IF(B79="","",VLOOKUP(B79,dagsoorttabel1,2,FALSE))</f>
        <v>1</v>
      </c>
      <c r="F79" s="65">
        <v>1</v>
      </c>
      <c r="G79" s="65">
        <f>IF(prodnorm99&gt;0,1/ROUND(prodnorm99,4),0)</f>
        <v>0</v>
      </c>
      <c r="H79" s="67">
        <f>ROUND(dagwerk99,4+2)</f>
        <v>0</v>
      </c>
      <c r="I79" s="56">
        <f>ROUND(uurtarief99,2)</f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65">
        <v>0</v>
      </c>
      <c r="AJ79" s="65">
        <v>0</v>
      </c>
      <c r="AK79" s="65">
        <v>0</v>
      </c>
      <c r="AL79" s="65">
        <v>0</v>
      </c>
      <c r="AM79" s="65">
        <v>46.46</v>
      </c>
      <c r="AN79" s="65">
        <v>0</v>
      </c>
      <c r="AO79" s="65">
        <v>0</v>
      </c>
    </row>
    <row r="80" spans="1:41" x14ac:dyDescent="0.2">
      <c r="A80" s="52" t="s">
        <v>328</v>
      </c>
      <c r="B80" s="52" t="s">
        <v>21</v>
      </c>
      <c r="C80" s="52" t="s">
        <v>1193</v>
      </c>
      <c r="D80" s="52" t="s">
        <v>255</v>
      </c>
      <c r="E80" s="65">
        <f>IF(B80="","",VLOOKUP(B80,dagsoorttabel1,2,FALSE))</f>
        <v>0.2</v>
      </c>
      <c r="F80" s="65">
        <v>1</v>
      </c>
      <c r="G80" s="65">
        <f>IF(prodnorm100&gt;0,1/ROUND(prodnorm100,4),0)</f>
        <v>0</v>
      </c>
      <c r="H80" s="67">
        <f>ROUND(dagwerk100,4+2)</f>
        <v>0</v>
      </c>
      <c r="I80" s="56">
        <f>ROUND(uurtarief100,2)</f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  <c r="Q80" s="65">
        <v>0</v>
      </c>
      <c r="R80" s="65">
        <v>0</v>
      </c>
      <c r="S80" s="65">
        <v>0</v>
      </c>
      <c r="T80" s="65">
        <v>0</v>
      </c>
      <c r="U80" s="65">
        <v>0</v>
      </c>
      <c r="V80" s="65">
        <v>0</v>
      </c>
      <c r="W80" s="65">
        <v>1020</v>
      </c>
      <c r="X80" s="65">
        <v>0</v>
      </c>
      <c r="Y80" s="65">
        <v>0</v>
      </c>
      <c r="Z80" s="65">
        <v>0</v>
      </c>
      <c r="AA80" s="65">
        <v>0</v>
      </c>
      <c r="AB80" s="65">
        <v>0</v>
      </c>
      <c r="AC80" s="65">
        <v>0</v>
      </c>
      <c r="AD80" s="65">
        <v>0</v>
      </c>
      <c r="AE80" s="65">
        <v>0</v>
      </c>
      <c r="AF80" s="65">
        <v>0</v>
      </c>
      <c r="AG80" s="65">
        <v>0</v>
      </c>
      <c r="AH80" s="65">
        <v>0</v>
      </c>
      <c r="AI80" s="65">
        <v>0</v>
      </c>
      <c r="AJ80" s="65">
        <v>0</v>
      </c>
      <c r="AK80" s="65">
        <v>0</v>
      </c>
      <c r="AL80" s="65">
        <v>0</v>
      </c>
      <c r="AM80" s="65">
        <v>0</v>
      </c>
      <c r="AN80" s="65">
        <v>0</v>
      </c>
      <c r="AO80" s="65">
        <v>0</v>
      </c>
    </row>
    <row r="81" spans="1:41" x14ac:dyDescent="0.2">
      <c r="A81" s="52" t="s">
        <v>330</v>
      </c>
      <c r="B81" s="52" t="s">
        <v>18</v>
      </c>
      <c r="C81" s="52" t="s">
        <v>1193</v>
      </c>
      <c r="D81" s="52" t="s">
        <v>255</v>
      </c>
      <c r="E81" s="65">
        <f>IF(B81="","",VLOOKUP(B81,dagsoorttabel1,2,FALSE))</f>
        <v>0.4</v>
      </c>
      <c r="F81" s="65">
        <v>1</v>
      </c>
      <c r="G81" s="65">
        <f>IF(prodnorm101&gt;0,1/ROUND(prodnorm101,4),0)</f>
        <v>0</v>
      </c>
      <c r="H81" s="67">
        <f>ROUND(dagwerk101,4+2)</f>
        <v>0</v>
      </c>
      <c r="I81" s="56">
        <f>ROUND(uurtarief101,2)</f>
        <v>0</v>
      </c>
      <c r="J81" s="65">
        <v>0</v>
      </c>
      <c r="K81" s="65">
        <v>0</v>
      </c>
      <c r="L81" s="65">
        <v>0</v>
      </c>
      <c r="M81" s="65">
        <v>0</v>
      </c>
      <c r="N81" s="65">
        <v>0</v>
      </c>
      <c r="O81" s="65">
        <v>0</v>
      </c>
      <c r="P81" s="65">
        <v>0</v>
      </c>
      <c r="Q81" s="65">
        <v>0</v>
      </c>
      <c r="R81" s="65">
        <v>0</v>
      </c>
      <c r="S81" s="65">
        <v>0</v>
      </c>
      <c r="T81" s="65">
        <v>0</v>
      </c>
      <c r="U81" s="65">
        <v>0</v>
      </c>
      <c r="V81" s="65">
        <v>0</v>
      </c>
      <c r="W81" s="65">
        <v>0</v>
      </c>
      <c r="X81" s="65">
        <v>0</v>
      </c>
      <c r="Y81" s="65">
        <v>0</v>
      </c>
      <c r="Z81" s="65">
        <v>0</v>
      </c>
      <c r="AA81" s="65">
        <v>0</v>
      </c>
      <c r="AB81" s="65">
        <v>0</v>
      </c>
      <c r="AC81" s="65">
        <v>0</v>
      </c>
      <c r="AD81" s="65">
        <v>0</v>
      </c>
      <c r="AE81" s="65">
        <v>0</v>
      </c>
      <c r="AF81" s="65">
        <v>0</v>
      </c>
      <c r="AG81" s="65">
        <v>0</v>
      </c>
      <c r="AH81" s="65">
        <v>0</v>
      </c>
      <c r="AI81" s="65">
        <v>0</v>
      </c>
      <c r="AJ81" s="65">
        <v>0</v>
      </c>
      <c r="AK81" s="65">
        <v>0</v>
      </c>
      <c r="AL81" s="65">
        <v>0</v>
      </c>
      <c r="AM81" s="65">
        <v>25.02</v>
      </c>
      <c r="AN81" s="65">
        <v>0</v>
      </c>
      <c r="AO81" s="65">
        <v>0</v>
      </c>
    </row>
    <row r="82" spans="1:41" x14ac:dyDescent="0.2">
      <c r="A82" s="52" t="s">
        <v>330</v>
      </c>
      <c r="B82" s="52" t="s">
        <v>10</v>
      </c>
      <c r="C82" s="52" t="s">
        <v>1193</v>
      </c>
      <c r="D82" s="52" t="s">
        <v>255</v>
      </c>
      <c r="E82" s="65">
        <f>IF(B82="","",VLOOKUP(B82,dagsoorttabel1,2,FALSE))</f>
        <v>1</v>
      </c>
      <c r="F82" s="65">
        <v>1</v>
      </c>
      <c r="G82" s="65">
        <f>IF(prodnorm102&gt;0,1/ROUND(prodnorm102,4),0)</f>
        <v>0</v>
      </c>
      <c r="H82" s="67">
        <f>ROUND(dagwerk102,4+2)</f>
        <v>0</v>
      </c>
      <c r="I82" s="56">
        <f>ROUND(uurtarief102,2)</f>
        <v>0</v>
      </c>
      <c r="J82" s="65">
        <v>0</v>
      </c>
      <c r="K82" s="65">
        <v>0</v>
      </c>
      <c r="L82" s="65">
        <v>0</v>
      </c>
      <c r="M82" s="65">
        <v>0</v>
      </c>
      <c r="N82" s="65">
        <v>0</v>
      </c>
      <c r="O82" s="65">
        <v>0</v>
      </c>
      <c r="P82" s="65">
        <v>0</v>
      </c>
      <c r="Q82" s="65">
        <v>0</v>
      </c>
      <c r="R82" s="65">
        <v>0</v>
      </c>
      <c r="S82" s="65">
        <v>0</v>
      </c>
      <c r="T82" s="65">
        <v>0</v>
      </c>
      <c r="U82" s="65">
        <v>0</v>
      </c>
      <c r="V82" s="65">
        <v>0</v>
      </c>
      <c r="W82" s="65">
        <v>0</v>
      </c>
      <c r="X82" s="65">
        <v>0</v>
      </c>
      <c r="Y82" s="65">
        <v>0</v>
      </c>
      <c r="Z82" s="65">
        <v>0</v>
      </c>
      <c r="AA82" s="65">
        <v>0</v>
      </c>
      <c r="AB82" s="65">
        <v>0</v>
      </c>
      <c r="AC82" s="65">
        <v>0</v>
      </c>
      <c r="AD82" s="65">
        <v>0</v>
      </c>
      <c r="AE82" s="65">
        <v>0</v>
      </c>
      <c r="AF82" s="65">
        <v>0</v>
      </c>
      <c r="AG82" s="65">
        <v>0</v>
      </c>
      <c r="AH82" s="65">
        <v>0</v>
      </c>
      <c r="AI82" s="65">
        <v>0</v>
      </c>
      <c r="AJ82" s="65">
        <v>0</v>
      </c>
      <c r="AK82" s="65">
        <v>0</v>
      </c>
      <c r="AL82" s="65">
        <v>0</v>
      </c>
      <c r="AM82" s="65">
        <v>373.22</v>
      </c>
      <c r="AN82" s="65">
        <v>0</v>
      </c>
      <c r="AO82" s="65">
        <v>0</v>
      </c>
    </row>
    <row r="83" spans="1:41" x14ac:dyDescent="0.2">
      <c r="A83" s="52" t="s">
        <v>330</v>
      </c>
      <c r="B83" s="52" t="s">
        <v>21</v>
      </c>
      <c r="C83" s="52" t="s">
        <v>1193</v>
      </c>
      <c r="D83" s="52" t="s">
        <v>255</v>
      </c>
      <c r="E83" s="65">
        <f>IF(B83="","",VLOOKUP(B83,dagsoorttabel1,2,FALSE))</f>
        <v>0.2</v>
      </c>
      <c r="F83" s="65">
        <v>1</v>
      </c>
      <c r="G83" s="65">
        <f>IF(prodnorm103&gt;0,1/ROUND(prodnorm103,4),0)</f>
        <v>0</v>
      </c>
      <c r="H83" s="67">
        <f>ROUND(dagwerk103,4+2)</f>
        <v>0</v>
      </c>
      <c r="I83" s="56">
        <f>ROUND(uurtarief103,2)</f>
        <v>0</v>
      </c>
      <c r="J83" s="65">
        <v>0</v>
      </c>
      <c r="K83" s="65">
        <v>0</v>
      </c>
      <c r="L83" s="65">
        <v>0</v>
      </c>
      <c r="M83" s="65">
        <v>0</v>
      </c>
      <c r="N83" s="65">
        <v>0</v>
      </c>
      <c r="O83" s="65">
        <v>0</v>
      </c>
      <c r="P83" s="65">
        <v>0</v>
      </c>
      <c r="Q83" s="65">
        <v>0</v>
      </c>
      <c r="R83" s="65">
        <v>0</v>
      </c>
      <c r="S83" s="65">
        <v>0</v>
      </c>
      <c r="T83" s="65">
        <v>0</v>
      </c>
      <c r="U83" s="65">
        <v>0</v>
      </c>
      <c r="V83" s="65">
        <v>0</v>
      </c>
      <c r="W83" s="65">
        <v>166</v>
      </c>
      <c r="X83" s="65">
        <v>0</v>
      </c>
      <c r="Y83" s="65">
        <v>0</v>
      </c>
      <c r="Z83" s="65">
        <v>0</v>
      </c>
      <c r="AA83" s="65">
        <v>0</v>
      </c>
      <c r="AB83" s="65">
        <v>0</v>
      </c>
      <c r="AC83" s="65">
        <v>0</v>
      </c>
      <c r="AD83" s="65">
        <v>0</v>
      </c>
      <c r="AE83" s="65">
        <v>0</v>
      </c>
      <c r="AF83" s="65">
        <v>0</v>
      </c>
      <c r="AG83" s="65">
        <v>0</v>
      </c>
      <c r="AH83" s="65">
        <v>0</v>
      </c>
      <c r="AI83" s="65">
        <v>0</v>
      </c>
      <c r="AJ83" s="65">
        <v>0</v>
      </c>
      <c r="AK83" s="65">
        <v>0</v>
      </c>
      <c r="AL83" s="65">
        <v>0</v>
      </c>
      <c r="AM83" s="65">
        <v>29.89</v>
      </c>
      <c r="AN83" s="65">
        <v>0</v>
      </c>
      <c r="AO83" s="65">
        <v>0</v>
      </c>
    </row>
    <row r="84" spans="1:41" x14ac:dyDescent="0.2">
      <c r="A84" s="52" t="s">
        <v>332</v>
      </c>
      <c r="B84" s="52" t="s">
        <v>10</v>
      </c>
      <c r="C84" s="52" t="s">
        <v>1193</v>
      </c>
      <c r="D84" s="52" t="s">
        <v>255</v>
      </c>
      <c r="E84" s="65">
        <f>IF(B84="","",VLOOKUP(B84,dagsoorttabel1,2,FALSE))</f>
        <v>1</v>
      </c>
      <c r="F84" s="65">
        <v>1</v>
      </c>
      <c r="G84" s="65">
        <f>IF(prodnorm104&gt;0,1/ROUND(prodnorm104,4),0)</f>
        <v>0</v>
      </c>
      <c r="H84" s="67">
        <f>ROUND(dagwerk104,4+2)</f>
        <v>0</v>
      </c>
      <c r="I84" s="56">
        <f>ROUND(uurtarief104,2)</f>
        <v>0</v>
      </c>
      <c r="J84" s="65">
        <v>0</v>
      </c>
      <c r="K84" s="65">
        <v>0</v>
      </c>
      <c r="L84" s="65">
        <v>0</v>
      </c>
      <c r="M84" s="65">
        <v>0</v>
      </c>
      <c r="N84" s="65">
        <v>0</v>
      </c>
      <c r="O84" s="65">
        <v>0</v>
      </c>
      <c r="P84" s="65">
        <v>0</v>
      </c>
      <c r="Q84" s="65">
        <v>0</v>
      </c>
      <c r="R84" s="65">
        <v>0</v>
      </c>
      <c r="S84" s="65">
        <v>0</v>
      </c>
      <c r="T84" s="65">
        <v>0</v>
      </c>
      <c r="U84" s="65">
        <v>0</v>
      </c>
      <c r="V84" s="65">
        <v>0</v>
      </c>
      <c r="W84" s="65">
        <v>0</v>
      </c>
      <c r="X84" s="65">
        <v>0</v>
      </c>
      <c r="Y84" s="65">
        <v>0</v>
      </c>
      <c r="Z84" s="65">
        <v>0</v>
      </c>
      <c r="AA84" s="65">
        <v>0</v>
      </c>
      <c r="AB84" s="65">
        <v>0</v>
      </c>
      <c r="AC84" s="65">
        <v>0</v>
      </c>
      <c r="AD84" s="65">
        <v>0</v>
      </c>
      <c r="AE84" s="65">
        <v>0</v>
      </c>
      <c r="AF84" s="65">
        <v>0</v>
      </c>
      <c r="AG84" s="65">
        <v>0</v>
      </c>
      <c r="AH84" s="65">
        <v>0</v>
      </c>
      <c r="AI84" s="65">
        <v>0</v>
      </c>
      <c r="AJ84" s="65">
        <v>0</v>
      </c>
      <c r="AK84" s="65">
        <v>0</v>
      </c>
      <c r="AL84" s="65">
        <v>0</v>
      </c>
      <c r="AM84" s="65">
        <v>373.22</v>
      </c>
      <c r="AN84" s="65">
        <v>0</v>
      </c>
      <c r="AO84" s="65">
        <v>0</v>
      </c>
    </row>
    <row r="85" spans="1:41" x14ac:dyDescent="0.2">
      <c r="A85" s="52" t="s">
        <v>334</v>
      </c>
      <c r="B85" s="52" t="s">
        <v>10</v>
      </c>
      <c r="C85" s="52" t="s">
        <v>1193</v>
      </c>
      <c r="D85" s="52" t="s">
        <v>255</v>
      </c>
      <c r="E85" s="65">
        <f>IF(B85="","",VLOOKUP(B85,dagsoorttabel1,2,FALSE))</f>
        <v>1</v>
      </c>
      <c r="F85" s="65">
        <v>1</v>
      </c>
      <c r="G85" s="65">
        <f>IF(prodnorm105&gt;0,1/ROUND(prodnorm105,4),0)</f>
        <v>0</v>
      </c>
      <c r="H85" s="67">
        <f>ROUND(dagwerk105,4+2)</f>
        <v>0</v>
      </c>
      <c r="I85" s="56">
        <f>ROUND(uurtarief105,2)</f>
        <v>0</v>
      </c>
      <c r="J85" s="65">
        <v>0</v>
      </c>
      <c r="K85" s="65">
        <v>0</v>
      </c>
      <c r="L85" s="65">
        <v>0</v>
      </c>
      <c r="M85" s="65">
        <v>0</v>
      </c>
      <c r="N85" s="65">
        <v>0</v>
      </c>
      <c r="O85" s="65">
        <v>0</v>
      </c>
      <c r="P85" s="65">
        <v>0</v>
      </c>
      <c r="Q85" s="65">
        <v>0</v>
      </c>
      <c r="R85" s="65">
        <v>0</v>
      </c>
      <c r="S85" s="65">
        <v>0</v>
      </c>
      <c r="T85" s="65">
        <v>0</v>
      </c>
      <c r="U85" s="65">
        <v>0</v>
      </c>
      <c r="V85" s="65">
        <v>0</v>
      </c>
      <c r="W85" s="65">
        <v>0</v>
      </c>
      <c r="X85" s="65">
        <v>0</v>
      </c>
      <c r="Y85" s="65">
        <v>0</v>
      </c>
      <c r="Z85" s="65">
        <v>0</v>
      </c>
      <c r="AA85" s="65">
        <v>0</v>
      </c>
      <c r="AB85" s="65">
        <v>0</v>
      </c>
      <c r="AC85" s="65">
        <v>0</v>
      </c>
      <c r="AD85" s="65">
        <v>0</v>
      </c>
      <c r="AE85" s="65">
        <v>0</v>
      </c>
      <c r="AF85" s="65">
        <v>0</v>
      </c>
      <c r="AG85" s="65">
        <v>0</v>
      </c>
      <c r="AH85" s="65">
        <v>0</v>
      </c>
      <c r="AI85" s="65">
        <v>0</v>
      </c>
      <c r="AJ85" s="65">
        <v>0</v>
      </c>
      <c r="AK85" s="65">
        <v>0</v>
      </c>
      <c r="AL85" s="65">
        <v>0</v>
      </c>
      <c r="AM85" s="65">
        <v>1678.99</v>
      </c>
      <c r="AN85" s="65">
        <v>0</v>
      </c>
      <c r="AO85" s="65">
        <v>0</v>
      </c>
    </row>
    <row r="86" spans="1:41" x14ac:dyDescent="0.2">
      <c r="A86" s="52" t="s">
        <v>336</v>
      </c>
      <c r="B86" s="52" t="s">
        <v>10</v>
      </c>
      <c r="C86" s="52" t="s">
        <v>1193</v>
      </c>
      <c r="D86" s="52" t="s">
        <v>255</v>
      </c>
      <c r="E86" s="65">
        <f>IF(B86="","",VLOOKUP(B86,dagsoorttabel1,2,FALSE))</f>
        <v>1</v>
      </c>
      <c r="F86" s="65">
        <v>1</v>
      </c>
      <c r="G86" s="65">
        <f>IF(prodnorm106&gt;0,1/ROUND(prodnorm106,4),0)</f>
        <v>0</v>
      </c>
      <c r="H86" s="67">
        <f>ROUND(dagwerk106,4+2)</f>
        <v>0</v>
      </c>
      <c r="I86" s="56">
        <f>ROUND(uurtarief106,2)</f>
        <v>0</v>
      </c>
      <c r="J86" s="65">
        <v>0</v>
      </c>
      <c r="K86" s="65">
        <v>0</v>
      </c>
      <c r="L86" s="65">
        <v>0</v>
      </c>
      <c r="M86" s="65">
        <v>0</v>
      </c>
      <c r="N86" s="65">
        <v>0</v>
      </c>
      <c r="O86" s="65">
        <v>0</v>
      </c>
      <c r="P86" s="65">
        <v>0</v>
      </c>
      <c r="Q86" s="65">
        <v>0</v>
      </c>
      <c r="R86" s="65">
        <v>0</v>
      </c>
      <c r="S86" s="65">
        <v>0</v>
      </c>
      <c r="T86" s="65">
        <v>0</v>
      </c>
      <c r="U86" s="65">
        <v>0</v>
      </c>
      <c r="V86" s="65">
        <v>0</v>
      </c>
      <c r="W86" s="65">
        <v>0</v>
      </c>
      <c r="X86" s="65">
        <v>0</v>
      </c>
      <c r="Y86" s="65">
        <v>0</v>
      </c>
      <c r="Z86" s="65">
        <v>0</v>
      </c>
      <c r="AA86" s="65">
        <v>0</v>
      </c>
      <c r="AB86" s="65">
        <v>0</v>
      </c>
      <c r="AC86" s="65">
        <v>0</v>
      </c>
      <c r="AD86" s="65">
        <v>0</v>
      </c>
      <c r="AE86" s="65">
        <v>0</v>
      </c>
      <c r="AF86" s="65">
        <v>0</v>
      </c>
      <c r="AG86" s="65">
        <v>0</v>
      </c>
      <c r="AH86" s="65">
        <v>0</v>
      </c>
      <c r="AI86" s="65">
        <v>0</v>
      </c>
      <c r="AJ86" s="65">
        <v>0</v>
      </c>
      <c r="AK86" s="65">
        <v>0</v>
      </c>
      <c r="AL86" s="65">
        <v>0</v>
      </c>
      <c r="AM86" s="65">
        <v>1678.99</v>
      </c>
      <c r="AN86" s="65">
        <v>0</v>
      </c>
      <c r="AO86" s="65">
        <v>0</v>
      </c>
    </row>
    <row r="87" spans="1:41" x14ac:dyDescent="0.2">
      <c r="A87" s="52" t="s">
        <v>338</v>
      </c>
      <c r="B87" s="52" t="s">
        <v>10</v>
      </c>
      <c r="C87" s="52" t="s">
        <v>1193</v>
      </c>
      <c r="D87" s="52" t="s">
        <v>255</v>
      </c>
      <c r="E87" s="65">
        <f>IF(B87="","",VLOOKUP(B87,dagsoorttabel1,2,FALSE))</f>
        <v>1</v>
      </c>
      <c r="F87" s="65">
        <v>1</v>
      </c>
      <c r="G87" s="65">
        <f>IF(prodnorm107&gt;0,1/ROUND(prodnorm107,4),0)</f>
        <v>0</v>
      </c>
      <c r="H87" s="67">
        <f>ROUND(dagwerk107,4+2)</f>
        <v>0</v>
      </c>
      <c r="I87" s="56">
        <f>ROUND(uurtarief107,2)</f>
        <v>0</v>
      </c>
      <c r="J87" s="65">
        <v>0</v>
      </c>
      <c r="K87" s="65">
        <v>0</v>
      </c>
      <c r="L87" s="65">
        <v>0</v>
      </c>
      <c r="M87" s="65">
        <v>0</v>
      </c>
      <c r="N87" s="65">
        <v>0</v>
      </c>
      <c r="O87" s="65">
        <v>0</v>
      </c>
      <c r="P87" s="65">
        <v>0</v>
      </c>
      <c r="Q87" s="65">
        <v>0</v>
      </c>
      <c r="R87" s="65">
        <v>0</v>
      </c>
      <c r="S87" s="65">
        <v>0</v>
      </c>
      <c r="T87" s="65">
        <v>0</v>
      </c>
      <c r="U87" s="65">
        <v>0</v>
      </c>
      <c r="V87" s="65">
        <v>0</v>
      </c>
      <c r="W87" s="65">
        <v>0</v>
      </c>
      <c r="X87" s="65">
        <v>0</v>
      </c>
      <c r="Y87" s="65">
        <v>0</v>
      </c>
      <c r="Z87" s="65">
        <v>0</v>
      </c>
      <c r="AA87" s="65">
        <v>0</v>
      </c>
      <c r="AB87" s="65">
        <v>0</v>
      </c>
      <c r="AC87" s="65">
        <v>0</v>
      </c>
      <c r="AD87" s="65">
        <v>0</v>
      </c>
      <c r="AE87" s="65">
        <v>0</v>
      </c>
      <c r="AF87" s="65">
        <v>0</v>
      </c>
      <c r="AG87" s="65">
        <v>0</v>
      </c>
      <c r="AH87" s="65">
        <v>0</v>
      </c>
      <c r="AI87" s="65">
        <v>0</v>
      </c>
      <c r="AJ87" s="65">
        <v>0</v>
      </c>
      <c r="AK87" s="65">
        <v>0</v>
      </c>
      <c r="AL87" s="65">
        <v>0</v>
      </c>
      <c r="AM87" s="65">
        <v>12.43</v>
      </c>
      <c r="AN87" s="65">
        <v>0</v>
      </c>
      <c r="AO87" s="65">
        <v>0</v>
      </c>
    </row>
    <row r="88" spans="1:41" x14ac:dyDescent="0.2">
      <c r="A88" s="52" t="s">
        <v>340</v>
      </c>
      <c r="B88" s="52" t="s">
        <v>10</v>
      </c>
      <c r="C88" s="52" t="s">
        <v>1193</v>
      </c>
      <c r="D88" s="52" t="s">
        <v>255</v>
      </c>
      <c r="E88" s="65">
        <f>IF(B88="","",VLOOKUP(B88,dagsoorttabel1,2,FALSE))</f>
        <v>1</v>
      </c>
      <c r="F88" s="65">
        <v>1</v>
      </c>
      <c r="G88" s="65">
        <f>IF(prodnorm108&gt;0,1/ROUND(prodnorm108,4),0)</f>
        <v>0</v>
      </c>
      <c r="H88" s="67">
        <f>ROUND(dagwerk108,4+2)</f>
        <v>0</v>
      </c>
      <c r="I88" s="56">
        <f>ROUND(uurtarief108,2)</f>
        <v>0</v>
      </c>
      <c r="J88" s="65">
        <v>0</v>
      </c>
      <c r="K88" s="65">
        <v>0</v>
      </c>
      <c r="L88" s="65">
        <v>0</v>
      </c>
      <c r="M88" s="65">
        <v>0</v>
      </c>
      <c r="N88" s="65">
        <v>0</v>
      </c>
      <c r="O88" s="65">
        <v>0</v>
      </c>
      <c r="P88" s="65">
        <v>0</v>
      </c>
      <c r="Q88" s="65">
        <v>0</v>
      </c>
      <c r="R88" s="65">
        <v>0</v>
      </c>
      <c r="S88" s="65">
        <v>0</v>
      </c>
      <c r="T88" s="65">
        <v>0</v>
      </c>
      <c r="U88" s="65">
        <v>0</v>
      </c>
      <c r="V88" s="65">
        <v>0</v>
      </c>
      <c r="W88" s="65">
        <v>0</v>
      </c>
      <c r="X88" s="65">
        <v>0</v>
      </c>
      <c r="Y88" s="65">
        <v>0</v>
      </c>
      <c r="Z88" s="65">
        <v>0</v>
      </c>
      <c r="AA88" s="65">
        <v>0</v>
      </c>
      <c r="AB88" s="65">
        <v>0</v>
      </c>
      <c r="AC88" s="65">
        <v>0</v>
      </c>
      <c r="AD88" s="65">
        <v>0</v>
      </c>
      <c r="AE88" s="65">
        <v>0</v>
      </c>
      <c r="AF88" s="65">
        <v>0</v>
      </c>
      <c r="AG88" s="65">
        <v>0</v>
      </c>
      <c r="AH88" s="65">
        <v>0</v>
      </c>
      <c r="AI88" s="65">
        <v>0</v>
      </c>
      <c r="AJ88" s="65">
        <v>0</v>
      </c>
      <c r="AK88" s="65">
        <v>0</v>
      </c>
      <c r="AL88" s="65">
        <v>0</v>
      </c>
      <c r="AM88" s="65">
        <v>12.43</v>
      </c>
      <c r="AN88" s="65">
        <v>0</v>
      </c>
      <c r="AO88" s="65">
        <v>0</v>
      </c>
    </row>
    <row r="89" spans="1:41" x14ac:dyDescent="0.2">
      <c r="A89" s="52" t="s">
        <v>342</v>
      </c>
      <c r="B89" s="52" t="s">
        <v>10</v>
      </c>
      <c r="C89" s="52" t="s">
        <v>1193</v>
      </c>
      <c r="D89" s="52" t="s">
        <v>255</v>
      </c>
      <c r="E89" s="65">
        <f>IF(B89="","",VLOOKUP(B89,dagsoorttabel1,2,FALSE))</f>
        <v>1</v>
      </c>
      <c r="F89" s="65">
        <v>1</v>
      </c>
      <c r="G89" s="65">
        <f>IF(prodnorm109&gt;0,1/ROUND(prodnorm109,4),0)</f>
        <v>0</v>
      </c>
      <c r="H89" s="67">
        <f>ROUND(dagwerk109,4+2)</f>
        <v>0</v>
      </c>
      <c r="I89" s="56">
        <f>ROUND(uurtarief109,2)</f>
        <v>0</v>
      </c>
      <c r="J89" s="65">
        <v>0</v>
      </c>
      <c r="K89" s="65">
        <v>0</v>
      </c>
      <c r="L89" s="65">
        <v>0</v>
      </c>
      <c r="M89" s="65">
        <v>0</v>
      </c>
      <c r="N89" s="65">
        <v>0</v>
      </c>
      <c r="O89" s="65">
        <v>0</v>
      </c>
      <c r="P89" s="65">
        <v>0</v>
      </c>
      <c r="Q89" s="65">
        <v>0</v>
      </c>
      <c r="R89" s="65">
        <v>0</v>
      </c>
      <c r="S89" s="65">
        <v>0</v>
      </c>
      <c r="T89" s="65">
        <v>0</v>
      </c>
      <c r="U89" s="65">
        <v>0</v>
      </c>
      <c r="V89" s="65">
        <v>0</v>
      </c>
      <c r="W89" s="65">
        <v>0</v>
      </c>
      <c r="X89" s="65">
        <v>0</v>
      </c>
      <c r="Y89" s="65">
        <v>0</v>
      </c>
      <c r="Z89" s="65">
        <v>0</v>
      </c>
      <c r="AA89" s="65">
        <v>0</v>
      </c>
      <c r="AB89" s="65">
        <v>0</v>
      </c>
      <c r="AC89" s="65">
        <v>0</v>
      </c>
      <c r="AD89" s="65">
        <v>0</v>
      </c>
      <c r="AE89" s="65">
        <v>0</v>
      </c>
      <c r="AF89" s="65">
        <v>0</v>
      </c>
      <c r="AG89" s="65">
        <v>0</v>
      </c>
      <c r="AH89" s="65">
        <v>0</v>
      </c>
      <c r="AI89" s="65">
        <v>0</v>
      </c>
      <c r="AJ89" s="65">
        <v>0</v>
      </c>
      <c r="AK89" s="65">
        <v>0</v>
      </c>
      <c r="AL89" s="65">
        <v>0</v>
      </c>
      <c r="AM89" s="65">
        <v>87</v>
      </c>
      <c r="AN89" s="65">
        <v>0</v>
      </c>
      <c r="AO89" s="65">
        <v>0</v>
      </c>
    </row>
    <row r="90" spans="1:41" x14ac:dyDescent="0.2">
      <c r="A90" s="52" t="s">
        <v>342</v>
      </c>
      <c r="B90" s="52" t="s">
        <v>21</v>
      </c>
      <c r="C90" s="52" t="s">
        <v>1193</v>
      </c>
      <c r="D90" s="52" t="s">
        <v>255</v>
      </c>
      <c r="E90" s="65">
        <f>IF(B90="","",VLOOKUP(B90,dagsoorttabel1,2,FALSE))</f>
        <v>0.2</v>
      </c>
      <c r="F90" s="65">
        <v>1</v>
      </c>
      <c r="G90" s="65">
        <f>IF(prodnorm110&gt;0,1/ROUND(prodnorm110,4),0)</f>
        <v>0</v>
      </c>
      <c r="H90" s="67">
        <f>ROUND(dagwerk110,4+2)</f>
        <v>0</v>
      </c>
      <c r="I90" s="56">
        <f>ROUND(uurtarief110,2)</f>
        <v>0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  <c r="Q90" s="65">
        <v>0</v>
      </c>
      <c r="R90" s="65">
        <v>0</v>
      </c>
      <c r="S90" s="65">
        <v>0</v>
      </c>
      <c r="T90" s="65">
        <v>0</v>
      </c>
      <c r="U90" s="65">
        <v>0</v>
      </c>
      <c r="V90" s="65">
        <v>0</v>
      </c>
      <c r="W90" s="65">
        <v>61</v>
      </c>
      <c r="X90" s="65">
        <v>0</v>
      </c>
      <c r="Y90" s="65">
        <v>0</v>
      </c>
      <c r="Z90" s="65">
        <v>0</v>
      </c>
      <c r="AA90" s="65">
        <v>0</v>
      </c>
      <c r="AB90" s="65">
        <v>0</v>
      </c>
      <c r="AC90" s="65">
        <v>0</v>
      </c>
      <c r="AD90" s="65">
        <v>0</v>
      </c>
      <c r="AE90" s="65">
        <v>0</v>
      </c>
      <c r="AF90" s="65">
        <v>0</v>
      </c>
      <c r="AG90" s="65">
        <v>0</v>
      </c>
      <c r="AH90" s="65">
        <v>0</v>
      </c>
      <c r="AI90" s="65">
        <v>0</v>
      </c>
      <c r="AJ90" s="65">
        <v>0</v>
      </c>
      <c r="AK90" s="65">
        <v>0</v>
      </c>
      <c r="AL90" s="65">
        <v>0</v>
      </c>
      <c r="AM90" s="65">
        <v>0</v>
      </c>
      <c r="AN90" s="65">
        <v>0</v>
      </c>
      <c r="AO90" s="65">
        <v>0</v>
      </c>
    </row>
    <row r="91" spans="1:41" x14ac:dyDescent="0.2">
      <c r="A91" s="52" t="s">
        <v>344</v>
      </c>
      <c r="B91" s="52" t="s">
        <v>10</v>
      </c>
      <c r="C91" s="52" t="s">
        <v>1193</v>
      </c>
      <c r="D91" s="52" t="s">
        <v>255</v>
      </c>
      <c r="E91" s="65">
        <f>IF(B91="","",VLOOKUP(B91,dagsoorttabel1,2,FALSE))</f>
        <v>1</v>
      </c>
      <c r="F91" s="65">
        <v>1</v>
      </c>
      <c r="G91" s="65">
        <f>IF(prodnorm111&gt;0,1/ROUND(prodnorm111,4),0)</f>
        <v>0</v>
      </c>
      <c r="H91" s="67">
        <f>ROUND(dagwerk111,4+2)</f>
        <v>0</v>
      </c>
      <c r="I91" s="56">
        <f>ROUND(uurtarief111,2)</f>
        <v>0</v>
      </c>
      <c r="J91" s="65">
        <v>0</v>
      </c>
      <c r="K91" s="65">
        <v>0</v>
      </c>
      <c r="L91" s="65">
        <v>0</v>
      </c>
      <c r="M91" s="65">
        <v>0</v>
      </c>
      <c r="N91" s="65">
        <v>0</v>
      </c>
      <c r="O91" s="65">
        <v>0</v>
      </c>
      <c r="P91" s="65">
        <v>0</v>
      </c>
      <c r="Q91" s="65">
        <v>0</v>
      </c>
      <c r="R91" s="65">
        <v>0</v>
      </c>
      <c r="S91" s="65">
        <v>0</v>
      </c>
      <c r="T91" s="65">
        <v>0</v>
      </c>
      <c r="U91" s="65">
        <v>0</v>
      </c>
      <c r="V91" s="65">
        <v>0</v>
      </c>
      <c r="W91" s="65">
        <v>0</v>
      </c>
      <c r="X91" s="65">
        <v>0</v>
      </c>
      <c r="Y91" s="65">
        <v>0</v>
      </c>
      <c r="Z91" s="65">
        <v>0</v>
      </c>
      <c r="AA91" s="65">
        <v>0</v>
      </c>
      <c r="AB91" s="65">
        <v>0</v>
      </c>
      <c r="AC91" s="65">
        <v>0</v>
      </c>
      <c r="AD91" s="65">
        <v>0</v>
      </c>
      <c r="AE91" s="65">
        <v>0</v>
      </c>
      <c r="AF91" s="65">
        <v>0</v>
      </c>
      <c r="AG91" s="65">
        <v>0</v>
      </c>
      <c r="AH91" s="65">
        <v>0</v>
      </c>
      <c r="AI91" s="65">
        <v>0</v>
      </c>
      <c r="AJ91" s="65">
        <v>0</v>
      </c>
      <c r="AK91" s="65">
        <v>0</v>
      </c>
      <c r="AL91" s="65">
        <v>0</v>
      </c>
      <c r="AM91" s="65">
        <v>59.039999999999992</v>
      </c>
      <c r="AN91" s="65">
        <v>0</v>
      </c>
      <c r="AO91" s="65">
        <v>0</v>
      </c>
    </row>
    <row r="92" spans="1:41" x14ac:dyDescent="0.2">
      <c r="A92" s="52" t="s">
        <v>346</v>
      </c>
      <c r="B92" s="52" t="s">
        <v>10</v>
      </c>
      <c r="C92" s="52" t="s">
        <v>1193</v>
      </c>
      <c r="D92" s="52" t="s">
        <v>255</v>
      </c>
      <c r="E92" s="65">
        <f>IF(B92="","",VLOOKUP(B92,dagsoorttabel1,2,FALSE))</f>
        <v>1</v>
      </c>
      <c r="F92" s="65">
        <v>1</v>
      </c>
      <c r="G92" s="65">
        <f>IF(prodnorm112&gt;0,1/ROUND(prodnorm112,4),0)</f>
        <v>0</v>
      </c>
      <c r="H92" s="67">
        <f>ROUND(dagwerk112,4+2)</f>
        <v>0</v>
      </c>
      <c r="I92" s="56">
        <f>ROUND(uurtarief112,2)</f>
        <v>0</v>
      </c>
      <c r="J92" s="65">
        <v>0</v>
      </c>
      <c r="K92" s="65">
        <v>0</v>
      </c>
      <c r="L92" s="65">
        <v>0</v>
      </c>
      <c r="M92" s="65">
        <v>0</v>
      </c>
      <c r="N92" s="65">
        <v>0</v>
      </c>
      <c r="O92" s="65">
        <v>0</v>
      </c>
      <c r="P92" s="65">
        <v>0</v>
      </c>
      <c r="Q92" s="65">
        <v>0</v>
      </c>
      <c r="R92" s="65">
        <v>0</v>
      </c>
      <c r="S92" s="65">
        <v>0</v>
      </c>
      <c r="T92" s="65">
        <v>0</v>
      </c>
      <c r="U92" s="65">
        <v>0</v>
      </c>
      <c r="V92" s="65">
        <v>0</v>
      </c>
      <c r="W92" s="65">
        <v>0</v>
      </c>
      <c r="X92" s="65">
        <v>0</v>
      </c>
      <c r="Y92" s="65">
        <v>0</v>
      </c>
      <c r="Z92" s="65">
        <v>0</v>
      </c>
      <c r="AA92" s="65">
        <v>0</v>
      </c>
      <c r="AB92" s="65">
        <v>0</v>
      </c>
      <c r="AC92" s="65">
        <v>0</v>
      </c>
      <c r="AD92" s="65">
        <v>0</v>
      </c>
      <c r="AE92" s="65">
        <v>0</v>
      </c>
      <c r="AF92" s="65">
        <v>0</v>
      </c>
      <c r="AG92" s="65">
        <v>0</v>
      </c>
      <c r="AH92" s="65">
        <v>0</v>
      </c>
      <c r="AI92" s="65">
        <v>0</v>
      </c>
      <c r="AJ92" s="65">
        <v>0</v>
      </c>
      <c r="AK92" s="65">
        <v>0</v>
      </c>
      <c r="AL92" s="65">
        <v>0</v>
      </c>
      <c r="AM92" s="65">
        <v>290.15999999999997</v>
      </c>
      <c r="AN92" s="65">
        <v>0</v>
      </c>
      <c r="AO92" s="65">
        <v>0</v>
      </c>
    </row>
    <row r="93" spans="1:41" x14ac:dyDescent="0.2">
      <c r="A93" s="52" t="s">
        <v>346</v>
      </c>
      <c r="B93" s="52" t="s">
        <v>21</v>
      </c>
      <c r="C93" s="52" t="s">
        <v>1193</v>
      </c>
      <c r="D93" s="52" t="s">
        <v>255</v>
      </c>
      <c r="E93" s="65">
        <f>IF(B93="","",VLOOKUP(B93,dagsoorttabel1,2,FALSE))</f>
        <v>0.2</v>
      </c>
      <c r="F93" s="65">
        <v>1</v>
      </c>
      <c r="G93" s="65">
        <f>IF(prodnorm113&gt;0,1/ROUND(prodnorm113,4),0)</f>
        <v>0</v>
      </c>
      <c r="H93" s="67">
        <f>ROUND(dagwerk113,4+2)</f>
        <v>0</v>
      </c>
      <c r="I93" s="56">
        <f>ROUND(uurtarief113,2)</f>
        <v>0</v>
      </c>
      <c r="J93" s="65">
        <v>0</v>
      </c>
      <c r="K93" s="65">
        <v>0</v>
      </c>
      <c r="L93" s="65">
        <v>0</v>
      </c>
      <c r="M93" s="65">
        <v>0</v>
      </c>
      <c r="N93" s="65">
        <v>0</v>
      </c>
      <c r="O93" s="65">
        <v>0</v>
      </c>
      <c r="P93" s="65">
        <v>0</v>
      </c>
      <c r="Q93" s="65">
        <v>0</v>
      </c>
      <c r="R93" s="65">
        <v>0</v>
      </c>
      <c r="S93" s="65">
        <v>0</v>
      </c>
      <c r="T93" s="65">
        <v>0</v>
      </c>
      <c r="U93" s="65">
        <v>0</v>
      </c>
      <c r="V93" s="65">
        <v>0</v>
      </c>
      <c r="W93" s="65">
        <v>295</v>
      </c>
      <c r="X93" s="65">
        <v>0</v>
      </c>
      <c r="Y93" s="65">
        <v>0</v>
      </c>
      <c r="Z93" s="65">
        <v>0</v>
      </c>
      <c r="AA93" s="65">
        <v>0</v>
      </c>
      <c r="AB93" s="65">
        <v>0</v>
      </c>
      <c r="AC93" s="65">
        <v>0</v>
      </c>
      <c r="AD93" s="65">
        <v>0</v>
      </c>
      <c r="AE93" s="65">
        <v>0</v>
      </c>
      <c r="AF93" s="65">
        <v>0</v>
      </c>
      <c r="AG93" s="65">
        <v>0</v>
      </c>
      <c r="AH93" s="65">
        <v>0</v>
      </c>
      <c r="AI93" s="65">
        <v>0</v>
      </c>
      <c r="AJ93" s="65">
        <v>0</v>
      </c>
      <c r="AK93" s="65">
        <v>0</v>
      </c>
      <c r="AL93" s="65">
        <v>0</v>
      </c>
      <c r="AM93" s="65">
        <v>0</v>
      </c>
      <c r="AN93" s="65">
        <v>0</v>
      </c>
      <c r="AO93" s="65">
        <v>0</v>
      </c>
    </row>
    <row r="94" spans="1:41" x14ac:dyDescent="0.2">
      <c r="A94" s="52" t="s">
        <v>348</v>
      </c>
      <c r="B94" s="52" t="s">
        <v>10</v>
      </c>
      <c r="C94" s="52" t="s">
        <v>1193</v>
      </c>
      <c r="D94" s="52" t="s">
        <v>255</v>
      </c>
      <c r="E94" s="65">
        <f>IF(B94="","",VLOOKUP(B94,dagsoorttabel1,2,FALSE))</f>
        <v>1</v>
      </c>
      <c r="F94" s="65">
        <v>1</v>
      </c>
      <c r="G94" s="65">
        <f>IF(prodnorm114&gt;0,1/ROUND(prodnorm114,4),0)</f>
        <v>0</v>
      </c>
      <c r="H94" s="67">
        <f>ROUND(dagwerk114,4+2)</f>
        <v>0</v>
      </c>
      <c r="I94" s="56">
        <f>ROUND(uurtarief114,2)</f>
        <v>0</v>
      </c>
      <c r="J94" s="65">
        <v>0</v>
      </c>
      <c r="K94" s="65">
        <v>0</v>
      </c>
      <c r="L94" s="65">
        <v>0</v>
      </c>
      <c r="M94" s="65">
        <v>0</v>
      </c>
      <c r="N94" s="65">
        <v>0</v>
      </c>
      <c r="O94" s="65">
        <v>0</v>
      </c>
      <c r="P94" s="65">
        <v>0</v>
      </c>
      <c r="Q94" s="65">
        <v>0</v>
      </c>
      <c r="R94" s="65">
        <v>0</v>
      </c>
      <c r="S94" s="65">
        <v>0</v>
      </c>
      <c r="T94" s="65">
        <v>0</v>
      </c>
      <c r="U94" s="65">
        <v>0</v>
      </c>
      <c r="V94" s="65">
        <v>0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5">
        <v>0</v>
      </c>
      <c r="AJ94" s="65">
        <v>0</v>
      </c>
      <c r="AK94" s="65">
        <v>0</v>
      </c>
      <c r="AL94" s="65">
        <v>0</v>
      </c>
      <c r="AM94" s="65">
        <v>264.02</v>
      </c>
      <c r="AN94" s="65">
        <v>0</v>
      </c>
      <c r="AO94" s="65">
        <v>0</v>
      </c>
    </row>
    <row r="95" spans="1:41" x14ac:dyDescent="0.2">
      <c r="A95" s="52" t="s">
        <v>350</v>
      </c>
      <c r="B95" s="52" t="s">
        <v>26</v>
      </c>
      <c r="C95" s="52" t="s">
        <v>1193</v>
      </c>
      <c r="D95" s="52" t="s">
        <v>255</v>
      </c>
      <c r="E95" s="65">
        <f>IF(B95="","",VLOOKUP(B95,dagsoorttabel1,2,FALSE))</f>
        <v>3.1372549019607843E-2</v>
      </c>
      <c r="F95" s="65">
        <v>1</v>
      </c>
      <c r="G95" s="65">
        <f>IF(prodnorm115&gt;0,1/ROUND(prodnorm115,4),0)</f>
        <v>0</v>
      </c>
      <c r="H95" s="67">
        <f>ROUND(dagwerk115,4+2)</f>
        <v>0</v>
      </c>
      <c r="I95" s="56">
        <f>ROUND(uurtarief115,2)</f>
        <v>0</v>
      </c>
      <c r="J95" s="65">
        <v>0</v>
      </c>
      <c r="K95" s="65">
        <v>0</v>
      </c>
      <c r="L95" s="65">
        <v>0</v>
      </c>
      <c r="M95" s="65">
        <v>0</v>
      </c>
      <c r="N95" s="65">
        <v>0</v>
      </c>
      <c r="O95" s="65">
        <v>0</v>
      </c>
      <c r="P95" s="65">
        <v>0</v>
      </c>
      <c r="Q95" s="65">
        <v>0</v>
      </c>
      <c r="R95" s="65">
        <v>0</v>
      </c>
      <c r="S95" s="65">
        <v>0</v>
      </c>
      <c r="T95" s="65">
        <v>0</v>
      </c>
      <c r="U95" s="65">
        <v>0</v>
      </c>
      <c r="V95" s="65">
        <v>0</v>
      </c>
      <c r="W95" s="65">
        <v>0</v>
      </c>
      <c r="X95" s="65">
        <v>0</v>
      </c>
      <c r="Y95" s="65">
        <v>0</v>
      </c>
      <c r="Z95" s="65">
        <v>0</v>
      </c>
      <c r="AA95" s="65">
        <v>0</v>
      </c>
      <c r="AB95" s="65">
        <v>0</v>
      </c>
      <c r="AC95" s="65">
        <v>0</v>
      </c>
      <c r="AD95" s="65">
        <v>0</v>
      </c>
      <c r="AE95" s="65">
        <v>1330</v>
      </c>
      <c r="AF95" s="65">
        <v>0</v>
      </c>
      <c r="AG95" s="65">
        <v>0</v>
      </c>
      <c r="AH95" s="65">
        <v>0</v>
      </c>
      <c r="AI95" s="65">
        <v>0</v>
      </c>
      <c r="AJ95" s="65">
        <v>0</v>
      </c>
      <c r="AK95" s="65">
        <v>0</v>
      </c>
      <c r="AL95" s="65">
        <v>0</v>
      </c>
      <c r="AM95" s="65">
        <v>0</v>
      </c>
      <c r="AN95" s="65">
        <v>0</v>
      </c>
      <c r="AO95" s="65">
        <v>0</v>
      </c>
    </row>
    <row r="96" spans="1:41" x14ac:dyDescent="0.2">
      <c r="A96" s="52" t="s">
        <v>350</v>
      </c>
      <c r="B96" s="52" t="s">
        <v>25</v>
      </c>
      <c r="C96" s="52" t="s">
        <v>1193</v>
      </c>
      <c r="D96" s="52" t="s">
        <v>352</v>
      </c>
      <c r="E96" s="65">
        <f>IF(B96="","",VLOOKUP(B96,dagsoorttabel1,2,FALSE))</f>
        <v>3.9215686274509803E-2</v>
      </c>
      <c r="F96" s="65">
        <v>1</v>
      </c>
      <c r="G96" s="65">
        <f>IF(prodnorm116&gt;0,1/ROUND(prodnorm116,4),0)</f>
        <v>0</v>
      </c>
      <c r="H96" s="67">
        <f>ROUND(dagwerk116,4+2)</f>
        <v>0</v>
      </c>
      <c r="I96" s="56">
        <f>ROUND(uurtarief116,2)</f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1294.3</v>
      </c>
      <c r="AH96" s="65">
        <v>0</v>
      </c>
      <c r="AI96" s="65">
        <v>0</v>
      </c>
      <c r="AJ96" s="65">
        <v>0</v>
      </c>
      <c r="AK96" s="65">
        <v>0</v>
      </c>
      <c r="AL96" s="65">
        <v>0</v>
      </c>
      <c r="AM96" s="65">
        <v>0</v>
      </c>
      <c r="AN96" s="65">
        <v>0</v>
      </c>
      <c r="AO96" s="65">
        <v>0</v>
      </c>
    </row>
    <row r="97" spans="1:41" x14ac:dyDescent="0.2">
      <c r="A97" s="52" t="s">
        <v>350</v>
      </c>
      <c r="B97" s="52" t="s">
        <v>26</v>
      </c>
      <c r="C97" s="52" t="s">
        <v>1193</v>
      </c>
      <c r="D97" s="52" t="s">
        <v>352</v>
      </c>
      <c r="E97" s="65">
        <f>IF(B97="","",VLOOKUP(B97,dagsoorttabel1,2,FALSE))</f>
        <v>3.1372549019607843E-2</v>
      </c>
      <c r="F97" s="65">
        <v>1</v>
      </c>
      <c r="G97" s="65">
        <f>IF(prodnorm117&gt;0,1/ROUND(prodnorm117,4),0)</f>
        <v>0</v>
      </c>
      <c r="H97" s="67">
        <f>ROUND(dagwerk117,4+2)</f>
        <v>0</v>
      </c>
      <c r="I97" s="56">
        <f>ROUND(uurtarief117,2)</f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252</v>
      </c>
      <c r="AB97" s="65">
        <v>235.3</v>
      </c>
      <c r="AC97" s="65">
        <v>0</v>
      </c>
      <c r="AD97" s="65">
        <v>252</v>
      </c>
      <c r="AE97" s="65">
        <v>0</v>
      </c>
      <c r="AF97" s="65">
        <v>1338</v>
      </c>
      <c r="AG97" s="65">
        <v>0</v>
      </c>
      <c r="AH97" s="65">
        <v>0</v>
      </c>
      <c r="AI97" s="65">
        <v>0</v>
      </c>
      <c r="AJ97" s="65">
        <v>0</v>
      </c>
      <c r="AK97" s="65">
        <v>0</v>
      </c>
      <c r="AL97" s="65">
        <v>0</v>
      </c>
      <c r="AM97" s="65">
        <v>0</v>
      </c>
      <c r="AN97" s="65">
        <v>0</v>
      </c>
      <c r="AO97" s="65">
        <v>0</v>
      </c>
    </row>
    <row r="98" spans="1:41" x14ac:dyDescent="0.2">
      <c r="A98" s="52" t="s">
        <v>353</v>
      </c>
      <c r="B98" s="52" t="s">
        <v>10</v>
      </c>
      <c r="C98" s="52" t="s">
        <v>1193</v>
      </c>
      <c r="D98" s="52" t="s">
        <v>354</v>
      </c>
      <c r="E98" s="65">
        <f>IF(B98="","",VLOOKUP(B98,dagsoorttabel1,2,FALSE))</f>
        <v>1</v>
      </c>
      <c r="F98" s="65">
        <v>1</v>
      </c>
      <c r="G98" s="65">
        <v>1</v>
      </c>
      <c r="H98" s="67">
        <f>ROUND(dagwerk23,4+2)</f>
        <v>0</v>
      </c>
      <c r="I98" s="56">
        <f>ROUND(uurtarief23,2)</f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3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5">
        <v>0</v>
      </c>
      <c r="AN98" s="65">
        <v>0</v>
      </c>
      <c r="AO98" s="65">
        <v>0</v>
      </c>
    </row>
    <row r="99" spans="1:41" x14ac:dyDescent="0.2">
      <c r="A99" s="57" t="s">
        <v>357</v>
      </c>
      <c r="B99" s="57" t="s">
        <v>10</v>
      </c>
      <c r="C99" s="57" t="s">
        <v>1193</v>
      </c>
      <c r="D99" s="57" t="s">
        <v>354</v>
      </c>
      <c r="E99" s="69">
        <f>IF(B99="","",VLOOKUP(B99,dagsoorttabel1,2,FALSE))</f>
        <v>1</v>
      </c>
      <c r="F99" s="69">
        <v>1</v>
      </c>
      <c r="G99" s="69">
        <f>ROUND(prodnorm24,4)/60</f>
        <v>0</v>
      </c>
      <c r="H99" s="80">
        <f>ROUND(dagwerk24,4+2)</f>
        <v>0</v>
      </c>
      <c r="I99" s="61">
        <f>ROUND(uurtarief24,2)</f>
        <v>0</v>
      </c>
      <c r="J99" s="69">
        <v>0</v>
      </c>
      <c r="K99" s="69">
        <v>0</v>
      </c>
      <c r="L99" s="69">
        <v>0</v>
      </c>
      <c r="M99" s="69">
        <v>0</v>
      </c>
      <c r="N99" s="69">
        <v>0</v>
      </c>
      <c r="O99" s="69">
        <v>0</v>
      </c>
      <c r="P99" s="69">
        <v>0</v>
      </c>
      <c r="Q99" s="69">
        <v>0</v>
      </c>
      <c r="R99" s="69">
        <v>0</v>
      </c>
      <c r="S99" s="69">
        <v>0</v>
      </c>
      <c r="T99" s="69">
        <v>0</v>
      </c>
      <c r="U99" s="69">
        <v>0</v>
      </c>
      <c r="V99" s="69">
        <v>6</v>
      </c>
      <c r="W99" s="69">
        <v>0</v>
      </c>
      <c r="X99" s="69">
        <v>0</v>
      </c>
      <c r="Y99" s="69">
        <v>0</v>
      </c>
      <c r="Z99" s="69">
        <v>0</v>
      </c>
      <c r="AA99" s="69">
        <v>0</v>
      </c>
      <c r="AB99" s="69">
        <v>0</v>
      </c>
      <c r="AC99" s="69">
        <v>0</v>
      </c>
      <c r="AD99" s="69">
        <v>0</v>
      </c>
      <c r="AE99" s="69">
        <v>0</v>
      </c>
      <c r="AF99" s="69">
        <v>0</v>
      </c>
      <c r="AG99" s="69">
        <v>0</v>
      </c>
      <c r="AH99" s="69">
        <v>0</v>
      </c>
      <c r="AI99" s="69">
        <v>0</v>
      </c>
      <c r="AJ99" s="69">
        <v>0</v>
      </c>
      <c r="AK99" s="69">
        <v>0</v>
      </c>
      <c r="AL99" s="69">
        <v>0</v>
      </c>
      <c r="AM99" s="69">
        <v>0</v>
      </c>
      <c r="AN99" s="69">
        <v>0</v>
      </c>
      <c r="AO99" s="69">
        <v>0</v>
      </c>
    </row>
    <row r="100" spans="1:41" x14ac:dyDescent="0.2">
      <c r="A100" s="72" t="s">
        <v>360</v>
      </c>
      <c r="B100" s="73"/>
      <c r="C100" s="73"/>
      <c r="D100" s="73"/>
      <c r="E100" s="73"/>
      <c r="F100" s="73"/>
      <c r="G100" s="73"/>
      <c r="H100" s="73"/>
      <c r="I100" s="73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</row>
    <row r="102" spans="1:41" x14ac:dyDescent="0.2">
      <c r="A102" s="47" t="s">
        <v>362</v>
      </c>
      <c r="B102" s="47" t="s">
        <v>18</v>
      </c>
      <c r="C102" s="47" t="s">
        <v>1194</v>
      </c>
      <c r="D102" s="47" t="s">
        <v>255</v>
      </c>
      <c r="E102" s="62">
        <f>IF(B102="","",VLOOKUP(B102,dagsoorttabel3,2,FALSE))</f>
        <v>1</v>
      </c>
      <c r="F102" s="62">
        <v>1</v>
      </c>
      <c r="G102" s="62">
        <f>IF(prodnorm119&gt;0,1/ROUND(prodnorm119,4),0)</f>
        <v>0</v>
      </c>
      <c r="H102" s="64">
        <f>ROUND(dagwerk119,4+2)</f>
        <v>0</v>
      </c>
      <c r="I102" s="51">
        <f>ROUND(uurtarief119,2)</f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  <c r="AI102" s="62">
        <v>0</v>
      </c>
      <c r="AJ102" s="62">
        <v>0</v>
      </c>
      <c r="AK102" s="62">
        <v>0</v>
      </c>
      <c r="AL102" s="62">
        <v>0</v>
      </c>
      <c r="AM102" s="62">
        <v>176.46</v>
      </c>
      <c r="AN102" s="62">
        <v>0</v>
      </c>
      <c r="AO102" s="62">
        <v>0</v>
      </c>
    </row>
    <row r="103" spans="1:41" x14ac:dyDescent="0.2">
      <c r="A103" s="52" t="s">
        <v>363</v>
      </c>
      <c r="B103" s="52" t="s">
        <v>18</v>
      </c>
      <c r="C103" s="52" t="s">
        <v>1194</v>
      </c>
      <c r="D103" s="52" t="s">
        <v>255</v>
      </c>
      <c r="E103" s="65">
        <f>IF(B103="","",VLOOKUP(B103,dagsoorttabel3,2,FALSE))</f>
        <v>1</v>
      </c>
      <c r="F103" s="65">
        <v>1</v>
      </c>
      <c r="G103" s="65">
        <f>IF(prodnorm120&gt;0,1/ROUND(prodnorm120,4),0)</f>
        <v>0</v>
      </c>
      <c r="H103" s="67">
        <f>ROUND(dagwerk120,4+2)</f>
        <v>0</v>
      </c>
      <c r="I103" s="56">
        <f>ROUND(uurtarief120,2)</f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  <c r="AI103" s="65">
        <v>0</v>
      </c>
      <c r="AJ103" s="65">
        <v>0</v>
      </c>
      <c r="AK103" s="65">
        <v>0</v>
      </c>
      <c r="AL103" s="65">
        <v>0</v>
      </c>
      <c r="AM103" s="65">
        <v>64.330000000000013</v>
      </c>
      <c r="AN103" s="65">
        <v>0</v>
      </c>
      <c r="AO103" s="65">
        <v>0</v>
      </c>
    </row>
    <row r="104" spans="1:41" x14ac:dyDescent="0.2">
      <c r="A104" s="52" t="s">
        <v>364</v>
      </c>
      <c r="B104" s="52" t="s">
        <v>18</v>
      </c>
      <c r="C104" s="52" t="s">
        <v>1194</v>
      </c>
      <c r="D104" s="52" t="s">
        <v>255</v>
      </c>
      <c r="E104" s="65">
        <f>IF(B104="","",VLOOKUP(B104,dagsoorttabel3,2,FALSE))</f>
        <v>1</v>
      </c>
      <c r="F104" s="65">
        <v>1</v>
      </c>
      <c r="G104" s="65">
        <f>IF(prodnorm121&gt;0,1/ROUND(prodnorm121,4),0)</f>
        <v>0</v>
      </c>
      <c r="H104" s="67">
        <f>ROUND(dagwerk121,4+2)</f>
        <v>0</v>
      </c>
      <c r="I104" s="56">
        <f>ROUND(uurtarief121,2)</f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  <c r="AI104" s="65">
        <v>0</v>
      </c>
      <c r="AJ104" s="65">
        <v>0</v>
      </c>
      <c r="AK104" s="65">
        <v>0</v>
      </c>
      <c r="AL104" s="65">
        <v>0</v>
      </c>
      <c r="AM104" s="65">
        <v>53.97</v>
      </c>
      <c r="AN104" s="65">
        <v>0</v>
      </c>
      <c r="AO104" s="65">
        <v>0</v>
      </c>
    </row>
    <row r="105" spans="1:41" x14ac:dyDescent="0.2">
      <c r="A105" s="52" t="s">
        <v>366</v>
      </c>
      <c r="B105" s="52" t="s">
        <v>18</v>
      </c>
      <c r="C105" s="52" t="s">
        <v>1194</v>
      </c>
      <c r="D105" s="52" t="s">
        <v>255</v>
      </c>
      <c r="E105" s="65">
        <f>IF(B105="","",VLOOKUP(B105,dagsoorttabel3,2,FALSE))</f>
        <v>1</v>
      </c>
      <c r="F105" s="65">
        <v>1</v>
      </c>
      <c r="G105" s="65">
        <f>IF(prodnorm122&gt;0,1/ROUND(prodnorm122,4),0)</f>
        <v>0</v>
      </c>
      <c r="H105" s="67">
        <f>ROUND(dagwerk122,4+2)</f>
        <v>0</v>
      </c>
      <c r="I105" s="56">
        <f>ROUND(uurtarief122,2)</f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  <c r="AI105" s="65">
        <v>0</v>
      </c>
      <c r="AJ105" s="65">
        <v>0</v>
      </c>
      <c r="AK105" s="65">
        <v>0</v>
      </c>
      <c r="AL105" s="65">
        <v>0</v>
      </c>
      <c r="AM105" s="65">
        <v>18.02</v>
      </c>
      <c r="AN105" s="65">
        <v>0</v>
      </c>
      <c r="AO105" s="65">
        <v>0</v>
      </c>
    </row>
    <row r="106" spans="1:41" x14ac:dyDescent="0.2">
      <c r="A106" s="52" t="s">
        <v>367</v>
      </c>
      <c r="B106" s="52" t="s">
        <v>18</v>
      </c>
      <c r="C106" s="52" t="s">
        <v>1194</v>
      </c>
      <c r="D106" s="52" t="s">
        <v>255</v>
      </c>
      <c r="E106" s="65">
        <f>IF(B106="","",VLOOKUP(B106,dagsoorttabel3,2,FALSE))</f>
        <v>1</v>
      </c>
      <c r="F106" s="65">
        <v>1</v>
      </c>
      <c r="G106" s="65">
        <f>IF(prodnorm123&gt;0,1/ROUND(prodnorm123,4),0)</f>
        <v>0</v>
      </c>
      <c r="H106" s="67">
        <f>ROUND(dagwerk123,4+2)</f>
        <v>0</v>
      </c>
      <c r="I106" s="56">
        <f>ROUND(uurtarief123,2)</f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  <c r="AI106" s="65">
        <v>0</v>
      </c>
      <c r="AJ106" s="65">
        <v>0</v>
      </c>
      <c r="AK106" s="65">
        <v>0</v>
      </c>
      <c r="AL106" s="65">
        <v>0</v>
      </c>
      <c r="AM106" s="65">
        <v>25.32</v>
      </c>
      <c r="AN106" s="65">
        <v>0</v>
      </c>
      <c r="AO106" s="65">
        <v>0</v>
      </c>
    </row>
    <row r="107" spans="1:41" x14ac:dyDescent="0.2">
      <c r="A107" s="52" t="s">
        <v>369</v>
      </c>
      <c r="B107" s="52" t="s">
        <v>18</v>
      </c>
      <c r="C107" s="52" t="s">
        <v>1194</v>
      </c>
      <c r="D107" s="52" t="s">
        <v>255</v>
      </c>
      <c r="E107" s="65">
        <f>IF(B107="","",VLOOKUP(B107,dagsoorttabel3,2,FALSE))</f>
        <v>1</v>
      </c>
      <c r="F107" s="65">
        <v>1</v>
      </c>
      <c r="G107" s="65">
        <f>IF(prodnorm124&gt;0,1/ROUND(prodnorm124,4),0)</f>
        <v>0</v>
      </c>
      <c r="H107" s="67">
        <f>ROUND(dagwerk124,4+2)</f>
        <v>0</v>
      </c>
      <c r="I107" s="56">
        <f>ROUND(uurtarief124,2)</f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  <c r="AI107" s="65">
        <v>0</v>
      </c>
      <c r="AJ107" s="65">
        <v>0</v>
      </c>
      <c r="AK107" s="65">
        <v>0</v>
      </c>
      <c r="AL107" s="65">
        <v>0</v>
      </c>
      <c r="AM107" s="65">
        <v>73.89</v>
      </c>
      <c r="AN107" s="65">
        <v>0</v>
      </c>
      <c r="AO107" s="65">
        <v>0</v>
      </c>
    </row>
    <row r="108" spans="1:41" x14ac:dyDescent="0.2">
      <c r="A108" s="52" t="s">
        <v>370</v>
      </c>
      <c r="B108" s="52" t="s">
        <v>18</v>
      </c>
      <c r="C108" s="52" t="s">
        <v>1194</v>
      </c>
      <c r="D108" s="52" t="s">
        <v>255</v>
      </c>
      <c r="E108" s="65">
        <f>IF(B108="","",VLOOKUP(B108,dagsoorttabel3,2,FALSE))</f>
        <v>1</v>
      </c>
      <c r="F108" s="65">
        <v>1</v>
      </c>
      <c r="G108" s="65">
        <f>IF(prodnorm125&gt;0,1/ROUND(prodnorm125,4),0)</f>
        <v>0</v>
      </c>
      <c r="H108" s="67">
        <f>ROUND(dagwerk125,4+2)</f>
        <v>0</v>
      </c>
      <c r="I108" s="56">
        <f>ROUND(uurtarief125,2)</f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  <c r="AI108" s="65">
        <v>0</v>
      </c>
      <c r="AJ108" s="65">
        <v>0</v>
      </c>
      <c r="AK108" s="65">
        <v>0</v>
      </c>
      <c r="AL108" s="65">
        <v>0</v>
      </c>
      <c r="AM108" s="65">
        <v>46.46</v>
      </c>
      <c r="AN108" s="65">
        <v>0</v>
      </c>
      <c r="AO108" s="65">
        <v>0</v>
      </c>
    </row>
    <row r="109" spans="1:41" x14ac:dyDescent="0.2">
      <c r="A109" s="52" t="s">
        <v>371</v>
      </c>
      <c r="B109" s="52" t="s">
        <v>18</v>
      </c>
      <c r="C109" s="52" t="s">
        <v>1194</v>
      </c>
      <c r="D109" s="52" t="s">
        <v>255</v>
      </c>
      <c r="E109" s="65">
        <f>IF(B109="","",VLOOKUP(B109,dagsoorttabel3,2,FALSE))</f>
        <v>1</v>
      </c>
      <c r="F109" s="65">
        <v>1</v>
      </c>
      <c r="G109" s="65">
        <f>IF(prodnorm126&gt;0,1/ROUND(prodnorm126,4),0)</f>
        <v>0</v>
      </c>
      <c r="H109" s="67">
        <f>ROUND(dagwerk126,4+2)</f>
        <v>0</v>
      </c>
      <c r="I109" s="56">
        <f>ROUND(uurtarief126,2)</f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  <c r="AI109" s="65">
        <v>0</v>
      </c>
      <c r="AJ109" s="65">
        <v>0</v>
      </c>
      <c r="AK109" s="65">
        <v>0</v>
      </c>
      <c r="AL109" s="65">
        <v>0</v>
      </c>
      <c r="AM109" s="65">
        <v>46.46</v>
      </c>
      <c r="AN109" s="65">
        <v>0</v>
      </c>
      <c r="AO109" s="65">
        <v>0</v>
      </c>
    </row>
    <row r="110" spans="1:41" x14ac:dyDescent="0.2">
      <c r="A110" s="52" t="s">
        <v>372</v>
      </c>
      <c r="B110" s="52" t="s">
        <v>18</v>
      </c>
      <c r="C110" s="52" t="s">
        <v>1194</v>
      </c>
      <c r="D110" s="52" t="s">
        <v>255</v>
      </c>
      <c r="E110" s="65">
        <f>IF(B110="","",VLOOKUP(B110,dagsoorttabel3,2,FALSE))</f>
        <v>1</v>
      </c>
      <c r="F110" s="65">
        <v>1</v>
      </c>
      <c r="G110" s="65">
        <f>IF(prodnorm127&gt;0,1/ROUND(prodnorm127,4),0)</f>
        <v>0</v>
      </c>
      <c r="H110" s="67">
        <f>ROUND(dagwerk127,4+2)</f>
        <v>0</v>
      </c>
      <c r="I110" s="56">
        <f>ROUND(uurtarief127,2)</f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  <c r="AI110" s="65">
        <v>0</v>
      </c>
      <c r="AJ110" s="65">
        <v>0</v>
      </c>
      <c r="AK110" s="65">
        <v>0</v>
      </c>
      <c r="AL110" s="65">
        <v>0</v>
      </c>
      <c r="AM110" s="65">
        <v>373.22</v>
      </c>
      <c r="AN110" s="65">
        <v>0</v>
      </c>
      <c r="AO110" s="65">
        <v>0</v>
      </c>
    </row>
    <row r="111" spans="1:41" x14ac:dyDescent="0.2">
      <c r="A111" s="52" t="s">
        <v>373</v>
      </c>
      <c r="B111" s="52" t="s">
        <v>18</v>
      </c>
      <c r="C111" s="52" t="s">
        <v>1194</v>
      </c>
      <c r="D111" s="52" t="s">
        <v>255</v>
      </c>
      <c r="E111" s="65">
        <f>IF(B111="","",VLOOKUP(B111,dagsoorttabel3,2,FALSE))</f>
        <v>1</v>
      </c>
      <c r="F111" s="65">
        <v>1</v>
      </c>
      <c r="G111" s="65">
        <f>IF(prodnorm128&gt;0,1/ROUND(prodnorm128,4),0)</f>
        <v>0</v>
      </c>
      <c r="H111" s="67">
        <f>ROUND(dagwerk128,4+2)</f>
        <v>0</v>
      </c>
      <c r="I111" s="56">
        <f>ROUND(uurtarief128,2)</f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  <c r="AI111" s="65">
        <v>0</v>
      </c>
      <c r="AJ111" s="65">
        <v>0</v>
      </c>
      <c r="AK111" s="65">
        <v>0</v>
      </c>
      <c r="AL111" s="65">
        <v>0</v>
      </c>
      <c r="AM111" s="65">
        <v>64.400000000000006</v>
      </c>
      <c r="AN111" s="65">
        <v>0</v>
      </c>
      <c r="AO111" s="65">
        <v>0</v>
      </c>
    </row>
    <row r="112" spans="1:41" x14ac:dyDescent="0.2">
      <c r="A112" s="52" t="s">
        <v>374</v>
      </c>
      <c r="B112" s="52" t="s">
        <v>18</v>
      </c>
      <c r="C112" s="52" t="s">
        <v>1194</v>
      </c>
      <c r="D112" s="52" t="s">
        <v>255</v>
      </c>
      <c r="E112" s="65">
        <f>IF(B112="","",VLOOKUP(B112,dagsoorttabel3,2,FALSE))</f>
        <v>1</v>
      </c>
      <c r="F112" s="65">
        <v>1</v>
      </c>
      <c r="G112" s="65">
        <f>IF(prodnorm129&gt;0,1/ROUND(prodnorm129,4),0)</f>
        <v>0</v>
      </c>
      <c r="H112" s="67">
        <f>ROUND(dagwerk129,4+2)</f>
        <v>0</v>
      </c>
      <c r="I112" s="56">
        <f>ROUND(uurtarief129,2)</f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  <c r="AI112" s="65">
        <v>0</v>
      </c>
      <c r="AJ112" s="65">
        <v>0</v>
      </c>
      <c r="AK112" s="65">
        <v>0</v>
      </c>
      <c r="AL112" s="65">
        <v>0</v>
      </c>
      <c r="AM112" s="65">
        <v>62.219999999999992</v>
      </c>
      <c r="AN112" s="65">
        <v>0</v>
      </c>
      <c r="AO112" s="65">
        <v>0</v>
      </c>
    </row>
    <row r="113" spans="1:41" x14ac:dyDescent="0.2">
      <c r="A113" s="52" t="s">
        <v>375</v>
      </c>
      <c r="B113" s="52" t="s">
        <v>18</v>
      </c>
      <c r="C113" s="52" t="s">
        <v>1194</v>
      </c>
      <c r="D113" s="52" t="s">
        <v>255</v>
      </c>
      <c r="E113" s="65">
        <f>IF(B113="","",VLOOKUP(B113,dagsoorttabel3,2,FALSE))</f>
        <v>1</v>
      </c>
      <c r="F113" s="65">
        <v>1</v>
      </c>
      <c r="G113" s="65">
        <f>IF(prodnorm130&gt;0,1/ROUND(prodnorm130,4),0)</f>
        <v>0</v>
      </c>
      <c r="H113" s="67">
        <f>ROUND(dagwerk130,4+2)</f>
        <v>0</v>
      </c>
      <c r="I113" s="56">
        <f>ROUND(uurtarief130,2)</f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65">
        <v>0</v>
      </c>
      <c r="AJ113" s="65">
        <v>0</v>
      </c>
      <c r="AK113" s="65">
        <v>0</v>
      </c>
      <c r="AL113" s="65">
        <v>0</v>
      </c>
      <c r="AM113" s="65">
        <v>36.529999999999994</v>
      </c>
      <c r="AN113" s="65">
        <v>0</v>
      </c>
      <c r="AO113" s="65">
        <v>0</v>
      </c>
    </row>
    <row r="114" spans="1:41" x14ac:dyDescent="0.2">
      <c r="A114" s="52" t="s">
        <v>377</v>
      </c>
      <c r="B114" s="52" t="s">
        <v>18</v>
      </c>
      <c r="C114" s="52" t="s">
        <v>1194</v>
      </c>
      <c r="D114" s="52" t="s">
        <v>255</v>
      </c>
      <c r="E114" s="65">
        <f>IF(B114="","",VLOOKUP(B114,dagsoorttabel3,2,FALSE))</f>
        <v>1</v>
      </c>
      <c r="F114" s="65">
        <v>1</v>
      </c>
      <c r="G114" s="65">
        <f>IF(prodnorm131&gt;0,1/ROUND(prodnorm131,4),0)</f>
        <v>0</v>
      </c>
      <c r="H114" s="67">
        <f>ROUND(dagwerk131,4+2)</f>
        <v>0</v>
      </c>
      <c r="I114" s="56">
        <f>ROUND(uurtarief131,2)</f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65">
        <v>0</v>
      </c>
      <c r="AJ114" s="65">
        <v>0</v>
      </c>
      <c r="AK114" s="65">
        <v>0</v>
      </c>
      <c r="AL114" s="65">
        <v>0</v>
      </c>
      <c r="AM114" s="65">
        <v>113.09</v>
      </c>
      <c r="AN114" s="65">
        <v>0</v>
      </c>
      <c r="AO114" s="65">
        <v>0</v>
      </c>
    </row>
    <row r="115" spans="1:41" x14ac:dyDescent="0.2">
      <c r="A115" s="57" t="s">
        <v>378</v>
      </c>
      <c r="B115" s="57" t="s">
        <v>18</v>
      </c>
      <c r="C115" s="57" t="s">
        <v>1194</v>
      </c>
      <c r="D115" s="57" t="s">
        <v>255</v>
      </c>
      <c r="E115" s="69">
        <f>IF(B115="","",VLOOKUP(B115,dagsoorttabel3,2,FALSE))</f>
        <v>1</v>
      </c>
      <c r="F115" s="69">
        <v>1</v>
      </c>
      <c r="G115" s="69">
        <f>IF(prodnorm132&gt;0,1/ROUND(prodnorm132,4),0)</f>
        <v>0</v>
      </c>
      <c r="H115" s="80">
        <f>ROUND(dagwerk132,4+2)</f>
        <v>0</v>
      </c>
      <c r="I115" s="61">
        <f>ROUND(uurtarief132,2)</f>
        <v>0</v>
      </c>
      <c r="J115" s="69">
        <v>0</v>
      </c>
      <c r="K115" s="69">
        <v>0</v>
      </c>
      <c r="L115" s="69">
        <v>0</v>
      </c>
      <c r="M115" s="69">
        <v>0</v>
      </c>
      <c r="N115" s="69">
        <v>0</v>
      </c>
      <c r="O115" s="69">
        <v>0</v>
      </c>
      <c r="P115" s="69">
        <v>0</v>
      </c>
      <c r="Q115" s="69">
        <v>0</v>
      </c>
      <c r="R115" s="69">
        <v>0</v>
      </c>
      <c r="S115" s="69">
        <v>0</v>
      </c>
      <c r="T115" s="69">
        <v>0</v>
      </c>
      <c r="U115" s="69">
        <v>0</v>
      </c>
      <c r="V115" s="69">
        <v>0</v>
      </c>
      <c r="W115" s="69">
        <v>0</v>
      </c>
      <c r="X115" s="69">
        <v>0</v>
      </c>
      <c r="Y115" s="69">
        <v>0</v>
      </c>
      <c r="Z115" s="69">
        <v>0</v>
      </c>
      <c r="AA115" s="69">
        <v>0</v>
      </c>
      <c r="AB115" s="69">
        <v>0</v>
      </c>
      <c r="AC115" s="69">
        <v>0</v>
      </c>
      <c r="AD115" s="69">
        <v>0</v>
      </c>
      <c r="AE115" s="69">
        <v>0</v>
      </c>
      <c r="AF115" s="69">
        <v>0</v>
      </c>
      <c r="AG115" s="69">
        <v>0</v>
      </c>
      <c r="AH115" s="69">
        <v>0</v>
      </c>
      <c r="AI115" s="69">
        <v>0</v>
      </c>
      <c r="AJ115" s="69">
        <v>0</v>
      </c>
      <c r="AK115" s="69">
        <v>0</v>
      </c>
      <c r="AL115" s="69">
        <v>0</v>
      </c>
      <c r="AM115" s="69">
        <v>57.339999999999996</v>
      </c>
      <c r="AN115" s="69">
        <v>0</v>
      </c>
      <c r="AO115" s="69">
        <v>0</v>
      </c>
    </row>
    <row r="116" spans="1:41" x14ac:dyDescent="0.2">
      <c r="A116" s="72" t="s">
        <v>379</v>
      </c>
      <c r="B116" s="73"/>
      <c r="C116" s="73"/>
      <c r="D116" s="73"/>
      <c r="E116" s="73"/>
      <c r="F116" s="73"/>
      <c r="G116" s="73"/>
      <c r="H116" s="73"/>
      <c r="I116" s="73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</row>
  </sheetData>
  <sheetProtection algorithmName="SHA-512" hashValue="Ig7V1ZDFLfwvFBHl6uPpYff3aOWe5pbVZCLpPzu69WBTM2XVMzkCaCqzpFjN0ipxy9JWWW5MiV6sXuQpqlZA0A==" saltValue="ETl5X1qIfdda3IMniwnccw==" spinCount="100000" sheet="1" objects="1" scenarios="1" autoFilter="0"/>
  <pageMargins left="0.7" right="0.7" top="0.75" bottom="0.75" header="0.3" footer="0.3"/>
  <pageSetup scale="70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F631-A988-40DB-AA8A-09F28EFF57CE}">
  <dimension ref="A1:S46"/>
  <sheetViews>
    <sheetView workbookViewId="0"/>
  </sheetViews>
  <sheetFormatPr defaultRowHeight="12.6" x14ac:dyDescent="0.2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7" width="11.6328125" customWidth="1"/>
    <col min="8" max="11" width="12.1796875" customWidth="1"/>
    <col min="12" max="15" width="11.6328125" customWidth="1"/>
    <col min="16" max="17" width="12.6328125" customWidth="1"/>
    <col min="18" max="18" width="14.6328125" customWidth="1"/>
    <col min="19" max="19" width="13.6328125" customWidth="1"/>
  </cols>
  <sheetData>
    <row r="1" spans="1:19" x14ac:dyDescent="0.2">
      <c r="A1" s="1" t="str">
        <f>CONCATENATE("Bijlage F.1.5: ",tabeltype," objecten")</f>
        <v>Bijlage F.1.5: Invultabel objecten</v>
      </c>
    </row>
    <row r="3" spans="1:19" ht="50.4" x14ac:dyDescent="0.2">
      <c r="A3" s="40" t="s">
        <v>382</v>
      </c>
      <c r="B3" s="40" t="s">
        <v>1195</v>
      </c>
      <c r="C3" s="40" t="s">
        <v>1196</v>
      </c>
      <c r="D3" s="40" t="s">
        <v>1197</v>
      </c>
      <c r="E3" s="40" t="s">
        <v>7</v>
      </c>
      <c r="F3" s="40" t="s">
        <v>1198</v>
      </c>
      <c r="G3" s="40" t="s">
        <v>250</v>
      </c>
      <c r="H3" s="40" t="s">
        <v>1199</v>
      </c>
      <c r="I3" s="40" t="s">
        <v>1200</v>
      </c>
      <c r="J3" s="40" t="s">
        <v>1201</v>
      </c>
      <c r="K3" s="40" t="s">
        <v>1202</v>
      </c>
      <c r="L3" s="40" t="s">
        <v>1203</v>
      </c>
      <c r="M3" s="40" t="s">
        <v>251</v>
      </c>
      <c r="N3" s="40" t="s">
        <v>1204</v>
      </c>
      <c r="O3" s="40" t="s">
        <v>1205</v>
      </c>
      <c r="P3" s="40" t="s">
        <v>1206</v>
      </c>
      <c r="Q3" s="40" t="s">
        <v>252</v>
      </c>
      <c r="R3" s="40" t="s">
        <v>253</v>
      </c>
      <c r="S3" s="40" t="s">
        <v>1207</v>
      </c>
    </row>
    <row r="4" spans="1:19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</row>
    <row r="5" spans="1:19" x14ac:dyDescent="0.2">
      <c r="A5" s="44" t="s">
        <v>102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6"/>
    </row>
    <row r="6" spans="1:19" x14ac:dyDescent="0.2">
      <c r="A6" s="47" t="s">
        <v>393</v>
      </c>
      <c r="B6" s="47" t="s">
        <v>1208</v>
      </c>
      <c r="C6" s="47" t="s">
        <v>1209</v>
      </c>
      <c r="D6" s="47" t="s">
        <v>1210</v>
      </c>
      <c r="E6" s="112" t="s">
        <v>13</v>
      </c>
      <c r="F6" s="113">
        <f>gemuurtarief1</f>
        <v>0</v>
      </c>
      <c r="G6" s="62">
        <f>SUMPRODUCT(taakfreqtabel1,uurfactortabel1,kengetaltabel1,object1_opptabel1)</f>
        <v>0</v>
      </c>
      <c r="H6" s="62">
        <f>G6*(1/VLOOKUP(E6,dagsoorttabel1,2,FALSE))</f>
        <v>0</v>
      </c>
      <c r="I6" s="62">
        <f>SUMPRODUCT(dagwerktabel1,taakfreqtabel1,uurfactortabel1,kengetaltabel1,object1_opptabel1)*(1/VLOOKUP(E6,dagsoorttabel1,2,FALSE))</f>
        <v>0</v>
      </c>
      <c r="J6" s="49"/>
      <c r="K6" s="62">
        <f>I6+J6</f>
        <v>0</v>
      </c>
      <c r="L6" s="62">
        <f>G6+J6*VLOOKUP(E6,dagsoorttabel1,2,FALSE)</f>
        <v>0</v>
      </c>
      <c r="M6" s="51">
        <f>SUMPRODUCT(taakfreqtabel1,kengetaltabel1,tarieftabel1,object1_opptabel1)</f>
        <v>0</v>
      </c>
      <c r="N6" s="51">
        <f>F6*J6*VLOOKUP(E6,dagsoorttabel1,2,FALSE)</f>
        <v>0</v>
      </c>
      <c r="O6" s="51">
        <f>SUM(M6:N6)</f>
        <v>0</v>
      </c>
      <c r="P6" s="62">
        <f>K6*dagenperjaar1*VLOOKUP(E6,dagsoorttabel1,2,FALSE)</f>
        <v>0</v>
      </c>
      <c r="Q6" s="62">
        <f>L6*dagenperjaar1</f>
        <v>0</v>
      </c>
      <c r="R6" s="51">
        <f>O6*dagenperjaar1</f>
        <v>0</v>
      </c>
      <c r="S6" s="51">
        <f>R6/12</f>
        <v>0</v>
      </c>
    </row>
    <row r="7" spans="1:19" x14ac:dyDescent="0.2">
      <c r="A7" s="52" t="s">
        <v>438</v>
      </c>
      <c r="B7" s="52" t="s">
        <v>1211</v>
      </c>
      <c r="C7" s="52" t="s">
        <v>1212</v>
      </c>
      <c r="D7" s="52" t="s">
        <v>1213</v>
      </c>
      <c r="E7" s="114" t="s">
        <v>13</v>
      </c>
      <c r="F7" s="115">
        <f>gemuurtarief1</f>
        <v>0</v>
      </c>
      <c r="G7" s="65">
        <f>SUMPRODUCT(taakfreqtabel1,uurfactortabel1,kengetaltabel1,object2_opptabel1)</f>
        <v>0</v>
      </c>
      <c r="H7" s="65">
        <f>G7*(1/VLOOKUP(E7,dagsoorttabel1,2,FALSE))</f>
        <v>0</v>
      </c>
      <c r="I7" s="65">
        <f>SUMPRODUCT(dagwerktabel1,taakfreqtabel1,uurfactortabel1,kengetaltabel1,object2_opptabel1)*(1/VLOOKUP(E7,dagsoorttabel1,2,FALSE))</f>
        <v>0</v>
      </c>
      <c r="J7" s="54"/>
      <c r="K7" s="65">
        <f>I7+J7</f>
        <v>0</v>
      </c>
      <c r="L7" s="65">
        <f>G7+J7*VLOOKUP(E7,dagsoorttabel1,2,FALSE)</f>
        <v>0</v>
      </c>
      <c r="M7" s="56">
        <f>SUMPRODUCT(taakfreqtabel1,kengetaltabel1,tarieftabel1,object2_opptabel1)</f>
        <v>0</v>
      </c>
      <c r="N7" s="56">
        <f>F7*J7*VLOOKUP(E7,dagsoorttabel1,2,FALSE)</f>
        <v>0</v>
      </c>
      <c r="O7" s="56">
        <f>SUM(M7:N7)</f>
        <v>0</v>
      </c>
      <c r="P7" s="65">
        <f>K7*dagenperjaar1*VLOOKUP(E7,dagsoorttabel1,2,FALSE)</f>
        <v>0</v>
      </c>
      <c r="Q7" s="65">
        <f>L7*dagenperjaar1</f>
        <v>0</v>
      </c>
      <c r="R7" s="56">
        <f>O7*dagenperjaar1</f>
        <v>0</v>
      </c>
      <c r="S7" s="56">
        <f>R7/12</f>
        <v>0</v>
      </c>
    </row>
    <row r="8" spans="1:19" x14ac:dyDescent="0.2">
      <c r="A8" s="52" t="s">
        <v>471</v>
      </c>
      <c r="B8" s="52" t="s">
        <v>1214</v>
      </c>
      <c r="C8" s="52" t="s">
        <v>1215</v>
      </c>
      <c r="D8" s="52" t="s">
        <v>1213</v>
      </c>
      <c r="E8" s="114" t="s">
        <v>13</v>
      </c>
      <c r="F8" s="115">
        <f>gemuurtarief1</f>
        <v>0</v>
      </c>
      <c r="G8" s="65">
        <f>SUMPRODUCT(taakfreqtabel1,uurfactortabel1,kengetaltabel1,object3_opptabel1)</f>
        <v>0</v>
      </c>
      <c r="H8" s="65">
        <f>G8*(1/VLOOKUP(E8,dagsoorttabel1,2,FALSE))</f>
        <v>0</v>
      </c>
      <c r="I8" s="65">
        <f>SUMPRODUCT(dagwerktabel1,taakfreqtabel1,uurfactortabel1,kengetaltabel1,object3_opptabel1)*(1/VLOOKUP(E8,dagsoorttabel1,2,FALSE))</f>
        <v>0</v>
      </c>
      <c r="J8" s="54"/>
      <c r="K8" s="65">
        <f>I8+J8</f>
        <v>0</v>
      </c>
      <c r="L8" s="65">
        <f>G8+J8*VLOOKUP(E8,dagsoorttabel1,2,FALSE)</f>
        <v>0</v>
      </c>
      <c r="M8" s="56">
        <f>SUMPRODUCT(taakfreqtabel1,kengetaltabel1,tarieftabel1,object3_opptabel1)</f>
        <v>0</v>
      </c>
      <c r="N8" s="56">
        <f>F8*J8*VLOOKUP(E8,dagsoorttabel1,2,FALSE)</f>
        <v>0</v>
      </c>
      <c r="O8" s="56">
        <f>SUM(M8:N8)</f>
        <v>0</v>
      </c>
      <c r="P8" s="65">
        <f>K8*dagenperjaar1*VLOOKUP(E8,dagsoorttabel1,2,FALSE)</f>
        <v>0</v>
      </c>
      <c r="Q8" s="65">
        <f>L8*dagenperjaar1</f>
        <v>0</v>
      </c>
      <c r="R8" s="56">
        <f>O8*dagenperjaar1</f>
        <v>0</v>
      </c>
      <c r="S8" s="56">
        <f>R8/12</f>
        <v>0</v>
      </c>
    </row>
    <row r="9" spans="1:19" x14ac:dyDescent="0.2">
      <c r="A9" s="52" t="s">
        <v>478</v>
      </c>
      <c r="B9" s="52" t="s">
        <v>1216</v>
      </c>
      <c r="C9" s="52" t="s">
        <v>1217</v>
      </c>
      <c r="D9" s="52" t="s">
        <v>1213</v>
      </c>
      <c r="E9" s="114" t="s">
        <v>13</v>
      </c>
      <c r="F9" s="115">
        <f>gemuurtarief1</f>
        <v>0</v>
      </c>
      <c r="G9" s="65">
        <f>SUMPRODUCT(taakfreqtabel1,uurfactortabel1,kengetaltabel1,object4_opptabel1)</f>
        <v>0</v>
      </c>
      <c r="H9" s="65">
        <f>G9*(1/VLOOKUP(E9,dagsoorttabel1,2,FALSE))</f>
        <v>0</v>
      </c>
      <c r="I9" s="65">
        <f>SUMPRODUCT(dagwerktabel1,taakfreqtabel1,uurfactortabel1,kengetaltabel1,object4_opptabel1)*(1/VLOOKUP(E9,dagsoorttabel1,2,FALSE))</f>
        <v>0</v>
      </c>
      <c r="J9" s="54"/>
      <c r="K9" s="65">
        <f>I9+J9</f>
        <v>0</v>
      </c>
      <c r="L9" s="65">
        <f>G9+J9*VLOOKUP(E9,dagsoorttabel1,2,FALSE)</f>
        <v>0</v>
      </c>
      <c r="M9" s="56">
        <f>SUMPRODUCT(taakfreqtabel1,kengetaltabel1,tarieftabel1,object4_opptabel1)</f>
        <v>0</v>
      </c>
      <c r="N9" s="56">
        <f>F9*J9*VLOOKUP(E9,dagsoorttabel1,2,FALSE)</f>
        <v>0</v>
      </c>
      <c r="O9" s="56">
        <f>SUM(M9:N9)</f>
        <v>0</v>
      </c>
      <c r="P9" s="65">
        <f>K9*dagenperjaar1*VLOOKUP(E9,dagsoorttabel1,2,FALSE)</f>
        <v>0</v>
      </c>
      <c r="Q9" s="65">
        <f>L9*dagenperjaar1</f>
        <v>0</v>
      </c>
      <c r="R9" s="56">
        <f>O9*dagenperjaar1</f>
        <v>0</v>
      </c>
      <c r="S9" s="56">
        <f>R9/12</f>
        <v>0</v>
      </c>
    </row>
    <row r="10" spans="1:19" x14ac:dyDescent="0.2">
      <c r="A10" s="52" t="s">
        <v>480</v>
      </c>
      <c r="B10" s="52" t="s">
        <v>1218</v>
      </c>
      <c r="C10" s="52" t="s">
        <v>1219</v>
      </c>
      <c r="D10" s="52" t="s">
        <v>1213</v>
      </c>
      <c r="E10" s="114" t="s">
        <v>13</v>
      </c>
      <c r="F10" s="115">
        <f>gemuurtarief1</f>
        <v>0</v>
      </c>
      <c r="G10" s="65">
        <f>SUMPRODUCT(taakfreqtabel1,uurfactortabel1,kengetaltabel1,object5_opptabel1)</f>
        <v>0</v>
      </c>
      <c r="H10" s="65">
        <f>G10*(1/VLOOKUP(E10,dagsoorttabel1,2,FALSE))</f>
        <v>0</v>
      </c>
      <c r="I10" s="65">
        <f>SUMPRODUCT(dagwerktabel1,taakfreqtabel1,uurfactortabel1,kengetaltabel1,object5_opptabel1)*(1/VLOOKUP(E10,dagsoorttabel1,2,FALSE))</f>
        <v>0</v>
      </c>
      <c r="J10" s="54"/>
      <c r="K10" s="65">
        <f>I10+J10</f>
        <v>0</v>
      </c>
      <c r="L10" s="65">
        <f>G10+J10*VLOOKUP(E10,dagsoorttabel1,2,FALSE)</f>
        <v>0</v>
      </c>
      <c r="M10" s="56">
        <f>SUMPRODUCT(taakfreqtabel1,kengetaltabel1,tarieftabel1,object5_opptabel1)</f>
        <v>0</v>
      </c>
      <c r="N10" s="56">
        <f>F10*J10*VLOOKUP(E10,dagsoorttabel1,2,FALSE)</f>
        <v>0</v>
      </c>
      <c r="O10" s="56">
        <f>SUM(M10:N10)</f>
        <v>0</v>
      </c>
      <c r="P10" s="65">
        <f>K10*dagenperjaar1*VLOOKUP(E10,dagsoorttabel1,2,FALSE)</f>
        <v>0</v>
      </c>
      <c r="Q10" s="65">
        <f>L10*dagenperjaar1</f>
        <v>0</v>
      </c>
      <c r="R10" s="56">
        <f>O10*dagenperjaar1</f>
        <v>0</v>
      </c>
      <c r="S10" s="56">
        <f>R10/12</f>
        <v>0</v>
      </c>
    </row>
    <row r="11" spans="1:19" x14ac:dyDescent="0.2">
      <c r="A11" s="52" t="s">
        <v>484</v>
      </c>
      <c r="B11" s="52" t="s">
        <v>1220</v>
      </c>
      <c r="C11" s="52" t="s">
        <v>1221</v>
      </c>
      <c r="D11" s="52" t="s">
        <v>1213</v>
      </c>
      <c r="E11" s="114" t="s">
        <v>13</v>
      </c>
      <c r="F11" s="115">
        <f>gemuurtarief1</f>
        <v>0</v>
      </c>
      <c r="G11" s="65">
        <f>SUMPRODUCT(taakfreqtabel1,uurfactortabel1,kengetaltabel1,object6_opptabel1)</f>
        <v>0</v>
      </c>
      <c r="H11" s="65">
        <f>G11*(1/VLOOKUP(E11,dagsoorttabel1,2,FALSE))</f>
        <v>0</v>
      </c>
      <c r="I11" s="65">
        <f>SUMPRODUCT(dagwerktabel1,taakfreqtabel1,uurfactortabel1,kengetaltabel1,object6_opptabel1)*(1/VLOOKUP(E11,dagsoorttabel1,2,FALSE))</f>
        <v>0</v>
      </c>
      <c r="J11" s="54"/>
      <c r="K11" s="65">
        <f>I11+J11</f>
        <v>0</v>
      </c>
      <c r="L11" s="65">
        <f>G11+J11*VLOOKUP(E11,dagsoorttabel1,2,FALSE)</f>
        <v>0</v>
      </c>
      <c r="M11" s="56">
        <f>SUMPRODUCT(taakfreqtabel1,kengetaltabel1,tarieftabel1,object6_opptabel1)</f>
        <v>0</v>
      </c>
      <c r="N11" s="56">
        <f>F11*J11*VLOOKUP(E11,dagsoorttabel1,2,FALSE)</f>
        <v>0</v>
      </c>
      <c r="O11" s="56">
        <f>SUM(M11:N11)</f>
        <v>0</v>
      </c>
      <c r="P11" s="65">
        <f>K11*dagenperjaar1*VLOOKUP(E11,dagsoorttabel1,2,FALSE)</f>
        <v>0</v>
      </c>
      <c r="Q11" s="65">
        <f>L11*dagenperjaar1</f>
        <v>0</v>
      </c>
      <c r="R11" s="56">
        <f>O11*dagenperjaar1</f>
        <v>0</v>
      </c>
      <c r="S11" s="56">
        <f>R11/12</f>
        <v>0</v>
      </c>
    </row>
    <row r="12" spans="1:19" x14ac:dyDescent="0.2">
      <c r="A12" s="52" t="s">
        <v>486</v>
      </c>
      <c r="B12" s="52" t="s">
        <v>1222</v>
      </c>
      <c r="C12" s="52" t="s">
        <v>1223</v>
      </c>
      <c r="D12" s="52" t="s">
        <v>1213</v>
      </c>
      <c r="E12" s="114" t="s">
        <v>13</v>
      </c>
      <c r="F12" s="115">
        <f>gemuurtarief1</f>
        <v>0</v>
      </c>
      <c r="G12" s="65">
        <f>SUMPRODUCT(taakfreqtabel1,uurfactortabel1,kengetaltabel1,object7_opptabel1)</f>
        <v>0</v>
      </c>
      <c r="H12" s="65">
        <f>G12*(1/VLOOKUP(E12,dagsoorttabel1,2,FALSE))</f>
        <v>0</v>
      </c>
      <c r="I12" s="65">
        <f>SUMPRODUCT(dagwerktabel1,taakfreqtabel1,uurfactortabel1,kengetaltabel1,object7_opptabel1)*(1/VLOOKUP(E12,dagsoorttabel1,2,FALSE))</f>
        <v>0</v>
      </c>
      <c r="J12" s="54"/>
      <c r="K12" s="65">
        <f>I12+J12</f>
        <v>0</v>
      </c>
      <c r="L12" s="65">
        <f>G12+J12*VLOOKUP(E12,dagsoorttabel1,2,FALSE)</f>
        <v>0</v>
      </c>
      <c r="M12" s="56">
        <f>SUMPRODUCT(taakfreqtabel1,kengetaltabel1,tarieftabel1,object7_opptabel1)</f>
        <v>0</v>
      </c>
      <c r="N12" s="56">
        <f>F12*J12*VLOOKUP(E12,dagsoorttabel1,2,FALSE)</f>
        <v>0</v>
      </c>
      <c r="O12" s="56">
        <f>SUM(M12:N12)</f>
        <v>0</v>
      </c>
      <c r="P12" s="65">
        <f>K12*dagenperjaar1*VLOOKUP(E12,dagsoorttabel1,2,FALSE)</f>
        <v>0</v>
      </c>
      <c r="Q12" s="65">
        <f>L12*dagenperjaar1</f>
        <v>0</v>
      </c>
      <c r="R12" s="56">
        <f>O12*dagenperjaar1</f>
        <v>0</v>
      </c>
      <c r="S12" s="56">
        <f>R12/12</f>
        <v>0</v>
      </c>
    </row>
    <row r="13" spans="1:19" x14ac:dyDescent="0.2">
      <c r="A13" s="52" t="s">
        <v>502</v>
      </c>
      <c r="B13" s="52" t="s">
        <v>1224</v>
      </c>
      <c r="C13" s="52" t="s">
        <v>1225</v>
      </c>
      <c r="D13" s="52" t="s">
        <v>1213</v>
      </c>
      <c r="E13" s="114" t="s">
        <v>13</v>
      </c>
      <c r="F13" s="115">
        <f>gemuurtarief1</f>
        <v>0</v>
      </c>
      <c r="G13" s="65">
        <f>SUMPRODUCT(taakfreqtabel1,uurfactortabel1,kengetaltabel1,object8_opptabel1)</f>
        <v>0</v>
      </c>
      <c r="H13" s="65">
        <f>G13*(1/VLOOKUP(E13,dagsoorttabel1,2,FALSE))</f>
        <v>0</v>
      </c>
      <c r="I13" s="65">
        <f>SUMPRODUCT(dagwerktabel1,taakfreqtabel1,uurfactortabel1,kengetaltabel1,object8_opptabel1)*(1/VLOOKUP(E13,dagsoorttabel1,2,FALSE))</f>
        <v>0</v>
      </c>
      <c r="J13" s="54"/>
      <c r="K13" s="65">
        <f>I13+J13</f>
        <v>0</v>
      </c>
      <c r="L13" s="65">
        <f>G13+J13*VLOOKUP(E13,dagsoorttabel1,2,FALSE)</f>
        <v>0</v>
      </c>
      <c r="M13" s="56">
        <f>SUMPRODUCT(taakfreqtabel1,kengetaltabel1,tarieftabel1,object8_opptabel1)</f>
        <v>0</v>
      </c>
      <c r="N13" s="56">
        <f>F13*J13*VLOOKUP(E13,dagsoorttabel1,2,FALSE)</f>
        <v>0</v>
      </c>
      <c r="O13" s="56">
        <f>SUM(M13:N13)</f>
        <v>0</v>
      </c>
      <c r="P13" s="65">
        <f>K13*dagenperjaar1*VLOOKUP(E13,dagsoorttabel1,2,FALSE)</f>
        <v>0</v>
      </c>
      <c r="Q13" s="65">
        <f>L13*dagenperjaar1</f>
        <v>0</v>
      </c>
      <c r="R13" s="56">
        <f>O13*dagenperjaar1</f>
        <v>0</v>
      </c>
      <c r="S13" s="56">
        <f>R13/12</f>
        <v>0</v>
      </c>
    </row>
    <row r="14" spans="1:19" x14ac:dyDescent="0.2">
      <c r="A14" s="52" t="s">
        <v>510</v>
      </c>
      <c r="B14" s="52" t="s">
        <v>1226</v>
      </c>
      <c r="C14" s="52" t="s">
        <v>1227</v>
      </c>
      <c r="D14" s="52" t="s">
        <v>1213</v>
      </c>
      <c r="E14" s="114" t="s">
        <v>13</v>
      </c>
      <c r="F14" s="115">
        <f>gemuurtarief1</f>
        <v>0</v>
      </c>
      <c r="G14" s="65">
        <f>SUMPRODUCT(taakfreqtabel1,uurfactortabel1,kengetaltabel1,object9_opptabel1)</f>
        <v>0</v>
      </c>
      <c r="H14" s="65">
        <f>G14*(1/VLOOKUP(E14,dagsoorttabel1,2,FALSE))</f>
        <v>0</v>
      </c>
      <c r="I14" s="65">
        <f>SUMPRODUCT(dagwerktabel1,taakfreqtabel1,uurfactortabel1,kengetaltabel1,object9_opptabel1)*(1/VLOOKUP(E14,dagsoorttabel1,2,FALSE))</f>
        <v>0</v>
      </c>
      <c r="J14" s="54"/>
      <c r="K14" s="65">
        <f>I14+J14</f>
        <v>0</v>
      </c>
      <c r="L14" s="65">
        <f>G14+J14*VLOOKUP(E14,dagsoorttabel1,2,FALSE)</f>
        <v>0</v>
      </c>
      <c r="M14" s="56">
        <f>SUMPRODUCT(taakfreqtabel1,kengetaltabel1,tarieftabel1,object9_opptabel1)</f>
        <v>0</v>
      </c>
      <c r="N14" s="56">
        <f>F14*J14*VLOOKUP(E14,dagsoorttabel1,2,FALSE)</f>
        <v>0</v>
      </c>
      <c r="O14" s="56">
        <f>SUM(M14:N14)</f>
        <v>0</v>
      </c>
      <c r="P14" s="65">
        <f>K14*dagenperjaar1*VLOOKUP(E14,dagsoorttabel1,2,FALSE)</f>
        <v>0</v>
      </c>
      <c r="Q14" s="65">
        <f>L14*dagenperjaar1</f>
        <v>0</v>
      </c>
      <c r="R14" s="56">
        <f>O14*dagenperjaar1</f>
        <v>0</v>
      </c>
      <c r="S14" s="56">
        <f>R14/12</f>
        <v>0</v>
      </c>
    </row>
    <row r="15" spans="1:19" x14ac:dyDescent="0.2">
      <c r="A15" s="52" t="s">
        <v>512</v>
      </c>
      <c r="B15" s="52" t="s">
        <v>1228</v>
      </c>
      <c r="C15" s="52" t="s">
        <v>1229</v>
      </c>
      <c r="D15" s="52" t="s">
        <v>1213</v>
      </c>
      <c r="E15" s="114" t="s">
        <v>13</v>
      </c>
      <c r="F15" s="115">
        <f>gemuurtarief1</f>
        <v>0</v>
      </c>
      <c r="G15" s="65">
        <f>SUMPRODUCT(taakfreqtabel1,uurfactortabel1,kengetaltabel1,object10_opptabel1)</f>
        <v>0</v>
      </c>
      <c r="H15" s="65">
        <f>G15*(1/VLOOKUP(E15,dagsoorttabel1,2,FALSE))</f>
        <v>0</v>
      </c>
      <c r="I15" s="65">
        <f>SUMPRODUCT(dagwerktabel1,taakfreqtabel1,uurfactortabel1,kengetaltabel1,object10_opptabel1)*(1/VLOOKUP(E15,dagsoorttabel1,2,FALSE))</f>
        <v>0</v>
      </c>
      <c r="J15" s="54"/>
      <c r="K15" s="65">
        <f>I15+J15</f>
        <v>0</v>
      </c>
      <c r="L15" s="65">
        <f>G15+J15*VLOOKUP(E15,dagsoorttabel1,2,FALSE)</f>
        <v>0</v>
      </c>
      <c r="M15" s="56">
        <f>SUMPRODUCT(taakfreqtabel1,kengetaltabel1,tarieftabel1,object10_opptabel1)</f>
        <v>0</v>
      </c>
      <c r="N15" s="56">
        <f>F15*J15*VLOOKUP(E15,dagsoorttabel1,2,FALSE)</f>
        <v>0</v>
      </c>
      <c r="O15" s="56">
        <f>SUM(M15:N15)</f>
        <v>0</v>
      </c>
      <c r="P15" s="65">
        <f>K15*dagenperjaar1*VLOOKUP(E15,dagsoorttabel1,2,FALSE)</f>
        <v>0</v>
      </c>
      <c r="Q15" s="65">
        <f>L15*dagenperjaar1</f>
        <v>0</v>
      </c>
      <c r="R15" s="56">
        <f>O15*dagenperjaar1</f>
        <v>0</v>
      </c>
      <c r="S15" s="56">
        <f>R15/12</f>
        <v>0</v>
      </c>
    </row>
    <row r="16" spans="1:19" x14ac:dyDescent="0.2">
      <c r="A16" s="52" t="s">
        <v>521</v>
      </c>
      <c r="B16" s="52" t="s">
        <v>1230</v>
      </c>
      <c r="C16" s="52" t="s">
        <v>1231</v>
      </c>
      <c r="D16" s="52" t="s">
        <v>1213</v>
      </c>
      <c r="E16" s="114" t="s">
        <v>13</v>
      </c>
      <c r="F16" s="115">
        <f>gemuurtarief1</f>
        <v>0</v>
      </c>
      <c r="G16" s="65">
        <f>SUMPRODUCT(taakfreqtabel1,uurfactortabel1,kengetaltabel1,object11_opptabel1)</f>
        <v>0</v>
      </c>
      <c r="H16" s="65">
        <f>G16*(1/VLOOKUP(E16,dagsoorttabel1,2,FALSE))</f>
        <v>0</v>
      </c>
      <c r="I16" s="65">
        <f>SUMPRODUCT(dagwerktabel1,taakfreqtabel1,uurfactortabel1,kengetaltabel1,object11_opptabel1)*(1/VLOOKUP(E16,dagsoorttabel1,2,FALSE))</f>
        <v>0</v>
      </c>
      <c r="J16" s="54"/>
      <c r="K16" s="65">
        <f>I16+J16</f>
        <v>0</v>
      </c>
      <c r="L16" s="65">
        <f>G16+J16*VLOOKUP(E16,dagsoorttabel1,2,FALSE)</f>
        <v>0</v>
      </c>
      <c r="M16" s="56">
        <f>SUMPRODUCT(taakfreqtabel1,kengetaltabel1,tarieftabel1,object11_opptabel1)</f>
        <v>0</v>
      </c>
      <c r="N16" s="56">
        <f>F16*J16*VLOOKUP(E16,dagsoorttabel1,2,FALSE)</f>
        <v>0</v>
      </c>
      <c r="O16" s="56">
        <f>SUM(M16:N16)</f>
        <v>0</v>
      </c>
      <c r="P16" s="65">
        <f>K16*dagenperjaar1*VLOOKUP(E16,dagsoorttabel1,2,FALSE)</f>
        <v>0</v>
      </c>
      <c r="Q16" s="65">
        <f>L16*dagenperjaar1</f>
        <v>0</v>
      </c>
      <c r="R16" s="56">
        <f>O16*dagenperjaar1</f>
        <v>0</v>
      </c>
      <c r="S16" s="56">
        <f>R16/12</f>
        <v>0</v>
      </c>
    </row>
    <row r="17" spans="1:19" x14ac:dyDescent="0.2">
      <c r="A17" s="52" t="s">
        <v>527</v>
      </c>
      <c r="B17" s="52" t="s">
        <v>1232</v>
      </c>
      <c r="C17" s="52" t="s">
        <v>1233</v>
      </c>
      <c r="D17" s="52" t="s">
        <v>1213</v>
      </c>
      <c r="E17" s="114" t="s">
        <v>13</v>
      </c>
      <c r="F17" s="115">
        <f>gemuurtarief1</f>
        <v>0</v>
      </c>
      <c r="G17" s="65">
        <f>SUMPRODUCT(taakfreqtabel1,uurfactortabel1,kengetaltabel1,object12_opptabel1)</f>
        <v>0</v>
      </c>
      <c r="H17" s="65">
        <f>G17*(1/VLOOKUP(E17,dagsoorttabel1,2,FALSE))</f>
        <v>0</v>
      </c>
      <c r="I17" s="65">
        <f>SUMPRODUCT(dagwerktabel1,taakfreqtabel1,uurfactortabel1,kengetaltabel1,object12_opptabel1)*(1/VLOOKUP(E17,dagsoorttabel1,2,FALSE))</f>
        <v>0</v>
      </c>
      <c r="J17" s="54"/>
      <c r="K17" s="65">
        <f>I17+J17</f>
        <v>0</v>
      </c>
      <c r="L17" s="65">
        <f>G17+J17*VLOOKUP(E17,dagsoorttabel1,2,FALSE)</f>
        <v>0</v>
      </c>
      <c r="M17" s="56">
        <f>SUMPRODUCT(taakfreqtabel1,kengetaltabel1,tarieftabel1,object12_opptabel1)</f>
        <v>0</v>
      </c>
      <c r="N17" s="56">
        <f>F17*J17*VLOOKUP(E17,dagsoorttabel1,2,FALSE)</f>
        <v>0</v>
      </c>
      <c r="O17" s="56">
        <f>SUM(M17:N17)</f>
        <v>0</v>
      </c>
      <c r="P17" s="65">
        <f>K17*dagenperjaar1*VLOOKUP(E17,dagsoorttabel1,2,FALSE)</f>
        <v>0</v>
      </c>
      <c r="Q17" s="65">
        <f>L17*dagenperjaar1</f>
        <v>0</v>
      </c>
      <c r="R17" s="56">
        <f>O17*dagenperjaar1</f>
        <v>0</v>
      </c>
      <c r="S17" s="56">
        <f>R17/12</f>
        <v>0</v>
      </c>
    </row>
    <row r="18" spans="1:19" x14ac:dyDescent="0.2">
      <c r="A18" s="52" t="s">
        <v>641</v>
      </c>
      <c r="B18" s="52" t="s">
        <v>1234</v>
      </c>
      <c r="C18" s="52" t="s">
        <v>1235</v>
      </c>
      <c r="D18" s="52" t="s">
        <v>1213</v>
      </c>
      <c r="E18" s="114" t="s">
        <v>10</v>
      </c>
      <c r="F18" s="115">
        <f>gemuurtarief1</f>
        <v>0</v>
      </c>
      <c r="G18" s="65">
        <f>SUMPRODUCT(taakfreqtabel1,uurfactortabel1,kengetaltabel1,object13_opptabel1)</f>
        <v>3</v>
      </c>
      <c r="H18" s="65">
        <f>G18*(1/VLOOKUP(E18,dagsoorttabel1,2,FALSE))</f>
        <v>3</v>
      </c>
      <c r="I18" s="65">
        <f>SUMPRODUCT(dagwerktabel1,taakfreqtabel1,uurfactortabel1,kengetaltabel1,object13_opptabel1)*(1/VLOOKUP(E18,dagsoorttabel1,2,FALSE))</f>
        <v>0</v>
      </c>
      <c r="J18" s="54"/>
      <c r="K18" s="65">
        <f>I18+J18</f>
        <v>0</v>
      </c>
      <c r="L18" s="65">
        <f>G18+J18*VLOOKUP(E18,dagsoorttabel1,2,FALSE)</f>
        <v>3</v>
      </c>
      <c r="M18" s="56">
        <f>SUMPRODUCT(taakfreqtabel1,kengetaltabel1,tarieftabel1,object13_opptabel1)</f>
        <v>0</v>
      </c>
      <c r="N18" s="56">
        <f>F18*J18*VLOOKUP(E18,dagsoorttabel1,2,FALSE)</f>
        <v>0</v>
      </c>
      <c r="O18" s="56">
        <f>SUM(M18:N18)</f>
        <v>0</v>
      </c>
      <c r="P18" s="65">
        <f>K18*dagenperjaar1*VLOOKUP(E18,dagsoorttabel1,2,FALSE)</f>
        <v>0</v>
      </c>
      <c r="Q18" s="65">
        <f>L18*dagenperjaar1</f>
        <v>765</v>
      </c>
      <c r="R18" s="56">
        <f>O18*dagenperjaar1</f>
        <v>0</v>
      </c>
      <c r="S18" s="56">
        <f>R18/12</f>
        <v>0</v>
      </c>
    </row>
    <row r="19" spans="1:19" x14ac:dyDescent="0.2">
      <c r="A19" s="52" t="s">
        <v>700</v>
      </c>
      <c r="B19" s="52" t="s">
        <v>1236</v>
      </c>
      <c r="C19" s="52" t="s">
        <v>1237</v>
      </c>
      <c r="D19" s="52" t="s">
        <v>1238</v>
      </c>
      <c r="E19" s="114" t="s">
        <v>19</v>
      </c>
      <c r="F19" s="115">
        <f>gemuurtarief1</f>
        <v>0</v>
      </c>
      <c r="G19" s="65">
        <f>SUMPRODUCT(taakfreqtabel1,uurfactortabel1,kengetaltabel1,object14_opptabel1)</f>
        <v>0</v>
      </c>
      <c r="H19" s="65">
        <f>G19*(1/VLOOKUP(E19,dagsoorttabel1,2,FALSE))</f>
        <v>0</v>
      </c>
      <c r="I19" s="65">
        <f>SUMPRODUCT(dagwerktabel1,taakfreqtabel1,uurfactortabel1,kengetaltabel1,object14_opptabel1)*(1/VLOOKUP(E19,dagsoorttabel1,2,FALSE))</f>
        <v>0</v>
      </c>
      <c r="J19" s="54"/>
      <c r="K19" s="65">
        <f>I19+J19</f>
        <v>0</v>
      </c>
      <c r="L19" s="65">
        <f>G19+J19*VLOOKUP(E19,dagsoorttabel1,2,FALSE)</f>
        <v>0</v>
      </c>
      <c r="M19" s="56">
        <f>SUMPRODUCT(taakfreqtabel1,kengetaltabel1,tarieftabel1,object14_opptabel1)</f>
        <v>0</v>
      </c>
      <c r="N19" s="56">
        <f>F19*J19*VLOOKUP(E19,dagsoorttabel1,2,FALSE)</f>
        <v>0</v>
      </c>
      <c r="O19" s="56">
        <f>SUM(M19:N19)</f>
        <v>0</v>
      </c>
      <c r="P19" s="65">
        <f>K19*dagenperjaar1*VLOOKUP(E19,dagsoorttabel1,2,FALSE)</f>
        <v>0</v>
      </c>
      <c r="Q19" s="65">
        <f>L19*dagenperjaar1</f>
        <v>0</v>
      </c>
      <c r="R19" s="56">
        <f>O19*dagenperjaar1</f>
        <v>0</v>
      </c>
      <c r="S19" s="56">
        <f>R19/12</f>
        <v>0</v>
      </c>
    </row>
    <row r="20" spans="1:19" x14ac:dyDescent="0.2">
      <c r="A20" s="52" t="s">
        <v>742</v>
      </c>
      <c r="B20" s="52" t="s">
        <v>1239</v>
      </c>
      <c r="C20" s="52" t="s">
        <v>1240</v>
      </c>
      <c r="D20" s="52" t="s">
        <v>1213</v>
      </c>
      <c r="E20" s="114" t="s">
        <v>10</v>
      </c>
      <c r="F20" s="115">
        <f>gemuurtarief1</f>
        <v>0</v>
      </c>
      <c r="G20" s="65">
        <f>SUMPRODUCT(taakfreqtabel1,uurfactortabel1,kengetaltabel1,object15_opptabel1)</f>
        <v>0</v>
      </c>
      <c r="H20" s="65">
        <f>G20*(1/VLOOKUP(E20,dagsoorttabel1,2,FALSE))</f>
        <v>0</v>
      </c>
      <c r="I20" s="65">
        <f>SUMPRODUCT(dagwerktabel1,taakfreqtabel1,uurfactortabel1,kengetaltabel1,object15_opptabel1)*(1/VLOOKUP(E20,dagsoorttabel1,2,FALSE))</f>
        <v>0</v>
      </c>
      <c r="J20" s="54"/>
      <c r="K20" s="65">
        <f>I20+J20</f>
        <v>0</v>
      </c>
      <c r="L20" s="65">
        <f>G20+J20*VLOOKUP(E20,dagsoorttabel1,2,FALSE)</f>
        <v>0</v>
      </c>
      <c r="M20" s="56">
        <f>SUMPRODUCT(taakfreqtabel1,kengetaltabel1,tarieftabel1,object15_opptabel1)</f>
        <v>0</v>
      </c>
      <c r="N20" s="56">
        <f>F20*J20*VLOOKUP(E20,dagsoorttabel1,2,FALSE)</f>
        <v>0</v>
      </c>
      <c r="O20" s="56">
        <f>SUM(M20:N20)</f>
        <v>0</v>
      </c>
      <c r="P20" s="65">
        <f>K20*dagenperjaar1*VLOOKUP(E20,dagsoorttabel1,2,FALSE)</f>
        <v>0</v>
      </c>
      <c r="Q20" s="65">
        <f>L20*dagenperjaar1</f>
        <v>0</v>
      </c>
      <c r="R20" s="56">
        <f>O20*dagenperjaar1</f>
        <v>0</v>
      </c>
      <c r="S20" s="56">
        <f>R20/12</f>
        <v>0</v>
      </c>
    </row>
    <row r="21" spans="1:19" x14ac:dyDescent="0.2">
      <c r="A21" s="52" t="s">
        <v>757</v>
      </c>
      <c r="B21" s="52" t="s">
        <v>1241</v>
      </c>
      <c r="C21" s="52" t="s">
        <v>1242</v>
      </c>
      <c r="D21" s="52" t="s">
        <v>1213</v>
      </c>
      <c r="E21" s="114" t="s">
        <v>13</v>
      </c>
      <c r="F21" s="115">
        <f>gemuurtarief1</f>
        <v>0</v>
      </c>
      <c r="G21" s="65">
        <f>SUMPRODUCT(taakfreqtabel1,uurfactortabel1,kengetaltabel1,object16_opptabel1)</f>
        <v>0</v>
      </c>
      <c r="H21" s="65">
        <f>G21*(1/VLOOKUP(E21,dagsoorttabel1,2,FALSE))</f>
        <v>0</v>
      </c>
      <c r="I21" s="65">
        <f>SUMPRODUCT(dagwerktabel1,taakfreqtabel1,uurfactortabel1,kengetaltabel1,object16_opptabel1)*(1/VLOOKUP(E21,dagsoorttabel1,2,FALSE))</f>
        <v>0</v>
      </c>
      <c r="J21" s="54"/>
      <c r="K21" s="65">
        <f>I21+J21</f>
        <v>0</v>
      </c>
      <c r="L21" s="65">
        <f>G21+J21*VLOOKUP(E21,dagsoorttabel1,2,FALSE)</f>
        <v>0</v>
      </c>
      <c r="M21" s="56">
        <f>SUMPRODUCT(taakfreqtabel1,kengetaltabel1,tarieftabel1,object16_opptabel1)</f>
        <v>0</v>
      </c>
      <c r="N21" s="56">
        <f>F21*J21*VLOOKUP(E21,dagsoorttabel1,2,FALSE)</f>
        <v>0</v>
      </c>
      <c r="O21" s="56">
        <f>SUM(M21:N21)</f>
        <v>0</v>
      </c>
      <c r="P21" s="65">
        <f>K21*dagenperjaar1*VLOOKUP(E21,dagsoorttabel1,2,FALSE)</f>
        <v>0</v>
      </c>
      <c r="Q21" s="65">
        <f>L21*dagenperjaar1</f>
        <v>0</v>
      </c>
      <c r="R21" s="56">
        <f>O21*dagenperjaar1</f>
        <v>0</v>
      </c>
      <c r="S21" s="56">
        <f>R21/12</f>
        <v>0</v>
      </c>
    </row>
    <row r="22" spans="1:19" x14ac:dyDescent="0.2">
      <c r="A22" s="52" t="s">
        <v>829</v>
      </c>
      <c r="B22" s="52" t="s">
        <v>1243</v>
      </c>
      <c r="C22" s="52" t="s">
        <v>1244</v>
      </c>
      <c r="D22" s="52" t="s">
        <v>1213</v>
      </c>
      <c r="E22" s="114" t="s">
        <v>13</v>
      </c>
      <c r="F22" s="115">
        <f>gemuurtarief1</f>
        <v>0</v>
      </c>
      <c r="G22" s="65">
        <f>SUMPRODUCT(taakfreqtabel1,uurfactortabel1,kengetaltabel1,object17_opptabel1)</f>
        <v>0</v>
      </c>
      <c r="H22" s="65">
        <f>G22*(1/VLOOKUP(E22,dagsoorttabel1,2,FALSE))</f>
        <v>0</v>
      </c>
      <c r="I22" s="65">
        <f>SUMPRODUCT(dagwerktabel1,taakfreqtabel1,uurfactortabel1,kengetaltabel1,object17_opptabel1)*(1/VLOOKUP(E22,dagsoorttabel1,2,FALSE))</f>
        <v>0</v>
      </c>
      <c r="J22" s="54"/>
      <c r="K22" s="65">
        <f>I22+J22</f>
        <v>0</v>
      </c>
      <c r="L22" s="65">
        <f>G22+J22*VLOOKUP(E22,dagsoorttabel1,2,FALSE)</f>
        <v>0</v>
      </c>
      <c r="M22" s="56">
        <f>SUMPRODUCT(taakfreqtabel1,kengetaltabel1,tarieftabel1,object17_opptabel1)</f>
        <v>0</v>
      </c>
      <c r="N22" s="56">
        <f>F22*J22*VLOOKUP(E22,dagsoorttabel1,2,FALSE)</f>
        <v>0</v>
      </c>
      <c r="O22" s="56">
        <f>SUM(M22:N22)</f>
        <v>0</v>
      </c>
      <c r="P22" s="65">
        <f>K22*dagenperjaar1*VLOOKUP(E22,dagsoorttabel1,2,FALSE)</f>
        <v>0</v>
      </c>
      <c r="Q22" s="65">
        <f>L22*dagenperjaar1</f>
        <v>0</v>
      </c>
      <c r="R22" s="56">
        <f>O22*dagenperjaar1</f>
        <v>0</v>
      </c>
      <c r="S22" s="56">
        <f>R22/12</f>
        <v>0</v>
      </c>
    </row>
    <row r="23" spans="1:19" x14ac:dyDescent="0.2">
      <c r="A23" s="52" t="s">
        <v>835</v>
      </c>
      <c r="B23" s="52" t="s">
        <v>1245</v>
      </c>
      <c r="C23" s="52" t="s">
        <v>1246</v>
      </c>
      <c r="D23" s="52" t="s">
        <v>1213</v>
      </c>
      <c r="E23" s="114" t="s">
        <v>13</v>
      </c>
      <c r="F23" s="115">
        <f>gemuurtarief1</f>
        <v>0</v>
      </c>
      <c r="G23" s="65">
        <f>SUMPRODUCT(taakfreqtabel1,uurfactortabel1,kengetaltabel1,object18_opptabel1)</f>
        <v>0</v>
      </c>
      <c r="H23" s="65">
        <f>G23*(1/VLOOKUP(E23,dagsoorttabel1,2,FALSE))</f>
        <v>0</v>
      </c>
      <c r="I23" s="65">
        <f>SUMPRODUCT(dagwerktabel1,taakfreqtabel1,uurfactortabel1,kengetaltabel1,object18_opptabel1)*(1/VLOOKUP(E23,dagsoorttabel1,2,FALSE))</f>
        <v>0</v>
      </c>
      <c r="J23" s="54"/>
      <c r="K23" s="65">
        <f>I23+J23</f>
        <v>0</v>
      </c>
      <c r="L23" s="65">
        <f>G23+J23*VLOOKUP(E23,dagsoorttabel1,2,FALSE)</f>
        <v>0</v>
      </c>
      <c r="M23" s="56">
        <f>SUMPRODUCT(taakfreqtabel1,kengetaltabel1,tarieftabel1,object18_opptabel1)</f>
        <v>0</v>
      </c>
      <c r="N23" s="56">
        <f>F23*J23*VLOOKUP(E23,dagsoorttabel1,2,FALSE)</f>
        <v>0</v>
      </c>
      <c r="O23" s="56">
        <f>SUM(M23:N23)</f>
        <v>0</v>
      </c>
      <c r="P23" s="65">
        <f>K23*dagenperjaar1*VLOOKUP(E23,dagsoorttabel1,2,FALSE)</f>
        <v>0</v>
      </c>
      <c r="Q23" s="65">
        <f>L23*dagenperjaar1</f>
        <v>0</v>
      </c>
      <c r="R23" s="56">
        <f>O23*dagenperjaar1</f>
        <v>0</v>
      </c>
      <c r="S23" s="56">
        <f>R23/12</f>
        <v>0</v>
      </c>
    </row>
    <row r="24" spans="1:19" x14ac:dyDescent="0.2">
      <c r="A24" s="52" t="s">
        <v>845</v>
      </c>
      <c r="B24" s="52" t="s">
        <v>1247</v>
      </c>
      <c r="C24" s="52" t="s">
        <v>1248</v>
      </c>
      <c r="D24" s="52" t="s">
        <v>1213</v>
      </c>
      <c r="E24" s="114" t="s">
        <v>13</v>
      </c>
      <c r="F24" s="115">
        <f>gemuurtarief1</f>
        <v>0</v>
      </c>
      <c r="G24" s="65">
        <f>SUMPRODUCT(taakfreqtabel1,uurfactortabel1,kengetaltabel1,object19_opptabel1)</f>
        <v>0</v>
      </c>
      <c r="H24" s="65">
        <f>G24*(1/VLOOKUP(E24,dagsoorttabel1,2,FALSE))</f>
        <v>0</v>
      </c>
      <c r="I24" s="65">
        <f>SUMPRODUCT(dagwerktabel1,taakfreqtabel1,uurfactortabel1,kengetaltabel1,object19_opptabel1)*(1/VLOOKUP(E24,dagsoorttabel1,2,FALSE))</f>
        <v>0</v>
      </c>
      <c r="J24" s="54"/>
      <c r="K24" s="65">
        <f>I24+J24</f>
        <v>0</v>
      </c>
      <c r="L24" s="65">
        <f>G24+J24*VLOOKUP(E24,dagsoorttabel1,2,FALSE)</f>
        <v>0</v>
      </c>
      <c r="M24" s="56">
        <f>SUMPRODUCT(taakfreqtabel1,kengetaltabel1,tarieftabel1,object19_opptabel1)</f>
        <v>0</v>
      </c>
      <c r="N24" s="56">
        <f>F24*J24*VLOOKUP(E24,dagsoorttabel1,2,FALSE)</f>
        <v>0</v>
      </c>
      <c r="O24" s="56">
        <f>SUM(M24:N24)</f>
        <v>0</v>
      </c>
      <c r="P24" s="65">
        <f>K24*dagenperjaar1*VLOOKUP(E24,dagsoorttabel1,2,FALSE)</f>
        <v>0</v>
      </c>
      <c r="Q24" s="65">
        <f>L24*dagenperjaar1</f>
        <v>0</v>
      </c>
      <c r="R24" s="56">
        <f>O24*dagenperjaar1</f>
        <v>0</v>
      </c>
      <c r="S24" s="56">
        <f>R24/12</f>
        <v>0</v>
      </c>
    </row>
    <row r="25" spans="1:19" x14ac:dyDescent="0.2">
      <c r="A25" s="52" t="s">
        <v>847</v>
      </c>
      <c r="B25" s="52" t="s">
        <v>1249</v>
      </c>
      <c r="C25" s="52" t="s">
        <v>1250</v>
      </c>
      <c r="D25" s="52" t="s">
        <v>1213</v>
      </c>
      <c r="E25" s="114" t="s">
        <v>13</v>
      </c>
      <c r="F25" s="115">
        <f>gemuurtarief1</f>
        <v>0</v>
      </c>
      <c r="G25" s="65">
        <f>SUMPRODUCT(taakfreqtabel1,uurfactortabel1,kengetaltabel1,object20_opptabel1)</f>
        <v>0</v>
      </c>
      <c r="H25" s="65">
        <f>G25*(1/VLOOKUP(E25,dagsoorttabel1,2,FALSE))</f>
        <v>0</v>
      </c>
      <c r="I25" s="65">
        <f>SUMPRODUCT(dagwerktabel1,taakfreqtabel1,uurfactortabel1,kengetaltabel1,object20_opptabel1)*(1/VLOOKUP(E25,dagsoorttabel1,2,FALSE))</f>
        <v>0</v>
      </c>
      <c r="J25" s="54"/>
      <c r="K25" s="65">
        <f>I25+J25</f>
        <v>0</v>
      </c>
      <c r="L25" s="65">
        <f>G25+J25*VLOOKUP(E25,dagsoorttabel1,2,FALSE)</f>
        <v>0</v>
      </c>
      <c r="M25" s="56">
        <f>SUMPRODUCT(taakfreqtabel1,kengetaltabel1,tarieftabel1,object20_opptabel1)</f>
        <v>0</v>
      </c>
      <c r="N25" s="56">
        <f>F25*J25*VLOOKUP(E25,dagsoorttabel1,2,FALSE)</f>
        <v>0</v>
      </c>
      <c r="O25" s="56">
        <f>SUM(M25:N25)</f>
        <v>0</v>
      </c>
      <c r="P25" s="65">
        <f>K25*dagenperjaar1*VLOOKUP(E25,dagsoorttabel1,2,FALSE)</f>
        <v>0</v>
      </c>
      <c r="Q25" s="65">
        <f>L25*dagenperjaar1</f>
        <v>0</v>
      </c>
      <c r="R25" s="56">
        <f>O25*dagenperjaar1</f>
        <v>0</v>
      </c>
      <c r="S25" s="56">
        <f>R25/12</f>
        <v>0</v>
      </c>
    </row>
    <row r="26" spans="1:19" x14ac:dyDescent="0.2">
      <c r="A26" s="52" t="s">
        <v>854</v>
      </c>
      <c r="B26" s="52" t="s">
        <v>1251</v>
      </c>
      <c r="C26" s="52" t="s">
        <v>1252</v>
      </c>
      <c r="D26" s="52" t="s">
        <v>1253</v>
      </c>
      <c r="E26" s="114" t="s">
        <v>13</v>
      </c>
      <c r="F26" s="115">
        <f>gemuurtarief1</f>
        <v>0</v>
      </c>
      <c r="G26" s="65">
        <f>SUMPRODUCT(taakfreqtabel1,uurfactortabel1,kengetaltabel1,object21_opptabel1)</f>
        <v>0</v>
      </c>
      <c r="H26" s="65">
        <f>G26*(1/VLOOKUP(E26,dagsoorttabel1,2,FALSE))</f>
        <v>0</v>
      </c>
      <c r="I26" s="65">
        <f>SUMPRODUCT(dagwerktabel1,taakfreqtabel1,uurfactortabel1,kengetaltabel1,object21_opptabel1)*(1/VLOOKUP(E26,dagsoorttabel1,2,FALSE))</f>
        <v>0</v>
      </c>
      <c r="J26" s="54"/>
      <c r="K26" s="65">
        <f>I26+J26</f>
        <v>0</v>
      </c>
      <c r="L26" s="65">
        <f>G26+J26*VLOOKUP(E26,dagsoorttabel1,2,FALSE)</f>
        <v>0</v>
      </c>
      <c r="M26" s="56">
        <f>SUMPRODUCT(taakfreqtabel1,kengetaltabel1,tarieftabel1,object21_opptabel1)</f>
        <v>0</v>
      </c>
      <c r="N26" s="56">
        <f>F26*J26*VLOOKUP(E26,dagsoorttabel1,2,FALSE)</f>
        <v>0</v>
      </c>
      <c r="O26" s="56">
        <f>SUM(M26:N26)</f>
        <v>0</v>
      </c>
      <c r="P26" s="65">
        <f>K26*dagenperjaar1*VLOOKUP(E26,dagsoorttabel1,2,FALSE)</f>
        <v>0</v>
      </c>
      <c r="Q26" s="65">
        <f>L26*dagenperjaar1</f>
        <v>0</v>
      </c>
      <c r="R26" s="56">
        <f>O26*dagenperjaar1</f>
        <v>0</v>
      </c>
      <c r="S26" s="56">
        <f>R26/12</f>
        <v>0</v>
      </c>
    </row>
    <row r="27" spans="1:19" x14ac:dyDescent="0.2">
      <c r="A27" s="52" t="s">
        <v>856</v>
      </c>
      <c r="B27" s="52" t="s">
        <v>1254</v>
      </c>
      <c r="C27" s="52" t="s">
        <v>1255</v>
      </c>
      <c r="D27" s="52" t="s">
        <v>1213</v>
      </c>
      <c r="E27" s="114" t="s">
        <v>11</v>
      </c>
      <c r="F27" s="115">
        <f>gemuurtarief1</f>
        <v>0</v>
      </c>
      <c r="G27" s="65">
        <f>SUMPRODUCT(taakfreqtabel1,uurfactortabel1,kengetaltabel1,object22_opptabel1)</f>
        <v>0</v>
      </c>
      <c r="H27" s="65">
        <f>G27*(1/VLOOKUP(E27,dagsoorttabel1,2,FALSE))</f>
        <v>0</v>
      </c>
      <c r="I27" s="65">
        <f>SUMPRODUCT(dagwerktabel1,taakfreqtabel1,uurfactortabel1,kengetaltabel1,object22_opptabel1)*(1/VLOOKUP(E27,dagsoorttabel1,2,FALSE))</f>
        <v>0</v>
      </c>
      <c r="J27" s="54"/>
      <c r="K27" s="65">
        <f>I27+J27</f>
        <v>0</v>
      </c>
      <c r="L27" s="65">
        <f>G27+J27*VLOOKUP(E27,dagsoorttabel1,2,FALSE)</f>
        <v>0</v>
      </c>
      <c r="M27" s="56">
        <f>SUMPRODUCT(taakfreqtabel1,kengetaltabel1,tarieftabel1,object22_opptabel1)</f>
        <v>0</v>
      </c>
      <c r="N27" s="56">
        <f>F27*J27*VLOOKUP(E27,dagsoorttabel1,2,FALSE)</f>
        <v>0</v>
      </c>
      <c r="O27" s="56">
        <f>SUM(M27:N27)</f>
        <v>0</v>
      </c>
      <c r="P27" s="65">
        <f>K27*dagenperjaar1*VLOOKUP(E27,dagsoorttabel1,2,FALSE)</f>
        <v>0</v>
      </c>
      <c r="Q27" s="65">
        <f>L27*dagenperjaar1</f>
        <v>0</v>
      </c>
      <c r="R27" s="56">
        <f>O27*dagenperjaar1</f>
        <v>0</v>
      </c>
      <c r="S27" s="56">
        <f>R27/12</f>
        <v>0</v>
      </c>
    </row>
    <row r="28" spans="1:19" x14ac:dyDescent="0.2">
      <c r="A28" s="52" t="s">
        <v>867</v>
      </c>
      <c r="B28" s="52" t="s">
        <v>1256</v>
      </c>
      <c r="C28" s="52" t="s">
        <v>1257</v>
      </c>
      <c r="D28" s="52" t="s">
        <v>1213</v>
      </c>
      <c r="E28" s="114" t="s">
        <v>13</v>
      </c>
      <c r="F28" s="115">
        <f>gemuurtarief1</f>
        <v>0</v>
      </c>
      <c r="G28" s="65">
        <f>SUMPRODUCT(taakfreqtabel1,uurfactortabel1,kengetaltabel1,object23_opptabel1)</f>
        <v>0</v>
      </c>
      <c r="H28" s="65">
        <f>G28*(1/VLOOKUP(E28,dagsoorttabel1,2,FALSE))</f>
        <v>0</v>
      </c>
      <c r="I28" s="65">
        <f>SUMPRODUCT(dagwerktabel1,taakfreqtabel1,uurfactortabel1,kengetaltabel1,object23_opptabel1)*(1/VLOOKUP(E28,dagsoorttabel1,2,FALSE))</f>
        <v>0</v>
      </c>
      <c r="J28" s="54"/>
      <c r="K28" s="65">
        <f>I28+J28</f>
        <v>0</v>
      </c>
      <c r="L28" s="65">
        <f>G28+J28*VLOOKUP(E28,dagsoorttabel1,2,FALSE)</f>
        <v>0</v>
      </c>
      <c r="M28" s="56">
        <f>SUMPRODUCT(taakfreqtabel1,kengetaltabel1,tarieftabel1,object23_opptabel1)</f>
        <v>0</v>
      </c>
      <c r="N28" s="56">
        <f>F28*J28*VLOOKUP(E28,dagsoorttabel1,2,FALSE)</f>
        <v>0</v>
      </c>
      <c r="O28" s="56">
        <f>SUM(M28:N28)</f>
        <v>0</v>
      </c>
      <c r="P28" s="65">
        <f>K28*dagenperjaar1*VLOOKUP(E28,dagsoorttabel1,2,FALSE)</f>
        <v>0</v>
      </c>
      <c r="Q28" s="65">
        <f>L28*dagenperjaar1</f>
        <v>0</v>
      </c>
      <c r="R28" s="56">
        <f>O28*dagenperjaar1</f>
        <v>0</v>
      </c>
      <c r="S28" s="56">
        <f>R28/12</f>
        <v>0</v>
      </c>
    </row>
    <row r="29" spans="1:19" x14ac:dyDescent="0.2">
      <c r="A29" s="52" t="s">
        <v>891</v>
      </c>
      <c r="B29" s="52" t="s">
        <v>1258</v>
      </c>
      <c r="C29" s="52" t="s">
        <v>1259</v>
      </c>
      <c r="D29" s="52" t="s">
        <v>1213</v>
      </c>
      <c r="E29" s="114" t="s">
        <v>13</v>
      </c>
      <c r="F29" s="115">
        <f>gemuurtarief1</f>
        <v>0</v>
      </c>
      <c r="G29" s="65">
        <f>SUMPRODUCT(taakfreqtabel1,uurfactortabel1,kengetaltabel1,object24_opptabel1)</f>
        <v>0</v>
      </c>
      <c r="H29" s="65">
        <f>G29*(1/VLOOKUP(E29,dagsoorttabel1,2,FALSE))</f>
        <v>0</v>
      </c>
      <c r="I29" s="65">
        <f>SUMPRODUCT(dagwerktabel1,taakfreqtabel1,uurfactortabel1,kengetaltabel1,object24_opptabel1)*(1/VLOOKUP(E29,dagsoorttabel1,2,FALSE))</f>
        <v>0</v>
      </c>
      <c r="J29" s="54"/>
      <c r="K29" s="65">
        <f>I29+J29</f>
        <v>0</v>
      </c>
      <c r="L29" s="65">
        <f>G29+J29*VLOOKUP(E29,dagsoorttabel1,2,FALSE)</f>
        <v>0</v>
      </c>
      <c r="M29" s="56">
        <f>SUMPRODUCT(taakfreqtabel1,kengetaltabel1,tarieftabel1,object24_opptabel1)</f>
        <v>0</v>
      </c>
      <c r="N29" s="56">
        <f>F29*J29*VLOOKUP(E29,dagsoorttabel1,2,FALSE)</f>
        <v>0</v>
      </c>
      <c r="O29" s="56">
        <f>SUM(M29:N29)</f>
        <v>0</v>
      </c>
      <c r="P29" s="65">
        <f>K29*dagenperjaar1*VLOOKUP(E29,dagsoorttabel1,2,FALSE)</f>
        <v>0</v>
      </c>
      <c r="Q29" s="65">
        <f>L29*dagenperjaar1</f>
        <v>0</v>
      </c>
      <c r="R29" s="56">
        <f>O29*dagenperjaar1</f>
        <v>0</v>
      </c>
      <c r="S29" s="56">
        <f>R29/12</f>
        <v>0</v>
      </c>
    </row>
    <row r="30" spans="1:19" ht="25.2" x14ac:dyDescent="0.2">
      <c r="A30" s="52" t="s">
        <v>912</v>
      </c>
      <c r="B30" s="52" t="s">
        <v>1260</v>
      </c>
      <c r="C30" s="116" t="s">
        <v>1261</v>
      </c>
      <c r="D30" s="52" t="s">
        <v>1213</v>
      </c>
      <c r="E30" s="114" t="s">
        <v>10</v>
      </c>
      <c r="F30" s="115">
        <f>gemuurtarief1</f>
        <v>0</v>
      </c>
      <c r="G30" s="65">
        <f>SUMPRODUCT(taakfreqtabel1,uurfactortabel1,kengetaltabel1,object25_opptabel1)</f>
        <v>0</v>
      </c>
      <c r="H30" s="65">
        <f>G30*(1/VLOOKUP(E30,dagsoorttabel1,2,FALSE))</f>
        <v>0</v>
      </c>
      <c r="I30" s="65">
        <f>SUMPRODUCT(dagwerktabel1,taakfreqtabel1,uurfactortabel1,kengetaltabel1,object25_opptabel1)*(1/VLOOKUP(E30,dagsoorttabel1,2,FALSE))</f>
        <v>0</v>
      </c>
      <c r="J30" s="54"/>
      <c r="K30" s="65">
        <f>I30+J30</f>
        <v>0</v>
      </c>
      <c r="L30" s="65">
        <f>G30+J30*VLOOKUP(E30,dagsoorttabel1,2,FALSE)</f>
        <v>0</v>
      </c>
      <c r="M30" s="56">
        <f>SUMPRODUCT(taakfreqtabel1,kengetaltabel1,tarieftabel1,object25_opptabel1)</f>
        <v>0</v>
      </c>
      <c r="N30" s="56">
        <f>F30*J30*VLOOKUP(E30,dagsoorttabel1,2,FALSE)</f>
        <v>0</v>
      </c>
      <c r="O30" s="56">
        <f>SUM(M30:N30)</f>
        <v>0</v>
      </c>
      <c r="P30" s="65">
        <f>K30*dagenperjaar1*VLOOKUP(E30,dagsoorttabel1,2,FALSE)</f>
        <v>0</v>
      </c>
      <c r="Q30" s="65">
        <f>L30*dagenperjaar1</f>
        <v>0</v>
      </c>
      <c r="R30" s="56">
        <f>O30*dagenperjaar1</f>
        <v>0</v>
      </c>
      <c r="S30" s="56">
        <f>R30/12</f>
        <v>0</v>
      </c>
    </row>
    <row r="31" spans="1:19" x14ac:dyDescent="0.2">
      <c r="A31" s="52" t="s">
        <v>925</v>
      </c>
      <c r="B31" s="52" t="s">
        <v>1262</v>
      </c>
      <c r="C31" s="52" t="s">
        <v>1263</v>
      </c>
      <c r="D31" s="52" t="s">
        <v>1213</v>
      </c>
      <c r="E31" s="114" t="s">
        <v>10</v>
      </c>
      <c r="F31" s="115">
        <f>gemuurtarief1</f>
        <v>0</v>
      </c>
      <c r="G31" s="65">
        <f>SUMPRODUCT(taakfreqtabel1,uurfactortabel1,kengetaltabel1,object26_opptabel1)</f>
        <v>0</v>
      </c>
      <c r="H31" s="65">
        <f>G31*(1/VLOOKUP(E31,dagsoorttabel1,2,FALSE))</f>
        <v>0</v>
      </c>
      <c r="I31" s="65">
        <f>SUMPRODUCT(dagwerktabel1,taakfreqtabel1,uurfactortabel1,kengetaltabel1,object26_opptabel1)*(1/VLOOKUP(E31,dagsoorttabel1,2,FALSE))</f>
        <v>0</v>
      </c>
      <c r="J31" s="54"/>
      <c r="K31" s="65">
        <f>I31+J31</f>
        <v>0</v>
      </c>
      <c r="L31" s="65">
        <f>G31+J31*VLOOKUP(E31,dagsoorttabel1,2,FALSE)</f>
        <v>0</v>
      </c>
      <c r="M31" s="56">
        <f>SUMPRODUCT(taakfreqtabel1,kengetaltabel1,tarieftabel1,object26_opptabel1)</f>
        <v>0</v>
      </c>
      <c r="N31" s="56">
        <f>F31*J31*VLOOKUP(E31,dagsoorttabel1,2,FALSE)</f>
        <v>0</v>
      </c>
      <c r="O31" s="56">
        <f>SUM(M31:N31)</f>
        <v>0</v>
      </c>
      <c r="P31" s="65">
        <f>K31*dagenperjaar1*VLOOKUP(E31,dagsoorttabel1,2,FALSE)</f>
        <v>0</v>
      </c>
      <c r="Q31" s="65">
        <f>L31*dagenperjaar1</f>
        <v>0</v>
      </c>
      <c r="R31" s="56">
        <f>O31*dagenperjaar1</f>
        <v>0</v>
      </c>
      <c r="S31" s="56">
        <f>R31/12</f>
        <v>0</v>
      </c>
    </row>
    <row r="32" spans="1:19" x14ac:dyDescent="0.2">
      <c r="A32" s="52" t="s">
        <v>931</v>
      </c>
      <c r="B32" s="52" t="s">
        <v>1264</v>
      </c>
      <c r="C32" s="52" t="s">
        <v>1265</v>
      </c>
      <c r="D32" s="52" t="s">
        <v>1213</v>
      </c>
      <c r="E32" s="114" t="s">
        <v>10</v>
      </c>
      <c r="F32" s="115">
        <f>gemuurtarief1</f>
        <v>0</v>
      </c>
      <c r="G32" s="65">
        <f>SUMPRODUCT(taakfreqtabel1,uurfactortabel1,kengetaltabel1,object27_opptabel1)</f>
        <v>0</v>
      </c>
      <c r="H32" s="65">
        <f>G32*(1/VLOOKUP(E32,dagsoorttabel1,2,FALSE))</f>
        <v>0</v>
      </c>
      <c r="I32" s="65">
        <f>SUMPRODUCT(dagwerktabel1,taakfreqtabel1,uurfactortabel1,kengetaltabel1,object27_opptabel1)*(1/VLOOKUP(E32,dagsoorttabel1,2,FALSE))</f>
        <v>0</v>
      </c>
      <c r="J32" s="54"/>
      <c r="K32" s="65">
        <f>I32+J32</f>
        <v>0</v>
      </c>
      <c r="L32" s="65">
        <f>G32+J32*VLOOKUP(E32,dagsoorttabel1,2,FALSE)</f>
        <v>0</v>
      </c>
      <c r="M32" s="56">
        <f>SUMPRODUCT(taakfreqtabel1,kengetaltabel1,tarieftabel1,object27_opptabel1)</f>
        <v>0</v>
      </c>
      <c r="N32" s="56">
        <f>F32*J32*VLOOKUP(E32,dagsoorttabel1,2,FALSE)</f>
        <v>0</v>
      </c>
      <c r="O32" s="56">
        <f>SUM(M32:N32)</f>
        <v>0</v>
      </c>
      <c r="P32" s="65">
        <f>K32*dagenperjaar1*VLOOKUP(E32,dagsoorttabel1,2,FALSE)</f>
        <v>0</v>
      </c>
      <c r="Q32" s="65">
        <f>L32*dagenperjaar1</f>
        <v>0</v>
      </c>
      <c r="R32" s="56">
        <f>O32*dagenperjaar1</f>
        <v>0</v>
      </c>
      <c r="S32" s="56">
        <f>R32/12</f>
        <v>0</v>
      </c>
    </row>
    <row r="33" spans="1:19" x14ac:dyDescent="0.2">
      <c r="A33" s="52" t="s">
        <v>936</v>
      </c>
      <c r="B33" s="52" t="s">
        <v>1266</v>
      </c>
      <c r="C33" s="52" t="s">
        <v>1267</v>
      </c>
      <c r="D33" s="52" t="s">
        <v>1213</v>
      </c>
      <c r="E33" s="114" t="s">
        <v>10</v>
      </c>
      <c r="F33" s="115">
        <f>gemuurtarief1</f>
        <v>0</v>
      </c>
      <c r="G33" s="65">
        <f>SUMPRODUCT(taakfreqtabel1,uurfactortabel1,kengetaltabel1,object28_opptabel1)</f>
        <v>0</v>
      </c>
      <c r="H33" s="65">
        <f>G33*(1/VLOOKUP(E33,dagsoorttabel1,2,FALSE))</f>
        <v>0</v>
      </c>
      <c r="I33" s="65">
        <f>SUMPRODUCT(dagwerktabel1,taakfreqtabel1,uurfactortabel1,kengetaltabel1,object28_opptabel1)*(1/VLOOKUP(E33,dagsoorttabel1,2,FALSE))</f>
        <v>0</v>
      </c>
      <c r="J33" s="54"/>
      <c r="K33" s="65">
        <f>I33+J33</f>
        <v>0</v>
      </c>
      <c r="L33" s="65">
        <f>G33+J33*VLOOKUP(E33,dagsoorttabel1,2,FALSE)</f>
        <v>0</v>
      </c>
      <c r="M33" s="56">
        <f>SUMPRODUCT(taakfreqtabel1,kengetaltabel1,tarieftabel1,object28_opptabel1)</f>
        <v>0</v>
      </c>
      <c r="N33" s="56">
        <f>F33*J33*VLOOKUP(E33,dagsoorttabel1,2,FALSE)</f>
        <v>0</v>
      </c>
      <c r="O33" s="56">
        <f>SUM(M33:N33)</f>
        <v>0</v>
      </c>
      <c r="P33" s="65">
        <f>K33*dagenperjaar1*VLOOKUP(E33,dagsoorttabel1,2,FALSE)</f>
        <v>0</v>
      </c>
      <c r="Q33" s="65">
        <f>L33*dagenperjaar1</f>
        <v>0</v>
      </c>
      <c r="R33" s="56">
        <f>O33*dagenperjaar1</f>
        <v>0</v>
      </c>
      <c r="S33" s="56">
        <f>R33/12</f>
        <v>0</v>
      </c>
    </row>
    <row r="34" spans="1:19" x14ac:dyDescent="0.2">
      <c r="A34" s="52" t="s">
        <v>940</v>
      </c>
      <c r="B34" s="52" t="s">
        <v>1268</v>
      </c>
      <c r="C34" s="52" t="s">
        <v>1269</v>
      </c>
      <c r="D34" s="52" t="s">
        <v>1213</v>
      </c>
      <c r="E34" s="114" t="s">
        <v>10</v>
      </c>
      <c r="F34" s="115">
        <f>gemuurtarief1</f>
        <v>0</v>
      </c>
      <c r="G34" s="65">
        <f>SUMPRODUCT(taakfreqtabel1,uurfactortabel1,kengetaltabel1,object29_opptabel1)</f>
        <v>0</v>
      </c>
      <c r="H34" s="65">
        <f>G34*(1/VLOOKUP(E34,dagsoorttabel1,2,FALSE))</f>
        <v>0</v>
      </c>
      <c r="I34" s="65">
        <f>SUMPRODUCT(dagwerktabel1,taakfreqtabel1,uurfactortabel1,kengetaltabel1,object29_opptabel1)*(1/VLOOKUP(E34,dagsoorttabel1,2,FALSE))</f>
        <v>0</v>
      </c>
      <c r="J34" s="54"/>
      <c r="K34" s="65">
        <f>I34+J34</f>
        <v>0</v>
      </c>
      <c r="L34" s="65">
        <f>G34+J34*VLOOKUP(E34,dagsoorttabel1,2,FALSE)</f>
        <v>0</v>
      </c>
      <c r="M34" s="56">
        <f>SUMPRODUCT(taakfreqtabel1,kengetaltabel1,tarieftabel1,object29_opptabel1)</f>
        <v>0</v>
      </c>
      <c r="N34" s="56">
        <f>F34*J34*VLOOKUP(E34,dagsoorttabel1,2,FALSE)</f>
        <v>0</v>
      </c>
      <c r="O34" s="56">
        <f>SUM(M34:N34)</f>
        <v>0</v>
      </c>
      <c r="P34" s="65">
        <f>K34*dagenperjaar1*VLOOKUP(E34,dagsoorttabel1,2,FALSE)</f>
        <v>0</v>
      </c>
      <c r="Q34" s="65">
        <f>L34*dagenperjaar1</f>
        <v>0</v>
      </c>
      <c r="R34" s="56">
        <f>O34*dagenperjaar1</f>
        <v>0</v>
      </c>
      <c r="S34" s="56">
        <f>R34/12</f>
        <v>0</v>
      </c>
    </row>
    <row r="35" spans="1:19" x14ac:dyDescent="0.2">
      <c r="A35" s="52" t="s">
        <v>946</v>
      </c>
      <c r="B35" s="52" t="s">
        <v>1270</v>
      </c>
      <c r="C35" s="52" t="s">
        <v>1271</v>
      </c>
      <c r="D35" s="52" t="s">
        <v>1213</v>
      </c>
      <c r="E35" s="114" t="s">
        <v>10</v>
      </c>
      <c r="F35" s="115">
        <f>gemuurtarief1</f>
        <v>0</v>
      </c>
      <c r="G35" s="65">
        <f>SUMPRODUCT(taakfreqtabel1,uurfactortabel1,kengetaltabel1,object30_opptabel1)</f>
        <v>0</v>
      </c>
      <c r="H35" s="65">
        <f>G35*(1/VLOOKUP(E35,dagsoorttabel1,2,FALSE))</f>
        <v>0</v>
      </c>
      <c r="I35" s="65">
        <f>SUMPRODUCT(dagwerktabel1,taakfreqtabel1,uurfactortabel1,kengetaltabel1,object30_opptabel1)*(1/VLOOKUP(E35,dagsoorttabel1,2,FALSE))</f>
        <v>0</v>
      </c>
      <c r="J35" s="54"/>
      <c r="K35" s="65">
        <f>I35+J35</f>
        <v>0</v>
      </c>
      <c r="L35" s="65">
        <f>G35+J35*VLOOKUP(E35,dagsoorttabel1,2,FALSE)</f>
        <v>0</v>
      </c>
      <c r="M35" s="56">
        <f>SUMPRODUCT(taakfreqtabel1,kengetaltabel1,tarieftabel1,object30_opptabel1)</f>
        <v>0</v>
      </c>
      <c r="N35" s="56">
        <f>F35*J35*VLOOKUP(E35,dagsoorttabel1,2,FALSE)</f>
        <v>0</v>
      </c>
      <c r="O35" s="56">
        <f>SUM(M35:N35)</f>
        <v>0</v>
      </c>
      <c r="P35" s="65">
        <f>K35*dagenperjaar1*VLOOKUP(E35,dagsoorttabel1,2,FALSE)</f>
        <v>0</v>
      </c>
      <c r="Q35" s="65">
        <f>L35*dagenperjaar1</f>
        <v>0</v>
      </c>
      <c r="R35" s="56">
        <f>O35*dagenperjaar1</f>
        <v>0</v>
      </c>
      <c r="S35" s="56">
        <f>R35/12</f>
        <v>0</v>
      </c>
    </row>
    <row r="36" spans="1:19" x14ac:dyDescent="0.2">
      <c r="A36" s="52" t="s">
        <v>1146</v>
      </c>
      <c r="B36" s="52" t="s">
        <v>1272</v>
      </c>
      <c r="C36" s="52" t="s">
        <v>1273</v>
      </c>
      <c r="D36" s="52" t="s">
        <v>1213</v>
      </c>
      <c r="E36" s="114" t="s">
        <v>13</v>
      </c>
      <c r="F36" s="115">
        <f>gemuurtarief1</f>
        <v>0</v>
      </c>
      <c r="G36" s="65">
        <f>SUMPRODUCT(taakfreqtabel1,uurfactortabel1,kengetaltabel1,object31_opptabel1)</f>
        <v>0</v>
      </c>
      <c r="H36" s="65">
        <f>G36*(1/VLOOKUP(E36,dagsoorttabel1,2,FALSE))</f>
        <v>0</v>
      </c>
      <c r="I36" s="65">
        <f>SUMPRODUCT(dagwerktabel1,taakfreqtabel1,uurfactortabel1,kengetaltabel1,object31_opptabel1)*(1/VLOOKUP(E36,dagsoorttabel1,2,FALSE))</f>
        <v>0</v>
      </c>
      <c r="J36" s="54"/>
      <c r="K36" s="65">
        <f>I36+J36</f>
        <v>0</v>
      </c>
      <c r="L36" s="65">
        <f>G36+J36*VLOOKUP(E36,dagsoorttabel1,2,FALSE)</f>
        <v>0</v>
      </c>
      <c r="M36" s="56">
        <f>SUMPRODUCT(taakfreqtabel1,kengetaltabel1,tarieftabel1,object31_opptabel1)</f>
        <v>0</v>
      </c>
      <c r="N36" s="56">
        <f>F36*J36*VLOOKUP(E36,dagsoorttabel1,2,FALSE)</f>
        <v>0</v>
      </c>
      <c r="O36" s="56">
        <f>SUM(M36:N36)</f>
        <v>0</v>
      </c>
      <c r="P36" s="65">
        <f>K36*dagenperjaar1*VLOOKUP(E36,dagsoorttabel1,2,FALSE)</f>
        <v>0</v>
      </c>
      <c r="Q36" s="65">
        <f>L36*dagenperjaar1</f>
        <v>0</v>
      </c>
      <c r="R36" s="56">
        <f>O36*dagenperjaar1</f>
        <v>0</v>
      </c>
      <c r="S36" s="56">
        <f>R36/12</f>
        <v>0</v>
      </c>
    </row>
    <row r="37" spans="1:19" x14ac:dyDescent="0.2">
      <c r="A37" s="57" t="s">
        <v>1150</v>
      </c>
      <c r="B37" s="57" t="s">
        <v>1274</v>
      </c>
      <c r="C37" s="57" t="s">
        <v>1275</v>
      </c>
      <c r="D37" s="57" t="s">
        <v>1213</v>
      </c>
      <c r="E37" s="117" t="s">
        <v>13</v>
      </c>
      <c r="F37" s="118">
        <f>gemuurtarief1</f>
        <v>0</v>
      </c>
      <c r="G37" s="69">
        <f>SUMPRODUCT(taakfreqtabel1,uurfactortabel1,kengetaltabel1,object32_opptabel1)</f>
        <v>0</v>
      </c>
      <c r="H37" s="69">
        <f>G37*(1/VLOOKUP(E37,dagsoorttabel1,2,FALSE))</f>
        <v>0</v>
      </c>
      <c r="I37" s="69">
        <f>SUMPRODUCT(dagwerktabel1,taakfreqtabel1,uurfactortabel1,kengetaltabel1,object32_opptabel1)*(1/VLOOKUP(E37,dagsoorttabel1,2,FALSE))</f>
        <v>0</v>
      </c>
      <c r="J37" s="59"/>
      <c r="K37" s="69">
        <f>I37+J37</f>
        <v>0</v>
      </c>
      <c r="L37" s="69">
        <f>G37+J37*VLOOKUP(E37,dagsoorttabel1,2,FALSE)</f>
        <v>0</v>
      </c>
      <c r="M37" s="61">
        <f>SUMPRODUCT(taakfreqtabel1,kengetaltabel1,tarieftabel1,object32_opptabel1)</f>
        <v>0</v>
      </c>
      <c r="N37" s="61">
        <f>F37*J37*VLOOKUP(E37,dagsoorttabel1,2,FALSE)</f>
        <v>0</v>
      </c>
      <c r="O37" s="61">
        <f>SUM(M37:N37)</f>
        <v>0</v>
      </c>
      <c r="P37" s="69">
        <f>K37*dagenperjaar1*VLOOKUP(E37,dagsoorttabel1,2,FALSE)</f>
        <v>0</v>
      </c>
      <c r="Q37" s="69">
        <f>L37*dagenperjaar1</f>
        <v>0</v>
      </c>
      <c r="R37" s="61">
        <f>O37*dagenperjaar1</f>
        <v>0</v>
      </c>
      <c r="S37" s="61">
        <f>R37/12</f>
        <v>0</v>
      </c>
    </row>
    <row r="38" spans="1:19" x14ac:dyDescent="0.2">
      <c r="A38" s="72" t="s">
        <v>360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4">
        <f>SUM(P6:P37)</f>
        <v>0</v>
      </c>
      <c r="Q38" s="74">
        <f>SUM(Q6:Q37)</f>
        <v>765</v>
      </c>
      <c r="R38" s="75">
        <f>SUM(R6:R37)</f>
        <v>0</v>
      </c>
      <c r="S38" s="76">
        <f>SUM(S6:S37)</f>
        <v>0</v>
      </c>
    </row>
    <row r="39" spans="1:19" x14ac:dyDescent="0.2">
      <c r="A39" s="77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8"/>
    </row>
    <row r="40" spans="1:19" x14ac:dyDescent="0.2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3"/>
    </row>
    <row r="41" spans="1:19" x14ac:dyDescent="0.2">
      <c r="A41" s="44" t="s">
        <v>231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6"/>
    </row>
    <row r="42" spans="1:19" x14ac:dyDescent="0.2">
      <c r="A42" s="119" t="s">
        <v>946</v>
      </c>
      <c r="B42" s="119" t="s">
        <v>1270</v>
      </c>
      <c r="C42" s="119" t="s">
        <v>1271</v>
      </c>
      <c r="D42" s="119" t="s">
        <v>1213</v>
      </c>
      <c r="E42" s="120" t="s">
        <v>18</v>
      </c>
      <c r="F42" s="121">
        <f>gemuurtarief3</f>
        <v>0</v>
      </c>
      <c r="G42" s="122">
        <f>SUMPRODUCT(taakfreqtabel3,uurfactortabel3,kengetaltabel3,object30_opptabel3)</f>
        <v>0</v>
      </c>
      <c r="H42" s="122">
        <f>G42*(1/VLOOKUP(E42,dagsoorttabel3,2,FALSE))</f>
        <v>0</v>
      </c>
      <c r="I42" s="122">
        <f>SUMPRODUCT(dagwerktabel3,taakfreqtabel3,uurfactortabel3,kengetaltabel3,object30_opptabel3)*(1/VLOOKUP(E42,dagsoorttabel3,2,FALSE))</f>
        <v>0</v>
      </c>
      <c r="J42" s="123"/>
      <c r="K42" s="122">
        <f>I42+J42</f>
        <v>0</v>
      </c>
      <c r="L42" s="122">
        <f>G42+J42*VLOOKUP(E42,dagsoorttabel3,2,FALSE)</f>
        <v>0</v>
      </c>
      <c r="M42" s="124">
        <f>SUMPRODUCT(taakfreqtabel3,kengetaltabel3,tarieftabel3,object30_opptabel3)</f>
        <v>0</v>
      </c>
      <c r="N42" s="124">
        <f>F42*J42*VLOOKUP(E42,dagsoorttabel3,2,FALSE)</f>
        <v>0</v>
      </c>
      <c r="O42" s="124">
        <f>SUM(M42:N42)</f>
        <v>0</v>
      </c>
      <c r="P42" s="122">
        <f>K42*dagenperjaar3*VLOOKUP(E42,dagsoorttabel3,2,FALSE)</f>
        <v>0</v>
      </c>
      <c r="Q42" s="122">
        <f>L42*dagenperjaar3</f>
        <v>0</v>
      </c>
      <c r="R42" s="124">
        <f>O42*dagenperjaar3</f>
        <v>0</v>
      </c>
      <c r="S42" s="124">
        <f>R42/12</f>
        <v>0</v>
      </c>
    </row>
    <row r="43" spans="1:19" x14ac:dyDescent="0.2">
      <c r="A43" s="72" t="s">
        <v>379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4">
        <f>SUM(P42:P42)</f>
        <v>0</v>
      </c>
      <c r="Q43" s="74">
        <f>SUM(Q42:Q42)</f>
        <v>0</v>
      </c>
      <c r="R43" s="75">
        <f>SUM(R42:R42)</f>
        <v>0</v>
      </c>
      <c r="S43" s="76">
        <f>SUM(S42:S42)</f>
        <v>0</v>
      </c>
    </row>
    <row r="44" spans="1:19" x14ac:dyDescent="0.2">
      <c r="A44" s="77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8"/>
    </row>
    <row r="46" spans="1:19" x14ac:dyDescent="0.2">
      <c r="A46" s="72" t="s">
        <v>1276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4">
        <f>urenjaartotaalhf1+urenjaartotaalhf3</f>
        <v>0</v>
      </c>
      <c r="Q46" s="74">
        <f>urenjaartotaal1+urenjaartotaal3</f>
        <v>765</v>
      </c>
      <c r="R46" s="75">
        <f>prijsjaartotaal1+prijsjaartotaal3</f>
        <v>0</v>
      </c>
      <c r="S46" s="75">
        <f>prijsmaandtotaal1+prijsmaandtotaal3</f>
        <v>0</v>
      </c>
    </row>
  </sheetData>
  <sheetProtection algorithmName="SHA-512" hashValue="V43mxWLGQcIrEzdnRnio9Ymt/+0N0610UTOLmVKtQkMhVqNR9Gb2nQy6XbMzE9CaAVjPAklUI999GutpCV9soQ==" saltValue="U4+d7hgDJ22rW/KJdoYkPA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BD3E0-E0CC-48C8-9248-2C5875546DEF}">
  <dimension ref="A1:H37"/>
  <sheetViews>
    <sheetView workbookViewId="0"/>
  </sheetViews>
  <sheetFormatPr defaultRowHeight="12.6" x14ac:dyDescent="0.2"/>
  <cols>
    <col min="1" max="1" width="8.6328125" customWidth="1"/>
    <col min="2" max="2" width="32.6328125" customWidth="1"/>
    <col min="3" max="3" width="20.6328125" customWidth="1"/>
    <col min="4" max="4" width="18.6328125" customWidth="1"/>
    <col min="5" max="6" width="12.6328125" customWidth="1"/>
    <col min="7" max="7" width="14.6328125" customWidth="1"/>
    <col min="8" max="8" width="13.6328125" customWidth="1"/>
  </cols>
  <sheetData>
    <row r="1" spans="1:8" x14ac:dyDescent="0.2">
      <c r="A1" s="1" t="str">
        <f>CONCATENATE("Bijlage F.1.6: ",tabeltype," totaalblad objecten")</f>
        <v>Bijlage F.1.6: Invultabel totaalblad objecten</v>
      </c>
    </row>
    <row r="3" spans="1:8" ht="37.799999999999997" x14ac:dyDescent="0.2">
      <c r="A3" s="40" t="s">
        <v>382</v>
      </c>
      <c r="B3" s="40" t="s">
        <v>1195</v>
      </c>
      <c r="C3" s="40" t="s">
        <v>1196</v>
      </c>
      <c r="D3" s="40" t="s">
        <v>1197</v>
      </c>
      <c r="E3" s="40" t="s">
        <v>1206</v>
      </c>
      <c r="F3" s="40" t="s">
        <v>252</v>
      </c>
      <c r="G3" s="40" t="s">
        <v>253</v>
      </c>
      <c r="H3" s="40" t="s">
        <v>1277</v>
      </c>
    </row>
    <row r="4" spans="1:8" x14ac:dyDescent="0.2">
      <c r="A4" s="47" t="s">
        <v>393</v>
      </c>
      <c r="B4" s="47" t="s">
        <v>1208</v>
      </c>
      <c r="C4" s="47" t="s">
        <v>1209</v>
      </c>
      <c r="D4" s="47" t="s">
        <v>1210</v>
      </c>
      <c r="E4" s="62">
        <f>objecturenhf1_1</f>
        <v>0</v>
      </c>
      <c r="F4" s="62">
        <f>objecturen1_1</f>
        <v>0</v>
      </c>
      <c r="G4" s="51">
        <f>objectprijs1_1</f>
        <v>0</v>
      </c>
      <c r="H4" s="51">
        <f>G4/12</f>
        <v>0</v>
      </c>
    </row>
    <row r="5" spans="1:8" x14ac:dyDescent="0.2">
      <c r="A5" s="52" t="s">
        <v>438</v>
      </c>
      <c r="B5" s="52" t="s">
        <v>1211</v>
      </c>
      <c r="C5" s="52" t="s">
        <v>1212</v>
      </c>
      <c r="D5" s="52" t="s">
        <v>1213</v>
      </c>
      <c r="E5" s="65">
        <f>objecturenhf2_1</f>
        <v>0</v>
      </c>
      <c r="F5" s="65">
        <f>objecturen2_1</f>
        <v>0</v>
      </c>
      <c r="G5" s="56">
        <f>objectprijs2_1</f>
        <v>0</v>
      </c>
      <c r="H5" s="56">
        <f>G5/12</f>
        <v>0</v>
      </c>
    </row>
    <row r="6" spans="1:8" x14ac:dyDescent="0.2">
      <c r="A6" s="52" t="s">
        <v>471</v>
      </c>
      <c r="B6" s="52" t="s">
        <v>1214</v>
      </c>
      <c r="C6" s="52" t="s">
        <v>1215</v>
      </c>
      <c r="D6" s="52" t="s">
        <v>1213</v>
      </c>
      <c r="E6" s="65">
        <f>objecturenhf3_1</f>
        <v>0</v>
      </c>
      <c r="F6" s="65">
        <f>objecturen3_1</f>
        <v>0</v>
      </c>
      <c r="G6" s="56">
        <f>objectprijs3_1</f>
        <v>0</v>
      </c>
      <c r="H6" s="56">
        <f>G6/12</f>
        <v>0</v>
      </c>
    </row>
    <row r="7" spans="1:8" x14ac:dyDescent="0.2">
      <c r="A7" s="52" t="s">
        <v>478</v>
      </c>
      <c r="B7" s="52" t="s">
        <v>1216</v>
      </c>
      <c r="C7" s="52" t="s">
        <v>1217</v>
      </c>
      <c r="D7" s="52" t="s">
        <v>1213</v>
      </c>
      <c r="E7" s="65">
        <f>objecturenhf4_1</f>
        <v>0</v>
      </c>
      <c r="F7" s="65">
        <f>objecturen4_1</f>
        <v>0</v>
      </c>
      <c r="G7" s="56">
        <f>objectprijs4_1</f>
        <v>0</v>
      </c>
      <c r="H7" s="56">
        <f>G7/12</f>
        <v>0</v>
      </c>
    </row>
    <row r="8" spans="1:8" x14ac:dyDescent="0.2">
      <c r="A8" s="52" t="s">
        <v>480</v>
      </c>
      <c r="B8" s="52" t="s">
        <v>1218</v>
      </c>
      <c r="C8" s="52" t="s">
        <v>1219</v>
      </c>
      <c r="D8" s="52" t="s">
        <v>1213</v>
      </c>
      <c r="E8" s="65">
        <f>objecturenhf5_1</f>
        <v>0</v>
      </c>
      <c r="F8" s="65">
        <f>objecturen5_1</f>
        <v>0</v>
      </c>
      <c r="G8" s="56">
        <f>objectprijs5_1</f>
        <v>0</v>
      </c>
      <c r="H8" s="56">
        <f>G8/12</f>
        <v>0</v>
      </c>
    </row>
    <row r="9" spans="1:8" x14ac:dyDescent="0.2">
      <c r="A9" s="52" t="s">
        <v>484</v>
      </c>
      <c r="B9" s="52" t="s">
        <v>1220</v>
      </c>
      <c r="C9" s="52" t="s">
        <v>1221</v>
      </c>
      <c r="D9" s="52" t="s">
        <v>1213</v>
      </c>
      <c r="E9" s="65">
        <f>objecturenhf6_1</f>
        <v>0</v>
      </c>
      <c r="F9" s="65">
        <f>objecturen6_1</f>
        <v>0</v>
      </c>
      <c r="G9" s="56">
        <f>objectprijs6_1</f>
        <v>0</v>
      </c>
      <c r="H9" s="56">
        <f>G9/12</f>
        <v>0</v>
      </c>
    </row>
    <row r="10" spans="1:8" x14ac:dyDescent="0.2">
      <c r="A10" s="52" t="s">
        <v>486</v>
      </c>
      <c r="B10" s="52" t="s">
        <v>1222</v>
      </c>
      <c r="C10" s="52" t="s">
        <v>1223</v>
      </c>
      <c r="D10" s="52" t="s">
        <v>1213</v>
      </c>
      <c r="E10" s="65">
        <f>objecturenhf7_1</f>
        <v>0</v>
      </c>
      <c r="F10" s="65">
        <f>objecturen7_1</f>
        <v>0</v>
      </c>
      <c r="G10" s="56">
        <f>objectprijs7_1</f>
        <v>0</v>
      </c>
      <c r="H10" s="56">
        <f>G10/12</f>
        <v>0</v>
      </c>
    </row>
    <row r="11" spans="1:8" x14ac:dyDescent="0.2">
      <c r="A11" s="52" t="s">
        <v>502</v>
      </c>
      <c r="B11" s="52" t="s">
        <v>1224</v>
      </c>
      <c r="C11" s="52" t="s">
        <v>1225</v>
      </c>
      <c r="D11" s="52" t="s">
        <v>1213</v>
      </c>
      <c r="E11" s="65">
        <f>objecturenhf8_1</f>
        <v>0</v>
      </c>
      <c r="F11" s="65">
        <f>objecturen8_1</f>
        <v>0</v>
      </c>
      <c r="G11" s="56">
        <f>objectprijs8_1</f>
        <v>0</v>
      </c>
      <c r="H11" s="56">
        <f>G11/12</f>
        <v>0</v>
      </c>
    </row>
    <row r="12" spans="1:8" x14ac:dyDescent="0.2">
      <c r="A12" s="52" t="s">
        <v>510</v>
      </c>
      <c r="B12" s="52" t="s">
        <v>1226</v>
      </c>
      <c r="C12" s="52" t="s">
        <v>1227</v>
      </c>
      <c r="D12" s="52" t="s">
        <v>1213</v>
      </c>
      <c r="E12" s="65">
        <f>objecturenhf9_1</f>
        <v>0</v>
      </c>
      <c r="F12" s="65">
        <f>objecturen9_1</f>
        <v>0</v>
      </c>
      <c r="G12" s="56">
        <f>objectprijs9_1</f>
        <v>0</v>
      </c>
      <c r="H12" s="56">
        <f>G12/12</f>
        <v>0</v>
      </c>
    </row>
    <row r="13" spans="1:8" x14ac:dyDescent="0.2">
      <c r="A13" s="52" t="s">
        <v>512</v>
      </c>
      <c r="B13" s="52" t="s">
        <v>1228</v>
      </c>
      <c r="C13" s="52" t="s">
        <v>1229</v>
      </c>
      <c r="D13" s="52" t="s">
        <v>1213</v>
      </c>
      <c r="E13" s="65">
        <f>objecturenhf10_1</f>
        <v>0</v>
      </c>
      <c r="F13" s="65">
        <f>objecturen10_1</f>
        <v>0</v>
      </c>
      <c r="G13" s="56">
        <f>objectprijs10_1</f>
        <v>0</v>
      </c>
      <c r="H13" s="56">
        <f>G13/12</f>
        <v>0</v>
      </c>
    </row>
    <row r="14" spans="1:8" x14ac:dyDescent="0.2">
      <c r="A14" s="52" t="s">
        <v>521</v>
      </c>
      <c r="B14" s="52" t="s">
        <v>1230</v>
      </c>
      <c r="C14" s="52" t="s">
        <v>1231</v>
      </c>
      <c r="D14" s="52" t="s">
        <v>1213</v>
      </c>
      <c r="E14" s="65">
        <f>objecturenhf11_1</f>
        <v>0</v>
      </c>
      <c r="F14" s="65">
        <f>objecturen11_1</f>
        <v>0</v>
      </c>
      <c r="G14" s="56">
        <f>objectprijs11_1</f>
        <v>0</v>
      </c>
      <c r="H14" s="56">
        <f>G14/12</f>
        <v>0</v>
      </c>
    </row>
    <row r="15" spans="1:8" x14ac:dyDescent="0.2">
      <c r="A15" s="52" t="s">
        <v>527</v>
      </c>
      <c r="B15" s="52" t="s">
        <v>1232</v>
      </c>
      <c r="C15" s="52" t="s">
        <v>1233</v>
      </c>
      <c r="D15" s="52" t="s">
        <v>1213</v>
      </c>
      <c r="E15" s="65">
        <f>objecturenhf12_1</f>
        <v>0</v>
      </c>
      <c r="F15" s="65">
        <f>objecturen12_1</f>
        <v>0</v>
      </c>
      <c r="G15" s="56">
        <f>objectprijs12_1</f>
        <v>0</v>
      </c>
      <c r="H15" s="56">
        <f>G15/12</f>
        <v>0</v>
      </c>
    </row>
    <row r="16" spans="1:8" x14ac:dyDescent="0.2">
      <c r="A16" s="52" t="s">
        <v>641</v>
      </c>
      <c r="B16" s="52" t="s">
        <v>1234</v>
      </c>
      <c r="C16" s="52" t="s">
        <v>1235</v>
      </c>
      <c r="D16" s="52" t="s">
        <v>1213</v>
      </c>
      <c r="E16" s="65">
        <f>objecturenhf13_1</f>
        <v>0</v>
      </c>
      <c r="F16" s="65">
        <f>objecturen13_1</f>
        <v>765</v>
      </c>
      <c r="G16" s="56">
        <f>objectprijs13_1</f>
        <v>0</v>
      </c>
      <c r="H16" s="56">
        <f>G16/12</f>
        <v>0</v>
      </c>
    </row>
    <row r="17" spans="1:8" x14ac:dyDescent="0.2">
      <c r="A17" s="52" t="s">
        <v>700</v>
      </c>
      <c r="B17" s="52" t="s">
        <v>1236</v>
      </c>
      <c r="C17" s="52" t="s">
        <v>1237</v>
      </c>
      <c r="D17" s="52" t="s">
        <v>1238</v>
      </c>
      <c r="E17" s="65">
        <f>objecturenhf14_1</f>
        <v>0</v>
      </c>
      <c r="F17" s="65">
        <f>objecturen14_1</f>
        <v>0</v>
      </c>
      <c r="G17" s="56">
        <f>objectprijs14_1</f>
        <v>0</v>
      </c>
      <c r="H17" s="56">
        <f>G17/12</f>
        <v>0</v>
      </c>
    </row>
    <row r="18" spans="1:8" x14ac:dyDescent="0.2">
      <c r="A18" s="52" t="s">
        <v>742</v>
      </c>
      <c r="B18" s="52" t="s">
        <v>1239</v>
      </c>
      <c r="C18" s="52" t="s">
        <v>1240</v>
      </c>
      <c r="D18" s="52" t="s">
        <v>1213</v>
      </c>
      <c r="E18" s="65">
        <f>objecturenhf15_1</f>
        <v>0</v>
      </c>
      <c r="F18" s="65">
        <f>objecturen15_1</f>
        <v>0</v>
      </c>
      <c r="G18" s="56">
        <f>objectprijs15_1</f>
        <v>0</v>
      </c>
      <c r="H18" s="56">
        <f>G18/12</f>
        <v>0</v>
      </c>
    </row>
    <row r="19" spans="1:8" x14ac:dyDescent="0.2">
      <c r="A19" s="52" t="s">
        <v>757</v>
      </c>
      <c r="B19" s="52" t="s">
        <v>1241</v>
      </c>
      <c r="C19" s="52" t="s">
        <v>1242</v>
      </c>
      <c r="D19" s="52" t="s">
        <v>1213</v>
      </c>
      <c r="E19" s="65">
        <f>objecturenhf16_1</f>
        <v>0</v>
      </c>
      <c r="F19" s="65">
        <f>objecturen16_1</f>
        <v>0</v>
      </c>
      <c r="G19" s="56">
        <f>objectprijs16_1</f>
        <v>0</v>
      </c>
      <c r="H19" s="56">
        <f>G19/12</f>
        <v>0</v>
      </c>
    </row>
    <row r="20" spans="1:8" x14ac:dyDescent="0.2">
      <c r="A20" s="52" t="s">
        <v>829</v>
      </c>
      <c r="B20" s="52" t="s">
        <v>1243</v>
      </c>
      <c r="C20" s="52" t="s">
        <v>1244</v>
      </c>
      <c r="D20" s="52" t="s">
        <v>1213</v>
      </c>
      <c r="E20" s="65">
        <f>objecturenhf17_1</f>
        <v>0</v>
      </c>
      <c r="F20" s="65">
        <f>objecturen17_1</f>
        <v>0</v>
      </c>
      <c r="G20" s="56">
        <f>objectprijs17_1</f>
        <v>0</v>
      </c>
      <c r="H20" s="56">
        <f>G20/12</f>
        <v>0</v>
      </c>
    </row>
    <row r="21" spans="1:8" x14ac:dyDescent="0.2">
      <c r="A21" s="52" t="s">
        <v>835</v>
      </c>
      <c r="B21" s="52" t="s">
        <v>1245</v>
      </c>
      <c r="C21" s="52" t="s">
        <v>1246</v>
      </c>
      <c r="D21" s="52" t="s">
        <v>1213</v>
      </c>
      <c r="E21" s="65">
        <f>objecturenhf18_1</f>
        <v>0</v>
      </c>
      <c r="F21" s="65">
        <f>objecturen18_1</f>
        <v>0</v>
      </c>
      <c r="G21" s="56">
        <f>objectprijs18_1</f>
        <v>0</v>
      </c>
      <c r="H21" s="56">
        <f>G21/12</f>
        <v>0</v>
      </c>
    </row>
    <row r="22" spans="1:8" x14ac:dyDescent="0.2">
      <c r="A22" s="52" t="s">
        <v>845</v>
      </c>
      <c r="B22" s="52" t="s">
        <v>1247</v>
      </c>
      <c r="C22" s="52" t="s">
        <v>1248</v>
      </c>
      <c r="D22" s="52" t="s">
        <v>1213</v>
      </c>
      <c r="E22" s="65">
        <f>objecturenhf19_1</f>
        <v>0</v>
      </c>
      <c r="F22" s="65">
        <f>objecturen19_1</f>
        <v>0</v>
      </c>
      <c r="G22" s="56">
        <f>objectprijs19_1</f>
        <v>0</v>
      </c>
      <c r="H22" s="56">
        <f>G22/12</f>
        <v>0</v>
      </c>
    </row>
    <row r="23" spans="1:8" x14ac:dyDescent="0.2">
      <c r="A23" s="52" t="s">
        <v>847</v>
      </c>
      <c r="B23" s="52" t="s">
        <v>1249</v>
      </c>
      <c r="C23" s="52" t="s">
        <v>1250</v>
      </c>
      <c r="D23" s="52" t="s">
        <v>1213</v>
      </c>
      <c r="E23" s="65">
        <f>objecturenhf20_1</f>
        <v>0</v>
      </c>
      <c r="F23" s="65">
        <f>objecturen20_1</f>
        <v>0</v>
      </c>
      <c r="G23" s="56">
        <f>objectprijs20_1</f>
        <v>0</v>
      </c>
      <c r="H23" s="56">
        <f>G23/12</f>
        <v>0</v>
      </c>
    </row>
    <row r="24" spans="1:8" x14ac:dyDescent="0.2">
      <c r="A24" s="52" t="s">
        <v>854</v>
      </c>
      <c r="B24" s="52" t="s">
        <v>1251</v>
      </c>
      <c r="C24" s="52" t="s">
        <v>1252</v>
      </c>
      <c r="D24" s="52" t="s">
        <v>1253</v>
      </c>
      <c r="E24" s="65">
        <f>objecturenhf21_1</f>
        <v>0</v>
      </c>
      <c r="F24" s="65">
        <f>objecturen21_1</f>
        <v>0</v>
      </c>
      <c r="G24" s="56">
        <f>objectprijs21_1</f>
        <v>0</v>
      </c>
      <c r="H24" s="56">
        <f>G24/12</f>
        <v>0</v>
      </c>
    </row>
    <row r="25" spans="1:8" x14ac:dyDescent="0.2">
      <c r="A25" s="52" t="s">
        <v>856</v>
      </c>
      <c r="B25" s="52" t="s">
        <v>1254</v>
      </c>
      <c r="C25" s="52" t="s">
        <v>1255</v>
      </c>
      <c r="D25" s="52" t="s">
        <v>1213</v>
      </c>
      <c r="E25" s="65">
        <f>objecturenhf22_1</f>
        <v>0</v>
      </c>
      <c r="F25" s="65">
        <f>objecturen22_1</f>
        <v>0</v>
      </c>
      <c r="G25" s="56">
        <f>objectprijs22_1</f>
        <v>0</v>
      </c>
      <c r="H25" s="56">
        <f>G25/12</f>
        <v>0</v>
      </c>
    </row>
    <row r="26" spans="1:8" x14ac:dyDescent="0.2">
      <c r="A26" s="52" t="s">
        <v>867</v>
      </c>
      <c r="B26" s="52" t="s">
        <v>1256</v>
      </c>
      <c r="C26" s="52" t="s">
        <v>1257</v>
      </c>
      <c r="D26" s="52" t="s">
        <v>1213</v>
      </c>
      <c r="E26" s="65">
        <f>objecturenhf23_1</f>
        <v>0</v>
      </c>
      <c r="F26" s="65">
        <f>objecturen23_1</f>
        <v>0</v>
      </c>
      <c r="G26" s="56">
        <f>objectprijs23_1</f>
        <v>0</v>
      </c>
      <c r="H26" s="56">
        <f>G26/12</f>
        <v>0</v>
      </c>
    </row>
    <row r="27" spans="1:8" x14ac:dyDescent="0.2">
      <c r="A27" s="52" t="s">
        <v>891</v>
      </c>
      <c r="B27" s="52" t="s">
        <v>1258</v>
      </c>
      <c r="C27" s="52" t="s">
        <v>1259</v>
      </c>
      <c r="D27" s="52" t="s">
        <v>1213</v>
      </c>
      <c r="E27" s="65">
        <f>objecturenhf24_1</f>
        <v>0</v>
      </c>
      <c r="F27" s="65">
        <f>objecturen24_1</f>
        <v>0</v>
      </c>
      <c r="G27" s="56">
        <f>objectprijs24_1</f>
        <v>0</v>
      </c>
      <c r="H27" s="56">
        <f>G27/12</f>
        <v>0</v>
      </c>
    </row>
    <row r="28" spans="1:8" ht="25.2" x14ac:dyDescent="0.2">
      <c r="A28" s="52" t="s">
        <v>912</v>
      </c>
      <c r="B28" s="52" t="s">
        <v>1260</v>
      </c>
      <c r="C28" s="116" t="s">
        <v>1261</v>
      </c>
      <c r="D28" s="52" t="s">
        <v>1213</v>
      </c>
      <c r="E28" s="65">
        <f>objecturenhf25_1</f>
        <v>0</v>
      </c>
      <c r="F28" s="65">
        <f>objecturen25_1</f>
        <v>0</v>
      </c>
      <c r="G28" s="56">
        <f>objectprijs25_1</f>
        <v>0</v>
      </c>
      <c r="H28" s="56">
        <f>G28/12</f>
        <v>0</v>
      </c>
    </row>
    <row r="29" spans="1:8" x14ac:dyDescent="0.2">
      <c r="A29" s="52" t="s">
        <v>925</v>
      </c>
      <c r="B29" s="52" t="s">
        <v>1262</v>
      </c>
      <c r="C29" s="52" t="s">
        <v>1263</v>
      </c>
      <c r="D29" s="52" t="s">
        <v>1213</v>
      </c>
      <c r="E29" s="65">
        <f>objecturenhf26_1</f>
        <v>0</v>
      </c>
      <c r="F29" s="65">
        <f>objecturen26_1</f>
        <v>0</v>
      </c>
      <c r="G29" s="56">
        <f>objectprijs26_1</f>
        <v>0</v>
      </c>
      <c r="H29" s="56">
        <f>G29/12</f>
        <v>0</v>
      </c>
    </row>
    <row r="30" spans="1:8" x14ac:dyDescent="0.2">
      <c r="A30" s="52" t="s">
        <v>931</v>
      </c>
      <c r="B30" s="52" t="s">
        <v>1264</v>
      </c>
      <c r="C30" s="52" t="s">
        <v>1265</v>
      </c>
      <c r="D30" s="52" t="s">
        <v>1213</v>
      </c>
      <c r="E30" s="65">
        <f>objecturenhf27_1</f>
        <v>0</v>
      </c>
      <c r="F30" s="65">
        <f>objecturen27_1</f>
        <v>0</v>
      </c>
      <c r="G30" s="56">
        <f>objectprijs27_1</f>
        <v>0</v>
      </c>
      <c r="H30" s="56">
        <f>G30/12</f>
        <v>0</v>
      </c>
    </row>
    <row r="31" spans="1:8" x14ac:dyDescent="0.2">
      <c r="A31" s="52" t="s">
        <v>936</v>
      </c>
      <c r="B31" s="52" t="s">
        <v>1266</v>
      </c>
      <c r="C31" s="52" t="s">
        <v>1267</v>
      </c>
      <c r="D31" s="52" t="s">
        <v>1213</v>
      </c>
      <c r="E31" s="65">
        <f>objecturenhf28_1</f>
        <v>0</v>
      </c>
      <c r="F31" s="65">
        <f>objecturen28_1</f>
        <v>0</v>
      </c>
      <c r="G31" s="56">
        <f>objectprijs28_1</f>
        <v>0</v>
      </c>
      <c r="H31" s="56">
        <f>G31/12</f>
        <v>0</v>
      </c>
    </row>
    <row r="32" spans="1:8" x14ac:dyDescent="0.2">
      <c r="A32" s="52" t="s">
        <v>940</v>
      </c>
      <c r="B32" s="52" t="s">
        <v>1268</v>
      </c>
      <c r="C32" s="52" t="s">
        <v>1269</v>
      </c>
      <c r="D32" s="52" t="s">
        <v>1213</v>
      </c>
      <c r="E32" s="65">
        <f>objecturenhf29_1</f>
        <v>0</v>
      </c>
      <c r="F32" s="65">
        <f>objecturen29_1</f>
        <v>0</v>
      </c>
      <c r="G32" s="56">
        <f>objectprijs29_1</f>
        <v>0</v>
      </c>
      <c r="H32" s="56">
        <f>G32/12</f>
        <v>0</v>
      </c>
    </row>
    <row r="33" spans="1:8" x14ac:dyDescent="0.2">
      <c r="A33" s="52" t="s">
        <v>946</v>
      </c>
      <c r="B33" s="52" t="s">
        <v>1270</v>
      </c>
      <c r="C33" s="52" t="s">
        <v>1271</v>
      </c>
      <c r="D33" s="52" t="s">
        <v>1213</v>
      </c>
      <c r="E33" s="65">
        <f>objecturenhf30_1+objecturenhf30_3</f>
        <v>0</v>
      </c>
      <c r="F33" s="65">
        <f>objecturen30_1+objecturen30_3</f>
        <v>0</v>
      </c>
      <c r="G33" s="56">
        <f>objectprijs30_1+objectprijs30_3</f>
        <v>0</v>
      </c>
      <c r="H33" s="56">
        <f>G33/12</f>
        <v>0</v>
      </c>
    </row>
    <row r="34" spans="1:8" x14ac:dyDescent="0.2">
      <c r="A34" s="52" t="s">
        <v>1146</v>
      </c>
      <c r="B34" s="52" t="s">
        <v>1272</v>
      </c>
      <c r="C34" s="52" t="s">
        <v>1273</v>
      </c>
      <c r="D34" s="52" t="s">
        <v>1213</v>
      </c>
      <c r="E34" s="65">
        <f>objecturenhf31_1</f>
        <v>0</v>
      </c>
      <c r="F34" s="65">
        <f>objecturen31_1</f>
        <v>0</v>
      </c>
      <c r="G34" s="56">
        <f>objectprijs31_1</f>
        <v>0</v>
      </c>
      <c r="H34" s="56">
        <f>G34/12</f>
        <v>0</v>
      </c>
    </row>
    <row r="35" spans="1:8" x14ac:dyDescent="0.2">
      <c r="A35" s="57" t="s">
        <v>1150</v>
      </c>
      <c r="B35" s="57" t="s">
        <v>1274</v>
      </c>
      <c r="C35" s="57" t="s">
        <v>1275</v>
      </c>
      <c r="D35" s="57" t="s">
        <v>1213</v>
      </c>
      <c r="E35" s="69">
        <f>objecturenhf32_1</f>
        <v>0</v>
      </c>
      <c r="F35" s="69">
        <f>objecturen32_1</f>
        <v>0</v>
      </c>
      <c r="G35" s="61">
        <f>objectprijs32_1</f>
        <v>0</v>
      </c>
      <c r="H35" s="61">
        <f>G35/12</f>
        <v>0</v>
      </c>
    </row>
    <row r="37" spans="1:8" x14ac:dyDescent="0.2">
      <c r="A37" s="72" t="s">
        <v>1278</v>
      </c>
      <c r="B37" s="73"/>
      <c r="C37" s="73"/>
      <c r="D37" s="73"/>
      <c r="E37" s="74">
        <f>SUM(E4:E35)</f>
        <v>0</v>
      </c>
      <c r="F37" s="74">
        <f>SUM(F4:F35)</f>
        <v>765</v>
      </c>
      <c r="G37" s="75">
        <f>SUM(G4:G35)</f>
        <v>0</v>
      </c>
      <c r="H37" s="75">
        <f>SUM(H4:H35)</f>
        <v>0</v>
      </c>
    </row>
  </sheetData>
  <sheetProtection algorithmName="SHA-512" hashValue="RTUc4sRZ5o1gTbl9zJDmtYPwQzNKlNzYnkD58iyAXVkWKtUOj0xOvQC3JK7CFlW2Jx+Eepv2nijOkd+ESGp5vA==" saltValue="iyqK5jiTd/GWiKfCThKR5g==" spinCount="100000" sheet="1" objects="1" scenarios="1" autoFilter="0"/>
  <pageMargins left="0.7" right="0.7" top="0.75" bottom="0.75" header="0.3" footer="0.3"/>
  <pageSetup scale="65" orientation="landscape" r:id="rId1"/>
  <headerFooter>
    <oddFooter>&amp;LSRO Amersfoort, Huizen, Haarlem en Velsen EA 2024           &amp;ROpmaakdatum: 07-11-2024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1261</vt:i4>
      </vt:variant>
    </vt:vector>
  </HeadingPairs>
  <TitlesOfParts>
    <vt:vector size="1277" baseType="lpstr">
      <vt:lpstr>Omreken</vt:lpstr>
      <vt:lpstr>Tariefopbouw</vt:lpstr>
      <vt:lpstr>Categorienormen</vt:lpstr>
      <vt:lpstr>Regulier werk</vt:lpstr>
      <vt:lpstr>Ruimten werkdag</vt:lpstr>
      <vt:lpstr>Ruimten weekenddag</vt:lpstr>
      <vt:lpstr>Objectinformatie</vt:lpstr>
      <vt:lpstr>Objecten</vt:lpstr>
      <vt:lpstr>Totaalblad Objecten</vt:lpstr>
      <vt:lpstr>Additioneel werk</vt:lpstr>
      <vt:lpstr>Additioneel werk per locatie</vt:lpstr>
      <vt:lpstr>Afroep</vt:lpstr>
      <vt:lpstr>Afroep incidenteel</vt:lpstr>
      <vt:lpstr>Glas</vt:lpstr>
      <vt:lpstr>Glas per locatie</vt:lpstr>
      <vt:lpstr>Totaal</vt:lpstr>
      <vt:lpstr>'Additioneel werk'!Afdruktitels</vt:lpstr>
      <vt:lpstr>'Additioneel werk per locatie'!Afdruktitels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'Regulier werk'!Afdruktitels</vt:lpstr>
      <vt:lpstr>'Ruimten weekenddag'!Afdruktitels</vt:lpstr>
      <vt:lpstr>'Ruimten werkdag'!Afdruktitels</vt:lpstr>
      <vt:lpstr>Tariefopbouw!Afdruktitels</vt:lpstr>
      <vt:lpstr>Totaal!Afdruktitels</vt:lpstr>
      <vt:lpstr>'Totaalblad Objecten'!Afdruktitels</vt:lpstr>
      <vt:lpstr>catdw_1_AHB_1</vt:lpstr>
      <vt:lpstr>catdw_1_AHV_12</vt:lpstr>
      <vt:lpstr>catdw_1_AHV_40</vt:lpstr>
      <vt:lpstr>catdw_1_AHV_51</vt:lpstr>
      <vt:lpstr>catdw_1_AZB_1</vt:lpstr>
      <vt:lpstr>catdw_1_AZV_51</vt:lpstr>
      <vt:lpstr>catdw_1_BHB_1</vt:lpstr>
      <vt:lpstr>catdw_1_BHV_12</vt:lpstr>
      <vt:lpstr>catdw_1_BHV_40</vt:lpstr>
      <vt:lpstr>catdw_1_BHV_51</vt:lpstr>
      <vt:lpstr>catdw_1_BZB_1</vt:lpstr>
      <vt:lpstr>catdw_1_BZV_40</vt:lpstr>
      <vt:lpstr>catdw_1_BZV_51</vt:lpstr>
      <vt:lpstr>catdw_1_DHB_1</vt:lpstr>
      <vt:lpstr>catdw_1_DHV_40</vt:lpstr>
      <vt:lpstr>catdw_1_DHV_51</vt:lpstr>
      <vt:lpstr>catdw_1_EHB_1</vt:lpstr>
      <vt:lpstr>catdw_1_EHV_40</vt:lpstr>
      <vt:lpstr>catdw_1_EHV_51</vt:lpstr>
      <vt:lpstr>catdw_1_EZB_1</vt:lpstr>
      <vt:lpstr>catdw_1_EZV_40</vt:lpstr>
      <vt:lpstr>catdw_1_EZV_51</vt:lpstr>
      <vt:lpstr>catdw_1_FHB_1</vt:lpstr>
      <vt:lpstr>catdw_1_FHV_51</vt:lpstr>
      <vt:lpstr>catdw_1_GHB_1</vt:lpstr>
      <vt:lpstr>catdw_1_GHV_40</vt:lpstr>
      <vt:lpstr>catdw_1_GHV_46</vt:lpstr>
      <vt:lpstr>catdw_1_KLHB_1</vt:lpstr>
      <vt:lpstr>catdw_1_KLHV_40</vt:lpstr>
      <vt:lpstr>catdw_1_KLHV_51</vt:lpstr>
      <vt:lpstr>catdw_1_LHB_1</vt:lpstr>
      <vt:lpstr>catdw_1_LHV_40</vt:lpstr>
      <vt:lpstr>catdw_1_LHV_51</vt:lpstr>
      <vt:lpstr>catdw_1_LKHB_1</vt:lpstr>
      <vt:lpstr>catdw_1_LKHV_40</vt:lpstr>
      <vt:lpstr>catdw_1_OZB_1</vt:lpstr>
      <vt:lpstr>catdw_1_OZV_51</vt:lpstr>
      <vt:lpstr>catdw_1_PHB_1</vt:lpstr>
      <vt:lpstr>catdw_1_PHV_40</vt:lpstr>
      <vt:lpstr>catdw_1_PHV_51</vt:lpstr>
      <vt:lpstr>catdw_1_PMHB_1</vt:lpstr>
      <vt:lpstr>catdw_1_PMHV_40</vt:lpstr>
      <vt:lpstr>catdw_1_PUHB_1</vt:lpstr>
      <vt:lpstr>catdw_1_PUHV_51</vt:lpstr>
      <vt:lpstr>catdw_1_RHB_1</vt:lpstr>
      <vt:lpstr>catdw_1_RHV_40</vt:lpstr>
      <vt:lpstr>catdw_1_RHV_45</vt:lpstr>
      <vt:lpstr>catdw_1_RHV_51</vt:lpstr>
      <vt:lpstr>catdw_1_RZB_1</vt:lpstr>
      <vt:lpstr>catdw_1_RZH_40</vt:lpstr>
      <vt:lpstr>catdw_1_SHB_1</vt:lpstr>
      <vt:lpstr>catdw_1_SHV_40</vt:lpstr>
      <vt:lpstr>catdw_1_SHV_46</vt:lpstr>
      <vt:lpstr>catdw_1_SHV_51</vt:lpstr>
      <vt:lpstr>catdw_1_THB_1</vt:lpstr>
      <vt:lpstr>catdw_1_THV_12</vt:lpstr>
      <vt:lpstr>catdw_1_THV_40</vt:lpstr>
      <vt:lpstr>catdw_1_THV_51</vt:lpstr>
      <vt:lpstr>catdw_1_TZB_1</vt:lpstr>
      <vt:lpstr>catdw_1_TZV_51</vt:lpstr>
      <vt:lpstr>catdw_1_VHB_1</vt:lpstr>
      <vt:lpstr>catdw_1_VHV_40</vt:lpstr>
      <vt:lpstr>catdw_1_VHV_51</vt:lpstr>
      <vt:lpstr>catdw_1_VHV_6</vt:lpstr>
      <vt:lpstr>catdw_1_VZB_1</vt:lpstr>
      <vt:lpstr>catdw_1_VZV_51</vt:lpstr>
      <vt:lpstr>catdw_1_ZBHB_1</vt:lpstr>
      <vt:lpstr>catdw_1_ZBHB_51</vt:lpstr>
      <vt:lpstr>catdw_1_ZDHB_1</vt:lpstr>
      <vt:lpstr>catdw_1_ZDHV_51</vt:lpstr>
      <vt:lpstr>catdw_1_ZEHB_1</vt:lpstr>
      <vt:lpstr>catdw_1_ZEHV_51</vt:lpstr>
      <vt:lpstr>catdw_1_ZHB_1</vt:lpstr>
      <vt:lpstr>catdw_1_ZHV_51</vt:lpstr>
      <vt:lpstr>catdw_1_ZKLHB_1</vt:lpstr>
      <vt:lpstr>catdw_1_ZKLHV_51</vt:lpstr>
      <vt:lpstr>catdw_1_ZPHB_1</vt:lpstr>
      <vt:lpstr>catdw_1_ZPHV_51</vt:lpstr>
      <vt:lpstr>catdw_1_ZSAHB_1</vt:lpstr>
      <vt:lpstr>catdw_1_ZSAHV_51</vt:lpstr>
      <vt:lpstr>catdw_1_ZSHB_1</vt:lpstr>
      <vt:lpstr>catdw_1_ZSHV_51</vt:lpstr>
      <vt:lpstr>catdw_1_ZVHB_1</vt:lpstr>
      <vt:lpstr>catdw_1_ZVHV_51</vt:lpstr>
      <vt:lpstr>catdw_3_WDHB_1</vt:lpstr>
      <vt:lpstr>catdw_3_WEHB_1</vt:lpstr>
      <vt:lpstr>catdw_3_WSHB_1</vt:lpstr>
      <vt:lpstr>catdw_3_WTHB_1</vt:lpstr>
      <vt:lpstr>catdw_3_WVZB_1</vt:lpstr>
      <vt:lpstr>catdw_3_WZEHB_1</vt:lpstr>
      <vt:lpstr>catdw_3_WZKHB_1</vt:lpstr>
      <vt:lpstr>catdw_3_WZSHB_1</vt:lpstr>
      <vt:lpstr>catdw_3_WZVHB_1</vt:lpstr>
      <vt:lpstr>catfd_1_AHB_1</vt:lpstr>
      <vt:lpstr>catfd_1_AHV_12</vt:lpstr>
      <vt:lpstr>catfd_1_AHV_40</vt:lpstr>
      <vt:lpstr>catfd_1_AHV_51</vt:lpstr>
      <vt:lpstr>catfd_1_AZB_1</vt:lpstr>
      <vt:lpstr>catfd_1_AZV_51</vt:lpstr>
      <vt:lpstr>catfd_1_BHB_1</vt:lpstr>
      <vt:lpstr>catfd_1_BHV_12</vt:lpstr>
      <vt:lpstr>catfd_1_BHV_40</vt:lpstr>
      <vt:lpstr>catfd_1_BHV_51</vt:lpstr>
      <vt:lpstr>catfd_1_BZB_1</vt:lpstr>
      <vt:lpstr>catfd_1_BZV_40</vt:lpstr>
      <vt:lpstr>catfd_1_BZV_51</vt:lpstr>
      <vt:lpstr>catfd_1_DHB_1</vt:lpstr>
      <vt:lpstr>catfd_1_DHV_40</vt:lpstr>
      <vt:lpstr>catfd_1_DHV_51</vt:lpstr>
      <vt:lpstr>catfd_1_EHB_1</vt:lpstr>
      <vt:lpstr>catfd_1_EHV_40</vt:lpstr>
      <vt:lpstr>catfd_1_EHV_51</vt:lpstr>
      <vt:lpstr>catfd_1_EZB_1</vt:lpstr>
      <vt:lpstr>catfd_1_EZV_40</vt:lpstr>
      <vt:lpstr>catfd_1_EZV_51</vt:lpstr>
      <vt:lpstr>catfd_1_FHB_1</vt:lpstr>
      <vt:lpstr>catfd_1_FHV_51</vt:lpstr>
      <vt:lpstr>catfd_1_GHB_1</vt:lpstr>
      <vt:lpstr>catfd_1_GHV_40</vt:lpstr>
      <vt:lpstr>catfd_1_GHV_46</vt:lpstr>
      <vt:lpstr>catfd_1_KLHB_1</vt:lpstr>
      <vt:lpstr>catfd_1_KLHV_40</vt:lpstr>
      <vt:lpstr>catfd_1_KLHV_51</vt:lpstr>
      <vt:lpstr>catfd_1_LHB_1</vt:lpstr>
      <vt:lpstr>catfd_1_LHV_40</vt:lpstr>
      <vt:lpstr>catfd_1_LHV_51</vt:lpstr>
      <vt:lpstr>catfd_1_LKHB_1</vt:lpstr>
      <vt:lpstr>catfd_1_LKHV_40</vt:lpstr>
      <vt:lpstr>catfd_1_OZB_1</vt:lpstr>
      <vt:lpstr>catfd_1_OZV_51</vt:lpstr>
      <vt:lpstr>catfd_1_PHB_1</vt:lpstr>
      <vt:lpstr>catfd_1_PHV_40</vt:lpstr>
      <vt:lpstr>catfd_1_PHV_51</vt:lpstr>
      <vt:lpstr>catfd_1_PMHB_1</vt:lpstr>
      <vt:lpstr>catfd_1_PMHV_40</vt:lpstr>
      <vt:lpstr>catfd_1_PUHB_1</vt:lpstr>
      <vt:lpstr>catfd_1_PUHV_51</vt:lpstr>
      <vt:lpstr>catfd_1_RHB_1</vt:lpstr>
      <vt:lpstr>catfd_1_RHV_40</vt:lpstr>
      <vt:lpstr>catfd_1_RHV_45</vt:lpstr>
      <vt:lpstr>catfd_1_RHV_51</vt:lpstr>
      <vt:lpstr>catfd_1_RZB_1</vt:lpstr>
      <vt:lpstr>catfd_1_RZH_40</vt:lpstr>
      <vt:lpstr>catfd_1_SHB_1</vt:lpstr>
      <vt:lpstr>catfd_1_SHV_40</vt:lpstr>
      <vt:lpstr>catfd_1_SHV_46</vt:lpstr>
      <vt:lpstr>catfd_1_SHV_51</vt:lpstr>
      <vt:lpstr>catfd_1_THB_1</vt:lpstr>
      <vt:lpstr>catfd_1_THV_12</vt:lpstr>
      <vt:lpstr>catfd_1_THV_40</vt:lpstr>
      <vt:lpstr>catfd_1_THV_51</vt:lpstr>
      <vt:lpstr>catfd_1_TZB_1</vt:lpstr>
      <vt:lpstr>catfd_1_TZV_51</vt:lpstr>
      <vt:lpstr>catfd_1_VHB_1</vt:lpstr>
      <vt:lpstr>catfd_1_VHV_40</vt:lpstr>
      <vt:lpstr>catfd_1_VHV_51</vt:lpstr>
      <vt:lpstr>catfd_1_VHV_6</vt:lpstr>
      <vt:lpstr>catfd_1_VZB_1</vt:lpstr>
      <vt:lpstr>catfd_1_VZV_51</vt:lpstr>
      <vt:lpstr>catfd_1_ZBHB_1</vt:lpstr>
      <vt:lpstr>catfd_1_ZBHB_51</vt:lpstr>
      <vt:lpstr>catfd_1_ZDHB_1</vt:lpstr>
      <vt:lpstr>catfd_1_ZDHV_51</vt:lpstr>
      <vt:lpstr>catfd_1_ZEHB_1</vt:lpstr>
      <vt:lpstr>catfd_1_ZEHV_51</vt:lpstr>
      <vt:lpstr>catfd_1_ZHB_1</vt:lpstr>
      <vt:lpstr>catfd_1_ZHV_51</vt:lpstr>
      <vt:lpstr>catfd_1_ZKLHB_1</vt:lpstr>
      <vt:lpstr>catfd_1_ZKLHV_51</vt:lpstr>
      <vt:lpstr>catfd_1_ZPHB_1</vt:lpstr>
      <vt:lpstr>catfd_1_ZPHV_51</vt:lpstr>
      <vt:lpstr>catfd_1_ZSAHB_1</vt:lpstr>
      <vt:lpstr>catfd_1_ZSAHV_51</vt:lpstr>
      <vt:lpstr>catfd_1_ZSHB_1</vt:lpstr>
      <vt:lpstr>catfd_1_ZSHV_51</vt:lpstr>
      <vt:lpstr>catfd_1_ZVHB_1</vt:lpstr>
      <vt:lpstr>catfd_1_ZVHV_51</vt:lpstr>
      <vt:lpstr>catfd_3_WDHB_1</vt:lpstr>
      <vt:lpstr>catfd_3_WEHB_1</vt:lpstr>
      <vt:lpstr>catfd_3_WSHB_1</vt:lpstr>
      <vt:lpstr>catfd_3_WTHB_1</vt:lpstr>
      <vt:lpstr>catfd_3_WVZB_1</vt:lpstr>
      <vt:lpstr>catfd_3_WZEHB_1</vt:lpstr>
      <vt:lpstr>catfd_3_WZKHB_1</vt:lpstr>
      <vt:lpstr>catfd_3_WZSHB_1</vt:lpstr>
      <vt:lpstr>catfd_3_WZVHB_1</vt:lpstr>
      <vt:lpstr>catpn_1_AHB_1</vt:lpstr>
      <vt:lpstr>catpn_1_AHV_12</vt:lpstr>
      <vt:lpstr>catpn_1_AHV_40</vt:lpstr>
      <vt:lpstr>catpn_1_AHV_51</vt:lpstr>
      <vt:lpstr>catpn_1_AZB_1</vt:lpstr>
      <vt:lpstr>catpn_1_AZV_51</vt:lpstr>
      <vt:lpstr>catpn_1_BHB_1</vt:lpstr>
      <vt:lpstr>catpn_1_BHV_12</vt:lpstr>
      <vt:lpstr>catpn_1_BHV_40</vt:lpstr>
      <vt:lpstr>catpn_1_BHV_51</vt:lpstr>
      <vt:lpstr>catpn_1_BZB_1</vt:lpstr>
      <vt:lpstr>catpn_1_BZV_40</vt:lpstr>
      <vt:lpstr>catpn_1_BZV_51</vt:lpstr>
      <vt:lpstr>catpn_1_DHB_1</vt:lpstr>
      <vt:lpstr>catpn_1_DHV_40</vt:lpstr>
      <vt:lpstr>catpn_1_DHV_51</vt:lpstr>
      <vt:lpstr>catpn_1_EHB_1</vt:lpstr>
      <vt:lpstr>catpn_1_EHV_40</vt:lpstr>
      <vt:lpstr>catpn_1_EHV_51</vt:lpstr>
      <vt:lpstr>catpn_1_EZB_1</vt:lpstr>
      <vt:lpstr>catpn_1_EZV_40</vt:lpstr>
      <vt:lpstr>catpn_1_EZV_51</vt:lpstr>
      <vt:lpstr>catpn_1_FHB_1</vt:lpstr>
      <vt:lpstr>catpn_1_FHV_51</vt:lpstr>
      <vt:lpstr>catpn_1_GHB_1</vt:lpstr>
      <vt:lpstr>catpn_1_GHV_40</vt:lpstr>
      <vt:lpstr>catpn_1_GHV_46</vt:lpstr>
      <vt:lpstr>catpn_1_KLHB_1</vt:lpstr>
      <vt:lpstr>catpn_1_KLHV_40</vt:lpstr>
      <vt:lpstr>catpn_1_KLHV_51</vt:lpstr>
      <vt:lpstr>catpn_1_LHB_1</vt:lpstr>
      <vt:lpstr>catpn_1_LHV_40</vt:lpstr>
      <vt:lpstr>catpn_1_LHV_51</vt:lpstr>
      <vt:lpstr>catpn_1_LKHB_1</vt:lpstr>
      <vt:lpstr>catpn_1_LKHV_40</vt:lpstr>
      <vt:lpstr>catpn_1_OZB_1</vt:lpstr>
      <vt:lpstr>catpn_1_OZV_51</vt:lpstr>
      <vt:lpstr>catpn_1_PHB_1</vt:lpstr>
      <vt:lpstr>catpn_1_PHV_40</vt:lpstr>
      <vt:lpstr>catpn_1_PHV_51</vt:lpstr>
      <vt:lpstr>catpn_1_PMHB_1</vt:lpstr>
      <vt:lpstr>catpn_1_PMHV_40</vt:lpstr>
      <vt:lpstr>catpn_1_PUHB_1</vt:lpstr>
      <vt:lpstr>catpn_1_PUHV_51</vt:lpstr>
      <vt:lpstr>catpn_1_RHB_1</vt:lpstr>
      <vt:lpstr>catpn_1_RHV_40</vt:lpstr>
      <vt:lpstr>catpn_1_RHV_45</vt:lpstr>
      <vt:lpstr>catpn_1_RHV_51</vt:lpstr>
      <vt:lpstr>catpn_1_RZB_1</vt:lpstr>
      <vt:lpstr>catpn_1_RZH_40</vt:lpstr>
      <vt:lpstr>catpn_1_SHB_1</vt:lpstr>
      <vt:lpstr>catpn_1_SHV_40</vt:lpstr>
      <vt:lpstr>catpn_1_SHV_46</vt:lpstr>
      <vt:lpstr>catpn_1_SHV_51</vt:lpstr>
      <vt:lpstr>catpn_1_THB_1</vt:lpstr>
      <vt:lpstr>catpn_1_THV_12</vt:lpstr>
      <vt:lpstr>catpn_1_THV_40</vt:lpstr>
      <vt:lpstr>catpn_1_THV_51</vt:lpstr>
      <vt:lpstr>catpn_1_TZB_1</vt:lpstr>
      <vt:lpstr>catpn_1_TZV_51</vt:lpstr>
      <vt:lpstr>catpn_1_VHB_1</vt:lpstr>
      <vt:lpstr>catpn_1_VHV_40</vt:lpstr>
      <vt:lpstr>catpn_1_VHV_51</vt:lpstr>
      <vt:lpstr>catpn_1_VHV_6</vt:lpstr>
      <vt:lpstr>catpn_1_VZB_1</vt:lpstr>
      <vt:lpstr>catpn_1_VZV_51</vt:lpstr>
      <vt:lpstr>catpn_1_ZBHB_1</vt:lpstr>
      <vt:lpstr>catpn_1_ZBHB_51</vt:lpstr>
      <vt:lpstr>catpn_1_ZDHB_1</vt:lpstr>
      <vt:lpstr>catpn_1_ZDHV_51</vt:lpstr>
      <vt:lpstr>catpn_1_ZEHB_1</vt:lpstr>
      <vt:lpstr>catpn_1_ZEHV_51</vt:lpstr>
      <vt:lpstr>catpn_1_ZHB_1</vt:lpstr>
      <vt:lpstr>catpn_1_ZHV_51</vt:lpstr>
      <vt:lpstr>catpn_1_ZKLHB_1</vt:lpstr>
      <vt:lpstr>catpn_1_ZKLHV_51</vt:lpstr>
      <vt:lpstr>catpn_1_ZPHB_1</vt:lpstr>
      <vt:lpstr>catpn_1_ZPHV_51</vt:lpstr>
      <vt:lpstr>catpn_1_ZSAHB_1</vt:lpstr>
      <vt:lpstr>catpn_1_ZSAHV_51</vt:lpstr>
      <vt:lpstr>catpn_1_ZSHB_1</vt:lpstr>
      <vt:lpstr>catpn_1_ZSHV_51</vt:lpstr>
      <vt:lpstr>catpn_1_ZVHB_1</vt:lpstr>
      <vt:lpstr>catpn_1_ZVHV_51</vt:lpstr>
      <vt:lpstr>catpn_3_WDHB_1</vt:lpstr>
      <vt:lpstr>catpn_3_WEHB_1</vt:lpstr>
      <vt:lpstr>catpn_3_WSHB_1</vt:lpstr>
      <vt:lpstr>catpn_3_WTHB_1</vt:lpstr>
      <vt:lpstr>catpn_3_WVZB_1</vt:lpstr>
      <vt:lpstr>catpn_3_WZEHB_1</vt:lpstr>
      <vt:lpstr>catpn_3_WZKHB_1</vt:lpstr>
      <vt:lpstr>catpn_3_WZSHB_1</vt:lpstr>
      <vt:lpstr>catpn_3_WZVHB_1</vt:lpstr>
      <vt:lpstr>cattf_1_AHB_1</vt:lpstr>
      <vt:lpstr>cattf_1_AHV_12</vt:lpstr>
      <vt:lpstr>cattf_1_AHV_40</vt:lpstr>
      <vt:lpstr>cattf_1_AHV_51</vt:lpstr>
      <vt:lpstr>cattf_1_AZB_1</vt:lpstr>
      <vt:lpstr>cattf_1_AZV_51</vt:lpstr>
      <vt:lpstr>cattf_1_BHB_1</vt:lpstr>
      <vt:lpstr>cattf_1_BHV_12</vt:lpstr>
      <vt:lpstr>cattf_1_BHV_40</vt:lpstr>
      <vt:lpstr>cattf_1_BHV_51</vt:lpstr>
      <vt:lpstr>cattf_1_BZB_1</vt:lpstr>
      <vt:lpstr>cattf_1_BZV_40</vt:lpstr>
      <vt:lpstr>cattf_1_BZV_51</vt:lpstr>
      <vt:lpstr>cattf_1_DHB_1</vt:lpstr>
      <vt:lpstr>cattf_1_DHV_40</vt:lpstr>
      <vt:lpstr>cattf_1_DHV_51</vt:lpstr>
      <vt:lpstr>cattf_1_EHB_1</vt:lpstr>
      <vt:lpstr>cattf_1_EHV_40</vt:lpstr>
      <vt:lpstr>cattf_1_EHV_51</vt:lpstr>
      <vt:lpstr>cattf_1_EZB_1</vt:lpstr>
      <vt:lpstr>cattf_1_EZV_40</vt:lpstr>
      <vt:lpstr>cattf_1_EZV_51</vt:lpstr>
      <vt:lpstr>cattf_1_FHB_1</vt:lpstr>
      <vt:lpstr>cattf_1_FHV_51</vt:lpstr>
      <vt:lpstr>cattf_1_GHB_1</vt:lpstr>
      <vt:lpstr>cattf_1_GHV_40</vt:lpstr>
      <vt:lpstr>cattf_1_GHV_46</vt:lpstr>
      <vt:lpstr>cattf_1_KLHB_1</vt:lpstr>
      <vt:lpstr>cattf_1_KLHV_40</vt:lpstr>
      <vt:lpstr>cattf_1_KLHV_51</vt:lpstr>
      <vt:lpstr>cattf_1_LHB_1</vt:lpstr>
      <vt:lpstr>cattf_1_LHV_40</vt:lpstr>
      <vt:lpstr>cattf_1_LHV_51</vt:lpstr>
      <vt:lpstr>cattf_1_LKHB_1</vt:lpstr>
      <vt:lpstr>cattf_1_LKHV_40</vt:lpstr>
      <vt:lpstr>cattf_1_OZB_1</vt:lpstr>
      <vt:lpstr>cattf_1_OZV_51</vt:lpstr>
      <vt:lpstr>cattf_1_PHB_1</vt:lpstr>
      <vt:lpstr>cattf_1_PHV_40</vt:lpstr>
      <vt:lpstr>cattf_1_PHV_51</vt:lpstr>
      <vt:lpstr>cattf_1_PMHB_1</vt:lpstr>
      <vt:lpstr>cattf_1_PMHV_40</vt:lpstr>
      <vt:lpstr>cattf_1_PUHB_1</vt:lpstr>
      <vt:lpstr>cattf_1_PUHV_51</vt:lpstr>
      <vt:lpstr>cattf_1_RHB_1</vt:lpstr>
      <vt:lpstr>cattf_1_RHV_40</vt:lpstr>
      <vt:lpstr>cattf_1_RHV_45</vt:lpstr>
      <vt:lpstr>cattf_1_RHV_51</vt:lpstr>
      <vt:lpstr>cattf_1_RZB_1</vt:lpstr>
      <vt:lpstr>cattf_1_RZH_40</vt:lpstr>
      <vt:lpstr>cattf_1_SHB_1</vt:lpstr>
      <vt:lpstr>cattf_1_SHV_40</vt:lpstr>
      <vt:lpstr>cattf_1_SHV_46</vt:lpstr>
      <vt:lpstr>cattf_1_SHV_51</vt:lpstr>
      <vt:lpstr>cattf_1_THB_1</vt:lpstr>
      <vt:lpstr>cattf_1_THV_12</vt:lpstr>
      <vt:lpstr>cattf_1_THV_40</vt:lpstr>
      <vt:lpstr>cattf_1_THV_51</vt:lpstr>
      <vt:lpstr>cattf_1_TZB_1</vt:lpstr>
      <vt:lpstr>cattf_1_TZV_51</vt:lpstr>
      <vt:lpstr>cattf_1_VHB_1</vt:lpstr>
      <vt:lpstr>cattf_1_VHV_40</vt:lpstr>
      <vt:lpstr>cattf_1_VHV_51</vt:lpstr>
      <vt:lpstr>cattf_1_VHV_6</vt:lpstr>
      <vt:lpstr>cattf_1_VZB_1</vt:lpstr>
      <vt:lpstr>cattf_1_VZV_51</vt:lpstr>
      <vt:lpstr>cattf_1_ZBHB_1</vt:lpstr>
      <vt:lpstr>cattf_1_ZBHB_51</vt:lpstr>
      <vt:lpstr>cattf_1_ZDHB_1</vt:lpstr>
      <vt:lpstr>cattf_1_ZDHV_51</vt:lpstr>
      <vt:lpstr>cattf_1_ZEHB_1</vt:lpstr>
      <vt:lpstr>cattf_1_ZEHV_51</vt:lpstr>
      <vt:lpstr>cattf_1_ZHB_1</vt:lpstr>
      <vt:lpstr>cattf_1_ZHV_51</vt:lpstr>
      <vt:lpstr>cattf_1_ZKLHB_1</vt:lpstr>
      <vt:lpstr>cattf_1_ZKLHV_51</vt:lpstr>
      <vt:lpstr>cattf_1_ZPHB_1</vt:lpstr>
      <vt:lpstr>cattf_1_ZPHV_51</vt:lpstr>
      <vt:lpstr>cattf_1_ZSAHB_1</vt:lpstr>
      <vt:lpstr>cattf_1_ZSAHV_51</vt:lpstr>
      <vt:lpstr>cattf_1_ZSHB_1</vt:lpstr>
      <vt:lpstr>cattf_1_ZSHV_51</vt:lpstr>
      <vt:lpstr>cattf_1_ZVHB_1</vt:lpstr>
      <vt:lpstr>cattf_1_ZVHV_51</vt:lpstr>
      <vt:lpstr>cattf_3_WDHB_1</vt:lpstr>
      <vt:lpstr>cattf_3_WEHB_1</vt:lpstr>
      <vt:lpstr>cattf_3_WSHB_1</vt:lpstr>
      <vt:lpstr>cattf_3_WTHB_1</vt:lpstr>
      <vt:lpstr>cattf_3_WVZB_1</vt:lpstr>
      <vt:lpstr>cattf_3_WZEHB_1</vt:lpstr>
      <vt:lpstr>cattf_3_WZKHB_1</vt:lpstr>
      <vt:lpstr>cattf_3_WZSHB_1</vt:lpstr>
      <vt:lpstr>cattf_3_WZVHB_1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dagwerk100</vt:lpstr>
      <vt:lpstr>dagwerk101</vt:lpstr>
      <vt:lpstr>dagwerk102</vt:lpstr>
      <vt:lpstr>dagwerk103</vt:lpstr>
      <vt:lpstr>dagwerk104</vt:lpstr>
      <vt:lpstr>dagwerk105</vt:lpstr>
      <vt:lpstr>dagwerk106</vt:lpstr>
      <vt:lpstr>dagwerk107</vt:lpstr>
      <vt:lpstr>dagwerk108</vt:lpstr>
      <vt:lpstr>dagwerk109</vt:lpstr>
      <vt:lpstr>dagwerk110</vt:lpstr>
      <vt:lpstr>dagwerk111</vt:lpstr>
      <vt:lpstr>dagwerk112</vt:lpstr>
      <vt:lpstr>dagwerk113</vt:lpstr>
      <vt:lpstr>dagwerk114</vt:lpstr>
      <vt:lpstr>dagwerk115</vt:lpstr>
      <vt:lpstr>dagwerk116</vt:lpstr>
      <vt:lpstr>dagwerk117</vt:lpstr>
      <vt:lpstr>dagwerk119</vt:lpstr>
      <vt:lpstr>dagwerk120</vt:lpstr>
      <vt:lpstr>dagwerk121</vt:lpstr>
      <vt:lpstr>dagwerk122</vt:lpstr>
      <vt:lpstr>dagwerk123</vt:lpstr>
      <vt:lpstr>dagwerk124</vt:lpstr>
      <vt:lpstr>dagwerk125</vt:lpstr>
      <vt:lpstr>dagwerk126</vt:lpstr>
      <vt:lpstr>dagwerk127</vt:lpstr>
      <vt:lpstr>dagwerk128</vt:lpstr>
      <vt:lpstr>dagwerk129</vt:lpstr>
      <vt:lpstr>dagwerk130</vt:lpstr>
      <vt:lpstr>dagwerk131</vt:lpstr>
      <vt:lpstr>dagwerk132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dagwerk63</vt:lpstr>
      <vt:lpstr>dagwerk64</vt:lpstr>
      <vt:lpstr>dagwerk65</vt:lpstr>
      <vt:lpstr>dagwerk66</vt:lpstr>
      <vt:lpstr>dagwerk67</vt:lpstr>
      <vt:lpstr>dagwerk68</vt:lpstr>
      <vt:lpstr>dagwerk69</vt:lpstr>
      <vt:lpstr>dagwerk70</vt:lpstr>
      <vt:lpstr>dagwerk71</vt:lpstr>
      <vt:lpstr>dagwerk72</vt:lpstr>
      <vt:lpstr>dagwerk73</vt:lpstr>
      <vt:lpstr>dagwerk74</vt:lpstr>
      <vt:lpstr>dagwerk75</vt:lpstr>
      <vt:lpstr>dagwerk76</vt:lpstr>
      <vt:lpstr>dagwerk77</vt:lpstr>
      <vt:lpstr>dagwerk78</vt:lpstr>
      <vt:lpstr>dagwerk79</vt:lpstr>
      <vt:lpstr>dagwerk80</vt:lpstr>
      <vt:lpstr>dagwerk81</vt:lpstr>
      <vt:lpstr>dagwerk82</vt:lpstr>
      <vt:lpstr>dagwerk83</vt:lpstr>
      <vt:lpstr>dagwerk84</vt:lpstr>
      <vt:lpstr>dagwerk85</vt:lpstr>
      <vt:lpstr>dagwerk86</vt:lpstr>
      <vt:lpstr>dagwerk87</vt:lpstr>
      <vt:lpstr>dagwerk88</vt:lpstr>
      <vt:lpstr>dagwerk89</vt:lpstr>
      <vt:lpstr>dagwerk90</vt:lpstr>
      <vt:lpstr>dagwerk91</vt:lpstr>
      <vt:lpstr>dagwerk92</vt:lpstr>
      <vt:lpstr>dagwerk93</vt:lpstr>
      <vt:lpstr>dagwerk94</vt:lpstr>
      <vt:lpstr>dagwerk95</vt:lpstr>
      <vt:lpstr>dagwerk96</vt:lpstr>
      <vt:lpstr>dagwerk97</vt:lpstr>
      <vt:lpstr>dagwerk98</vt:lpstr>
      <vt:lpstr>dagwerk99</vt:lpstr>
      <vt:lpstr>dagwerktabel1</vt:lpstr>
      <vt:lpstr>dagwerktabel3</vt:lpstr>
      <vt:lpstr>gemuurtarief1</vt:lpstr>
      <vt:lpstr>gemuurtarief3</vt:lpstr>
      <vt:lpstr>kengetaltabel1</vt:lpstr>
      <vt:lpstr>kengetaltabel3</vt:lpstr>
      <vt:lpstr>object1_gemuurtarief1</vt:lpstr>
      <vt:lpstr>object1_opptabel1</vt:lpstr>
      <vt:lpstr>object1_opptabel3</vt:lpstr>
      <vt:lpstr>object1_prijsdag1</vt:lpstr>
      <vt:lpstr>object1_prijsjaar1</vt:lpstr>
      <vt:lpstr>object1_urendag1</vt:lpstr>
      <vt:lpstr>object1_urendaghf1</vt:lpstr>
      <vt:lpstr>object1_urenjaar1</vt:lpstr>
      <vt:lpstr>object10_gemuurtarief1</vt:lpstr>
      <vt:lpstr>object10_opptabel1</vt:lpstr>
      <vt:lpstr>object10_opptabel3</vt:lpstr>
      <vt:lpstr>object10_prijsdag1</vt:lpstr>
      <vt:lpstr>object10_prijsjaar1</vt:lpstr>
      <vt:lpstr>object10_urendag1</vt:lpstr>
      <vt:lpstr>object10_urendaghf1</vt:lpstr>
      <vt:lpstr>object10_urenjaar1</vt:lpstr>
      <vt:lpstr>object11_gemuurtarief1</vt:lpstr>
      <vt:lpstr>object11_opptabel1</vt:lpstr>
      <vt:lpstr>object11_opptabel3</vt:lpstr>
      <vt:lpstr>object11_prijsdag1</vt:lpstr>
      <vt:lpstr>object11_prijsjaar1</vt:lpstr>
      <vt:lpstr>object11_urendag1</vt:lpstr>
      <vt:lpstr>object11_urendaghf1</vt:lpstr>
      <vt:lpstr>object11_urenjaar1</vt:lpstr>
      <vt:lpstr>object12_gemuurtarief1</vt:lpstr>
      <vt:lpstr>object12_opptabel1</vt:lpstr>
      <vt:lpstr>object12_opptabel3</vt:lpstr>
      <vt:lpstr>object12_prijsdag1</vt:lpstr>
      <vt:lpstr>object12_prijsjaar1</vt:lpstr>
      <vt:lpstr>object12_urendag1</vt:lpstr>
      <vt:lpstr>object12_urendaghf1</vt:lpstr>
      <vt:lpstr>object12_urenjaar1</vt:lpstr>
      <vt:lpstr>object13_gemuurtarief1</vt:lpstr>
      <vt:lpstr>object13_opptabel1</vt:lpstr>
      <vt:lpstr>object13_opptabel3</vt:lpstr>
      <vt:lpstr>object13_prijsdag1</vt:lpstr>
      <vt:lpstr>object13_prijsjaar1</vt:lpstr>
      <vt:lpstr>object13_urendag1</vt:lpstr>
      <vt:lpstr>object13_urendaghf1</vt:lpstr>
      <vt:lpstr>object13_urenjaar1</vt:lpstr>
      <vt:lpstr>object14_gemuurtarief1</vt:lpstr>
      <vt:lpstr>object14_opptabel1</vt:lpstr>
      <vt:lpstr>object14_opptabel3</vt:lpstr>
      <vt:lpstr>object14_prijsdag1</vt:lpstr>
      <vt:lpstr>object14_prijsjaar1</vt:lpstr>
      <vt:lpstr>object14_urendag1</vt:lpstr>
      <vt:lpstr>object14_urendaghf1</vt:lpstr>
      <vt:lpstr>object14_urenjaar1</vt:lpstr>
      <vt:lpstr>object15_gemuurtarief1</vt:lpstr>
      <vt:lpstr>object15_opptabel1</vt:lpstr>
      <vt:lpstr>object15_opptabel3</vt:lpstr>
      <vt:lpstr>object15_prijsdag1</vt:lpstr>
      <vt:lpstr>object15_prijsjaar1</vt:lpstr>
      <vt:lpstr>object15_urendag1</vt:lpstr>
      <vt:lpstr>object15_urendaghf1</vt:lpstr>
      <vt:lpstr>object15_urenjaar1</vt:lpstr>
      <vt:lpstr>object16_gemuurtarief1</vt:lpstr>
      <vt:lpstr>object16_opptabel1</vt:lpstr>
      <vt:lpstr>object16_opptabel3</vt:lpstr>
      <vt:lpstr>object16_prijsdag1</vt:lpstr>
      <vt:lpstr>object16_prijsjaar1</vt:lpstr>
      <vt:lpstr>object16_urendag1</vt:lpstr>
      <vt:lpstr>object16_urendaghf1</vt:lpstr>
      <vt:lpstr>object16_urenjaar1</vt:lpstr>
      <vt:lpstr>object17_gemuurtarief1</vt:lpstr>
      <vt:lpstr>object17_opptabel1</vt:lpstr>
      <vt:lpstr>object17_opptabel3</vt:lpstr>
      <vt:lpstr>object17_prijsdag1</vt:lpstr>
      <vt:lpstr>object17_prijsjaar1</vt:lpstr>
      <vt:lpstr>object17_urendag1</vt:lpstr>
      <vt:lpstr>object17_urendaghf1</vt:lpstr>
      <vt:lpstr>object17_urenjaar1</vt:lpstr>
      <vt:lpstr>object18_gemuurtarief1</vt:lpstr>
      <vt:lpstr>object18_opptabel1</vt:lpstr>
      <vt:lpstr>object18_opptabel3</vt:lpstr>
      <vt:lpstr>object18_prijsdag1</vt:lpstr>
      <vt:lpstr>object18_prijsjaar1</vt:lpstr>
      <vt:lpstr>object18_urendag1</vt:lpstr>
      <vt:lpstr>object18_urendaghf1</vt:lpstr>
      <vt:lpstr>object18_urenjaar1</vt:lpstr>
      <vt:lpstr>object19_gemuurtarief1</vt:lpstr>
      <vt:lpstr>object19_opptabel1</vt:lpstr>
      <vt:lpstr>object19_opptabel3</vt:lpstr>
      <vt:lpstr>object19_prijsdag1</vt:lpstr>
      <vt:lpstr>object19_prijsjaar1</vt:lpstr>
      <vt:lpstr>object19_urendag1</vt:lpstr>
      <vt:lpstr>object19_urendaghf1</vt:lpstr>
      <vt:lpstr>object19_urenjaar1</vt:lpstr>
      <vt:lpstr>object2_gemuurtarief1</vt:lpstr>
      <vt:lpstr>object2_opptabel1</vt:lpstr>
      <vt:lpstr>object2_opptabel3</vt:lpstr>
      <vt:lpstr>object2_prijsdag1</vt:lpstr>
      <vt:lpstr>object2_prijsjaar1</vt:lpstr>
      <vt:lpstr>object2_urendag1</vt:lpstr>
      <vt:lpstr>object2_urendaghf1</vt:lpstr>
      <vt:lpstr>object2_urenjaar1</vt:lpstr>
      <vt:lpstr>object20_gemuurtarief1</vt:lpstr>
      <vt:lpstr>object20_opptabel1</vt:lpstr>
      <vt:lpstr>object20_opptabel3</vt:lpstr>
      <vt:lpstr>object20_prijsdag1</vt:lpstr>
      <vt:lpstr>object20_prijsjaar1</vt:lpstr>
      <vt:lpstr>object20_urendag1</vt:lpstr>
      <vt:lpstr>object20_urendaghf1</vt:lpstr>
      <vt:lpstr>object20_urenjaar1</vt:lpstr>
      <vt:lpstr>object21_gemuurtarief1</vt:lpstr>
      <vt:lpstr>object21_opptabel1</vt:lpstr>
      <vt:lpstr>object21_opptabel3</vt:lpstr>
      <vt:lpstr>object21_prijsdag1</vt:lpstr>
      <vt:lpstr>object21_prijsjaar1</vt:lpstr>
      <vt:lpstr>object21_urendag1</vt:lpstr>
      <vt:lpstr>object21_urendaghf1</vt:lpstr>
      <vt:lpstr>object21_urenjaar1</vt:lpstr>
      <vt:lpstr>object22_gemuurtarief1</vt:lpstr>
      <vt:lpstr>object22_opptabel1</vt:lpstr>
      <vt:lpstr>object22_opptabel3</vt:lpstr>
      <vt:lpstr>object22_prijsdag1</vt:lpstr>
      <vt:lpstr>object22_prijsjaar1</vt:lpstr>
      <vt:lpstr>object22_urendag1</vt:lpstr>
      <vt:lpstr>object22_urendaghf1</vt:lpstr>
      <vt:lpstr>object22_urenjaar1</vt:lpstr>
      <vt:lpstr>object23_gemuurtarief1</vt:lpstr>
      <vt:lpstr>object23_opptabel1</vt:lpstr>
      <vt:lpstr>object23_opptabel3</vt:lpstr>
      <vt:lpstr>object23_prijsdag1</vt:lpstr>
      <vt:lpstr>object23_prijsjaar1</vt:lpstr>
      <vt:lpstr>object23_urendag1</vt:lpstr>
      <vt:lpstr>object23_urendaghf1</vt:lpstr>
      <vt:lpstr>object23_urenjaar1</vt:lpstr>
      <vt:lpstr>object24_gemuurtarief1</vt:lpstr>
      <vt:lpstr>object24_opptabel1</vt:lpstr>
      <vt:lpstr>object24_opptabel3</vt:lpstr>
      <vt:lpstr>object24_prijsdag1</vt:lpstr>
      <vt:lpstr>object24_prijsjaar1</vt:lpstr>
      <vt:lpstr>object24_urendag1</vt:lpstr>
      <vt:lpstr>object24_urendaghf1</vt:lpstr>
      <vt:lpstr>object24_urenjaar1</vt:lpstr>
      <vt:lpstr>object25_gemuurtarief1</vt:lpstr>
      <vt:lpstr>object25_opptabel1</vt:lpstr>
      <vt:lpstr>object25_opptabel3</vt:lpstr>
      <vt:lpstr>object25_prijsdag1</vt:lpstr>
      <vt:lpstr>object25_prijsjaar1</vt:lpstr>
      <vt:lpstr>object25_urendag1</vt:lpstr>
      <vt:lpstr>object25_urendaghf1</vt:lpstr>
      <vt:lpstr>object25_urenjaar1</vt:lpstr>
      <vt:lpstr>object26_gemuurtarief1</vt:lpstr>
      <vt:lpstr>object26_opptabel1</vt:lpstr>
      <vt:lpstr>object26_opptabel3</vt:lpstr>
      <vt:lpstr>object26_prijsdag1</vt:lpstr>
      <vt:lpstr>object26_prijsjaar1</vt:lpstr>
      <vt:lpstr>object26_urendag1</vt:lpstr>
      <vt:lpstr>object26_urendaghf1</vt:lpstr>
      <vt:lpstr>object26_urenjaar1</vt:lpstr>
      <vt:lpstr>object27_gemuurtarief1</vt:lpstr>
      <vt:lpstr>object27_opptabel1</vt:lpstr>
      <vt:lpstr>object27_opptabel3</vt:lpstr>
      <vt:lpstr>object27_prijsdag1</vt:lpstr>
      <vt:lpstr>object27_prijsjaar1</vt:lpstr>
      <vt:lpstr>object27_urendag1</vt:lpstr>
      <vt:lpstr>object27_urendaghf1</vt:lpstr>
      <vt:lpstr>object27_urenjaar1</vt:lpstr>
      <vt:lpstr>object28_gemuurtarief1</vt:lpstr>
      <vt:lpstr>object28_opptabel1</vt:lpstr>
      <vt:lpstr>object28_opptabel3</vt:lpstr>
      <vt:lpstr>object28_prijsdag1</vt:lpstr>
      <vt:lpstr>object28_prijsjaar1</vt:lpstr>
      <vt:lpstr>object28_urendag1</vt:lpstr>
      <vt:lpstr>object28_urendaghf1</vt:lpstr>
      <vt:lpstr>object28_urenjaar1</vt:lpstr>
      <vt:lpstr>object29_gemuurtarief1</vt:lpstr>
      <vt:lpstr>object29_opptabel1</vt:lpstr>
      <vt:lpstr>object29_opptabel3</vt:lpstr>
      <vt:lpstr>object29_prijsdag1</vt:lpstr>
      <vt:lpstr>object29_prijsjaar1</vt:lpstr>
      <vt:lpstr>object29_urendag1</vt:lpstr>
      <vt:lpstr>object29_urendaghf1</vt:lpstr>
      <vt:lpstr>object29_urenjaar1</vt:lpstr>
      <vt:lpstr>object3_gemuurtarief1</vt:lpstr>
      <vt:lpstr>object3_opptabel1</vt:lpstr>
      <vt:lpstr>object3_opptabel3</vt:lpstr>
      <vt:lpstr>object3_prijsdag1</vt:lpstr>
      <vt:lpstr>object3_prijsjaar1</vt:lpstr>
      <vt:lpstr>object3_urendag1</vt:lpstr>
      <vt:lpstr>object3_urendaghf1</vt:lpstr>
      <vt:lpstr>object3_urenjaar1</vt:lpstr>
      <vt:lpstr>object30_gemuurtarief1</vt:lpstr>
      <vt:lpstr>object30_gemuurtarief3</vt:lpstr>
      <vt:lpstr>object30_opptabel1</vt:lpstr>
      <vt:lpstr>object30_opptabel3</vt:lpstr>
      <vt:lpstr>object30_prijsdag1</vt:lpstr>
      <vt:lpstr>object30_prijsdag3</vt:lpstr>
      <vt:lpstr>object30_prijsjaar1</vt:lpstr>
      <vt:lpstr>object30_prijsjaar3</vt:lpstr>
      <vt:lpstr>object30_urendag1</vt:lpstr>
      <vt:lpstr>object30_urendag3</vt:lpstr>
      <vt:lpstr>object30_urendaghf1</vt:lpstr>
      <vt:lpstr>object30_urendaghf3</vt:lpstr>
      <vt:lpstr>object30_urenjaar1</vt:lpstr>
      <vt:lpstr>object30_urenjaar3</vt:lpstr>
      <vt:lpstr>object31_gemuurtarief1</vt:lpstr>
      <vt:lpstr>object31_opptabel1</vt:lpstr>
      <vt:lpstr>object31_opptabel3</vt:lpstr>
      <vt:lpstr>object31_prijsdag1</vt:lpstr>
      <vt:lpstr>object31_prijsjaar1</vt:lpstr>
      <vt:lpstr>object31_urendag1</vt:lpstr>
      <vt:lpstr>object31_urendaghf1</vt:lpstr>
      <vt:lpstr>object31_urenjaar1</vt:lpstr>
      <vt:lpstr>object32_gemuurtarief1</vt:lpstr>
      <vt:lpstr>object32_opptabel1</vt:lpstr>
      <vt:lpstr>object32_opptabel3</vt:lpstr>
      <vt:lpstr>object32_prijsdag1</vt:lpstr>
      <vt:lpstr>object32_prijsjaar1</vt:lpstr>
      <vt:lpstr>object32_urendag1</vt:lpstr>
      <vt:lpstr>object32_urendaghf1</vt:lpstr>
      <vt:lpstr>object32_urenjaar1</vt:lpstr>
      <vt:lpstr>object4_gemuurtarief1</vt:lpstr>
      <vt:lpstr>object4_opptabel1</vt:lpstr>
      <vt:lpstr>object4_opptabel3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object5_opptabel1</vt:lpstr>
      <vt:lpstr>object5_opptabel3</vt:lpstr>
      <vt:lpstr>object5_prijsdag1</vt:lpstr>
      <vt:lpstr>object5_prijsjaar1</vt:lpstr>
      <vt:lpstr>object5_urendag1</vt:lpstr>
      <vt:lpstr>object5_urendaghf1</vt:lpstr>
      <vt:lpstr>object5_urenjaar1</vt:lpstr>
      <vt:lpstr>object6_gemuurtarief1</vt:lpstr>
      <vt:lpstr>object6_opptabel1</vt:lpstr>
      <vt:lpstr>object6_opptabel3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object7_opptabel3</vt:lpstr>
      <vt:lpstr>object7_prijsdag1</vt:lpstr>
      <vt:lpstr>object7_prijsjaar1</vt:lpstr>
      <vt:lpstr>object7_urendag1</vt:lpstr>
      <vt:lpstr>object7_urendaghf1</vt:lpstr>
      <vt:lpstr>object7_urenjaar1</vt:lpstr>
      <vt:lpstr>object8_gemuurtarief1</vt:lpstr>
      <vt:lpstr>object8_opptabel1</vt:lpstr>
      <vt:lpstr>object8_opptabel3</vt:lpstr>
      <vt:lpstr>object8_prijsdag1</vt:lpstr>
      <vt:lpstr>object8_prijsjaar1</vt:lpstr>
      <vt:lpstr>object8_urendag1</vt:lpstr>
      <vt:lpstr>object8_urendaghf1</vt:lpstr>
      <vt:lpstr>object8_urenjaar1</vt:lpstr>
      <vt:lpstr>object9_gemuurtarief1</vt:lpstr>
      <vt:lpstr>object9_opptabel1</vt:lpstr>
      <vt:lpstr>object9_opptabel3</vt:lpstr>
      <vt:lpstr>object9_prijsdag1</vt:lpstr>
      <vt:lpstr>object9_prijsjaar1</vt:lpstr>
      <vt:lpstr>object9_urendag1</vt:lpstr>
      <vt:lpstr>object9_urendaghf1</vt:lpstr>
      <vt:lpstr>object9_urenjaar1</vt:lpstr>
      <vt:lpstr>objectprijs1_1</vt:lpstr>
      <vt:lpstr>objectprijs10_1</vt:lpstr>
      <vt:lpstr>objectprijs11_1</vt:lpstr>
      <vt:lpstr>objectprijs12_1</vt:lpstr>
      <vt:lpstr>objectprijs13_1</vt:lpstr>
      <vt:lpstr>objectprijs14_1</vt:lpstr>
      <vt:lpstr>objectprijs15_1</vt:lpstr>
      <vt:lpstr>objectprijs16_1</vt:lpstr>
      <vt:lpstr>objectprijs17_1</vt:lpstr>
      <vt:lpstr>objectprijs18_1</vt:lpstr>
      <vt:lpstr>objectprijs19_1</vt:lpstr>
      <vt:lpstr>objectprijs2_1</vt:lpstr>
      <vt:lpstr>objectprijs20_1</vt:lpstr>
      <vt:lpstr>objectprijs21_1</vt:lpstr>
      <vt:lpstr>objectprijs22_1</vt:lpstr>
      <vt:lpstr>objectprijs23_1</vt:lpstr>
      <vt:lpstr>objectprijs24_1</vt:lpstr>
      <vt:lpstr>objectprijs25_1</vt:lpstr>
      <vt:lpstr>objectprijs26_1</vt:lpstr>
      <vt:lpstr>objectprijs27_1</vt:lpstr>
      <vt:lpstr>objectprijs28_1</vt:lpstr>
      <vt:lpstr>objectprijs29_1</vt:lpstr>
      <vt:lpstr>objectprijs3_1</vt:lpstr>
      <vt:lpstr>objectprijs30_1</vt:lpstr>
      <vt:lpstr>objectprijs30_3</vt:lpstr>
      <vt:lpstr>objectprijs31_1</vt:lpstr>
      <vt:lpstr>objectprijs32_1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objecturen10_1</vt:lpstr>
      <vt:lpstr>objecturen11_1</vt:lpstr>
      <vt:lpstr>objecturen12_1</vt:lpstr>
      <vt:lpstr>objecturen13_1</vt:lpstr>
      <vt:lpstr>objecturen14_1</vt:lpstr>
      <vt:lpstr>objecturen15_1</vt:lpstr>
      <vt:lpstr>objecturen16_1</vt:lpstr>
      <vt:lpstr>objecturen17_1</vt:lpstr>
      <vt:lpstr>objecturen18_1</vt:lpstr>
      <vt:lpstr>objecturen19_1</vt:lpstr>
      <vt:lpstr>objecturen2_1</vt:lpstr>
      <vt:lpstr>objecturen20_1</vt:lpstr>
      <vt:lpstr>objecturen21_1</vt:lpstr>
      <vt:lpstr>objecturen22_1</vt:lpstr>
      <vt:lpstr>objecturen23_1</vt:lpstr>
      <vt:lpstr>objecturen24_1</vt:lpstr>
      <vt:lpstr>objecturen25_1</vt:lpstr>
      <vt:lpstr>objecturen26_1</vt:lpstr>
      <vt:lpstr>objecturen27_1</vt:lpstr>
      <vt:lpstr>objecturen28_1</vt:lpstr>
      <vt:lpstr>objecturen29_1</vt:lpstr>
      <vt:lpstr>objecturen3_1</vt:lpstr>
      <vt:lpstr>objecturen30_1</vt:lpstr>
      <vt:lpstr>objecturen30_3</vt:lpstr>
      <vt:lpstr>objecturen31_1</vt:lpstr>
      <vt:lpstr>objecturen32_1</vt:lpstr>
      <vt:lpstr>objecturen4_1</vt:lpstr>
      <vt:lpstr>objecturen5_1</vt:lpstr>
      <vt:lpstr>objecturen6_1</vt:lpstr>
      <vt:lpstr>objecturen7_1</vt:lpstr>
      <vt:lpstr>objecturen8_1</vt:lpstr>
      <vt:lpstr>objecturen9_1</vt:lpstr>
      <vt:lpstr>objecturenhf1_1</vt:lpstr>
      <vt:lpstr>objecturenhf10_1</vt:lpstr>
      <vt:lpstr>objecturenhf11_1</vt:lpstr>
      <vt:lpstr>objecturenhf12_1</vt:lpstr>
      <vt:lpstr>objecturenhf13_1</vt:lpstr>
      <vt:lpstr>objecturenhf14_1</vt:lpstr>
      <vt:lpstr>objecturenhf15_1</vt:lpstr>
      <vt:lpstr>objecturenhf16_1</vt:lpstr>
      <vt:lpstr>objecturenhf17_1</vt:lpstr>
      <vt:lpstr>objecturenhf18_1</vt:lpstr>
      <vt:lpstr>objecturenhf19_1</vt:lpstr>
      <vt:lpstr>objecturenhf2_1</vt:lpstr>
      <vt:lpstr>objecturenhf20_1</vt:lpstr>
      <vt:lpstr>objecturenhf21_1</vt:lpstr>
      <vt:lpstr>objecturenhf22_1</vt:lpstr>
      <vt:lpstr>objecturenhf23_1</vt:lpstr>
      <vt:lpstr>objecturenhf24_1</vt:lpstr>
      <vt:lpstr>objecturenhf25_1</vt:lpstr>
      <vt:lpstr>objecturenhf26_1</vt:lpstr>
      <vt:lpstr>objecturenhf27_1</vt:lpstr>
      <vt:lpstr>objecturenhf28_1</vt:lpstr>
      <vt:lpstr>objecturenhf29_1</vt:lpstr>
      <vt:lpstr>objecturenhf3_1</vt:lpstr>
      <vt:lpstr>objecturenhf30_1</vt:lpstr>
      <vt:lpstr>objecturenhf30_3</vt:lpstr>
      <vt:lpstr>objecturenhf31_1</vt:lpstr>
      <vt:lpstr>objecturenhf32_1</vt:lpstr>
      <vt:lpstr>objecturenhf4_1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prijsdag3</vt:lpstr>
      <vt:lpstr>prijsjaar</vt:lpstr>
      <vt:lpstr>prijsjaar1</vt:lpstr>
      <vt:lpstr>prijsjaar3</vt:lpstr>
      <vt:lpstr>prijsjaaradditioneel</vt:lpstr>
      <vt:lpstr>prijsjaaradditioneel1</vt:lpstr>
      <vt:lpstr>prijsjaarafroep</vt:lpstr>
      <vt:lpstr>prijsjaarafroep1</vt:lpstr>
      <vt:lpstr>prijsjaarafroep3</vt:lpstr>
      <vt:lpstr>prijsjaarglas</vt:lpstr>
      <vt:lpstr>prijsjaarglas1</vt:lpstr>
      <vt:lpstr>prijsjaartotaal</vt:lpstr>
      <vt:lpstr>prijsjaartotaal1</vt:lpstr>
      <vt:lpstr>prijsjaartotaal3</vt:lpstr>
      <vt:lpstr>prijsjaartotaaloverzicht</vt:lpstr>
      <vt:lpstr>prijsmaandtotaal1</vt:lpstr>
      <vt:lpstr>prijsmaandtotaal3</vt:lpstr>
      <vt:lpstr>prodnorm0</vt:lpstr>
      <vt:lpstr>prodnorm10</vt:lpstr>
      <vt:lpstr>prodnorm100</vt:lpstr>
      <vt:lpstr>prodnorm101</vt:lpstr>
      <vt:lpstr>prodnorm102</vt:lpstr>
      <vt:lpstr>prodnorm103</vt:lpstr>
      <vt:lpstr>prodnorm104</vt:lpstr>
      <vt:lpstr>prodnorm105</vt:lpstr>
      <vt:lpstr>prodnorm106</vt:lpstr>
      <vt:lpstr>prodnorm107</vt:lpstr>
      <vt:lpstr>prodnorm108</vt:lpstr>
      <vt:lpstr>prodnorm109</vt:lpstr>
      <vt:lpstr>prodnorm11</vt:lpstr>
      <vt:lpstr>prodnorm110</vt:lpstr>
      <vt:lpstr>prodnorm111</vt:lpstr>
      <vt:lpstr>prodnorm112</vt:lpstr>
      <vt:lpstr>prodnorm113</vt:lpstr>
      <vt:lpstr>prodnorm114</vt:lpstr>
      <vt:lpstr>prodnorm115</vt:lpstr>
      <vt:lpstr>prodnorm116</vt:lpstr>
      <vt:lpstr>prodnorm117</vt:lpstr>
      <vt:lpstr>prodnorm119</vt:lpstr>
      <vt:lpstr>prodnorm12</vt:lpstr>
      <vt:lpstr>prodnorm120</vt:lpstr>
      <vt:lpstr>prodnorm121</vt:lpstr>
      <vt:lpstr>prodnorm122</vt:lpstr>
      <vt:lpstr>prodnorm123</vt:lpstr>
      <vt:lpstr>prodnorm124</vt:lpstr>
      <vt:lpstr>prodnorm125</vt:lpstr>
      <vt:lpstr>prodnorm126</vt:lpstr>
      <vt:lpstr>prodnorm127</vt:lpstr>
      <vt:lpstr>prodnorm128</vt:lpstr>
      <vt:lpstr>prodnorm129</vt:lpstr>
      <vt:lpstr>prodnorm13</vt:lpstr>
      <vt:lpstr>prodnorm130</vt:lpstr>
      <vt:lpstr>prodnorm131</vt:lpstr>
      <vt:lpstr>prodnorm132</vt:lpstr>
      <vt:lpstr>prodnorm14</vt:lpstr>
      <vt:lpstr>prodnorm15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prodnorm78</vt:lpstr>
      <vt:lpstr>prodnorm79</vt:lpstr>
      <vt:lpstr>prodnorm8</vt:lpstr>
      <vt:lpstr>prodnorm80</vt:lpstr>
      <vt:lpstr>prodnorm81</vt:lpstr>
      <vt:lpstr>prodnorm82</vt:lpstr>
      <vt:lpstr>prodnorm83</vt:lpstr>
      <vt:lpstr>prodnorm84</vt:lpstr>
      <vt:lpstr>prodnorm85</vt:lpstr>
      <vt:lpstr>prodnorm86</vt:lpstr>
      <vt:lpstr>prodnorm87</vt:lpstr>
      <vt:lpstr>prodnorm88</vt:lpstr>
      <vt:lpstr>prodnorm89</vt:lpstr>
      <vt:lpstr>prodnorm9</vt:lpstr>
      <vt:lpstr>prodnorm90</vt:lpstr>
      <vt:lpstr>prodnorm91</vt:lpstr>
      <vt:lpstr>prodnorm92</vt:lpstr>
      <vt:lpstr>prodnorm93</vt:lpstr>
      <vt:lpstr>prodnorm94</vt:lpstr>
      <vt:lpstr>prodnorm95</vt:lpstr>
      <vt:lpstr>prodnorm96</vt:lpstr>
      <vt:lpstr>prodnorm97</vt:lpstr>
      <vt:lpstr>prodnorm98</vt:lpstr>
      <vt:lpstr>prodnorm99</vt:lpstr>
      <vt:lpstr>taakfreqtabel1</vt:lpstr>
      <vt:lpstr>taakfreqtabel3</vt:lpstr>
      <vt:lpstr>tabeltype</vt:lpstr>
      <vt:lpstr>Tariefopbouw1</vt:lpstr>
      <vt:lpstr>Tariefopbouw2</vt:lpstr>
      <vt:lpstr>Tariefopbouw3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tarieftabel1</vt:lpstr>
      <vt:lpstr>tarieftabel3</vt:lpstr>
      <vt:lpstr>TariefUitvoering1</vt:lpstr>
      <vt:lpstr>TariefUitvoering2</vt:lpstr>
      <vt:lpstr>TariefUitvoering3</vt:lpstr>
      <vt:lpstr>urendag1</vt:lpstr>
      <vt:lpstr>urendag3</vt:lpstr>
      <vt:lpstr>urenjaar</vt:lpstr>
      <vt:lpstr>urenjaar1</vt:lpstr>
      <vt:lpstr>urenjaar3</vt:lpstr>
      <vt:lpstr>urenjaartotaal</vt:lpstr>
      <vt:lpstr>urenjaartotaal1</vt:lpstr>
      <vt:lpstr>urenjaartotaal3</vt:lpstr>
      <vt:lpstr>urenjaartotaalhf</vt:lpstr>
      <vt:lpstr>urenjaartotaalhf1</vt:lpstr>
      <vt:lpstr>urenjaartotaalhf3</vt:lpstr>
      <vt:lpstr>urenjaartotaaloverzicht</vt:lpstr>
      <vt:lpstr>urenjaartotaaloverzichthf</vt:lpstr>
      <vt:lpstr>uurfactortabel1</vt:lpstr>
      <vt:lpstr>uurfactortabel3</vt:lpstr>
      <vt:lpstr>uurtarief0</vt:lpstr>
      <vt:lpstr>uurtarief10</vt:lpstr>
      <vt:lpstr>uurtarief100</vt:lpstr>
      <vt:lpstr>uurtarief101</vt:lpstr>
      <vt:lpstr>uurtarief102</vt:lpstr>
      <vt:lpstr>uurtarief103</vt:lpstr>
      <vt:lpstr>uurtarief104</vt:lpstr>
      <vt:lpstr>uurtarief105</vt:lpstr>
      <vt:lpstr>uurtarief106</vt:lpstr>
      <vt:lpstr>uurtarief107</vt:lpstr>
      <vt:lpstr>uurtarief108</vt:lpstr>
      <vt:lpstr>uurtarief109</vt:lpstr>
      <vt:lpstr>uurtarief11</vt:lpstr>
      <vt:lpstr>uurtarief110</vt:lpstr>
      <vt:lpstr>uurtarief111</vt:lpstr>
      <vt:lpstr>uurtarief112</vt:lpstr>
      <vt:lpstr>uurtarief113</vt:lpstr>
      <vt:lpstr>uurtarief114</vt:lpstr>
      <vt:lpstr>uurtarief115</vt:lpstr>
      <vt:lpstr>uurtarief116</vt:lpstr>
      <vt:lpstr>uurtarief117</vt:lpstr>
      <vt:lpstr>uurtarief119</vt:lpstr>
      <vt:lpstr>uurtarief12</vt:lpstr>
      <vt:lpstr>uurtarief120</vt:lpstr>
      <vt:lpstr>uurtarief121</vt:lpstr>
      <vt:lpstr>uurtarief122</vt:lpstr>
      <vt:lpstr>uurtarief123</vt:lpstr>
      <vt:lpstr>uurtarief124</vt:lpstr>
      <vt:lpstr>uurtarief125</vt:lpstr>
      <vt:lpstr>uurtarief126</vt:lpstr>
      <vt:lpstr>uurtarief127</vt:lpstr>
      <vt:lpstr>uurtarief128</vt:lpstr>
      <vt:lpstr>uurtarief129</vt:lpstr>
      <vt:lpstr>uurtarief13</vt:lpstr>
      <vt:lpstr>uurtarief130</vt:lpstr>
      <vt:lpstr>uurtarief131</vt:lpstr>
      <vt:lpstr>uurtarief132</vt:lpstr>
      <vt:lpstr>uurtarief14</vt:lpstr>
      <vt:lpstr>uurtarief15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  <vt:lpstr>uurtarief78</vt:lpstr>
      <vt:lpstr>uurtarief79</vt:lpstr>
      <vt:lpstr>uurtarief8</vt:lpstr>
      <vt:lpstr>uurtarief80</vt:lpstr>
      <vt:lpstr>uurtarief81</vt:lpstr>
      <vt:lpstr>uurtarief82</vt:lpstr>
      <vt:lpstr>uurtarief83</vt:lpstr>
      <vt:lpstr>uurtarief84</vt:lpstr>
      <vt:lpstr>uurtarief85</vt:lpstr>
      <vt:lpstr>uurtarief86</vt:lpstr>
      <vt:lpstr>uurtarief87</vt:lpstr>
      <vt:lpstr>uurtarief88</vt:lpstr>
      <vt:lpstr>uurtarief89</vt:lpstr>
      <vt:lpstr>uurtarief9</vt:lpstr>
      <vt:lpstr>uurtarief90</vt:lpstr>
      <vt:lpstr>uurtarief91</vt:lpstr>
      <vt:lpstr>uurtarief92</vt:lpstr>
      <vt:lpstr>uurtarief93</vt:lpstr>
      <vt:lpstr>uurtarief94</vt:lpstr>
      <vt:lpstr>uurtarief95</vt:lpstr>
      <vt:lpstr>uurtarief96</vt:lpstr>
      <vt:lpstr>uurtarief97</vt:lpstr>
      <vt:lpstr>uurtarief98</vt:lpstr>
      <vt:lpstr>uurtarief99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2024-11-07T12:53:08Z</dcterms:created>
  <dcterms:modified xsi:type="dcterms:W3CDTF">2024-11-07T12:58:48Z</dcterms:modified>
</cp:coreProperties>
</file>