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M:\DATA\EXTERN\Stichting VO Haaglanden\Aanbesteding 2025\Uitlever\"/>
    </mc:Choice>
  </mc:AlternateContent>
  <xr:revisionPtr revIDLastSave="0" documentId="13_ncr:1_{AFB08717-E1D6-4933-9D6D-F8C9CD1D45C6}" xr6:coauthVersionLast="47" xr6:coauthVersionMax="47" xr10:uidLastSave="{00000000-0000-0000-0000-000000000000}"/>
  <bookViews>
    <workbookView xWindow="-120" yWindow="-120" windowWidth="29040" windowHeight="15720" activeTab="12" xr2:uid="{8E0FA707-CF49-40FD-9668-444D673B3D65}"/>
  </bookViews>
  <sheets>
    <sheet name="Omreken" sheetId="1" r:id="rId1"/>
    <sheet name="Tariefopbouw" sheetId="2" r:id="rId2"/>
    <sheet name="Categorienormen" sheetId="3" r:id="rId3"/>
    <sheet name="Regulier werk" sheetId="4" r:id="rId4"/>
    <sheet name="Ruimten werkdag" sheetId="5" r:id="rId5"/>
    <sheet name="Objectinformatie" sheetId="6" r:id="rId6"/>
    <sheet name="Objecten" sheetId="7" r:id="rId7"/>
    <sheet name="Totaalblad Objecten" sheetId="8" r:id="rId8"/>
    <sheet name="Afroep" sheetId="9" r:id="rId9"/>
    <sheet name="Afroep incidenteel" sheetId="10" r:id="rId10"/>
    <sheet name="Glas" sheetId="11" r:id="rId11"/>
    <sheet name="Glas per locatie" sheetId="12" r:id="rId12"/>
    <sheet name="Totaal" sheetId="13" r:id="rId13"/>
  </sheets>
  <definedNames>
    <definedName name="_xlnm._FilterDatabase" localSheetId="4" hidden="1">'Ruimten werkdag'!$A$3:$U$230</definedName>
    <definedName name="_xlnm.Print_Titles" localSheetId="8">Afroep!$1:$3</definedName>
    <definedName name="_xlnm.Print_Titles" localSheetId="9">'Afroep incidenteel'!$1:$3</definedName>
    <definedName name="_xlnm.Print_Titles" localSheetId="2">Categorienormen!$1:$3</definedName>
    <definedName name="_xlnm.Print_Titles" localSheetId="10">Glas!$1:$3</definedName>
    <definedName name="_xlnm.Print_Titles" localSheetId="11">'Glas per locatie'!$1:$3</definedName>
    <definedName name="_xlnm.Print_Titles" localSheetId="6">Objecten!$1:$3</definedName>
    <definedName name="_xlnm.Print_Titles" localSheetId="5">Objectinformatie!$A:$D,Objectinformatie!$1:$4</definedName>
    <definedName name="_xlnm.Print_Titles" localSheetId="3">'Regulier werk'!$1:$3</definedName>
    <definedName name="_xlnm.Print_Titles" localSheetId="4">'Ruimten werkdag'!$1:$3</definedName>
    <definedName name="_xlnm.Print_Titles" localSheetId="1">Tariefopbouw!$A:$A,Tariefopbouw!$1:$2</definedName>
    <definedName name="_xlnm.Print_Titles" localSheetId="12">Totaal!$1:$3</definedName>
    <definedName name="_xlnm.Print_Titles" localSheetId="7">'Totaalblad Objecten'!$1:$3</definedName>
    <definedName name="catdw_1_AHB_1">Categorienormen!$F$26</definedName>
    <definedName name="catdw_1_AHV_40">Categorienormen!$F$27</definedName>
    <definedName name="catdw_1_BHB_1">Categorienormen!$F$6</definedName>
    <definedName name="catdw_1_BZB_1">Categorienormen!$F$7</definedName>
    <definedName name="catdw_1_BZV_40">Categorienormen!$F$8</definedName>
    <definedName name="catdw_1_DHB_1">Categorienormen!$F$21</definedName>
    <definedName name="catdw_1_DHV_40">Categorienormen!$F$22</definedName>
    <definedName name="catdw_1_EZB_1">Categorienormen!$F$28</definedName>
    <definedName name="catdw_1_EZV_40">Categorienormen!$F$29</definedName>
    <definedName name="catdw_1_EZV_42">Categorienormen!$F$30</definedName>
    <definedName name="catdw_1_FHB_1">Categorienormen!$F$31</definedName>
    <definedName name="catdw_1_FHV_40">Categorienormen!$F$32</definedName>
    <definedName name="catdw_1_LHB_1">Categorienormen!$F$9</definedName>
    <definedName name="catdw_1_LHV_40">Categorienormen!$F$10</definedName>
    <definedName name="catdw_1_LZB_1">Categorienormen!$F$11</definedName>
    <definedName name="catdw_1_LZV_40">Categorienormen!$F$12</definedName>
    <definedName name="catdw_1_MHB_1">Categorienormen!$F$13</definedName>
    <definedName name="catdw_1_MHV_40">Categorienormen!$F$14</definedName>
    <definedName name="catdw_1_MZB_1">Categorienormen!$F$15</definedName>
    <definedName name="catdw_1_MZV_40">Categorienormen!$F$16</definedName>
    <definedName name="catdw_1_PHB_1">Categorienormen!$F$33</definedName>
    <definedName name="catdw_1_PHV_40">Categorienormen!$F$34</definedName>
    <definedName name="catdw_1_PMHB_1">Categorienormen!$F$17</definedName>
    <definedName name="catdw_1_PMHV_40">Categorienormen!$F$18</definedName>
    <definedName name="catdw_1_PUHB_1">Categorienormen!$F$19</definedName>
    <definedName name="catdw_1_PUHV_40">Categorienormen!$F$20</definedName>
    <definedName name="catdw_1_SHB_1">Categorienormen!$F$23</definedName>
    <definedName name="catdw_1_SHV_40">Categorienormen!$F$24</definedName>
    <definedName name="catdw_1_SHV_42">Categorienormen!$F$25</definedName>
    <definedName name="catdw_1_THB_1">Categorienormen!$F$35</definedName>
    <definedName name="catdw_1_THV_40">Categorienormen!$F$36</definedName>
    <definedName name="catdw_1_VHB_1">Categorienormen!$F$37</definedName>
    <definedName name="catdw_1_VHV_40">Categorienormen!$F$38</definedName>
    <definedName name="catdw_1_VZB_1">Categorienormen!$F$39</definedName>
    <definedName name="catdw_1_VZV_40">Categorienormen!$F$40</definedName>
    <definedName name="catfd_1_AHB_1">Categorienormen!$C$26</definedName>
    <definedName name="catfd_1_AHV_40">Categorienormen!$C$27</definedName>
    <definedName name="catfd_1_BHB_1">Categorienormen!$C$6</definedName>
    <definedName name="catfd_1_BZB_1">Categorienormen!$C$7</definedName>
    <definedName name="catfd_1_BZV_40">Categorienormen!$C$8</definedName>
    <definedName name="catfd_1_DHB_1">Categorienormen!$C$21</definedName>
    <definedName name="catfd_1_DHV_40">Categorienormen!$C$22</definedName>
    <definedName name="catfd_1_EZB_1">Categorienormen!$C$28</definedName>
    <definedName name="catfd_1_EZV_40">Categorienormen!$C$29</definedName>
    <definedName name="catfd_1_EZV_42">Categorienormen!$C$30</definedName>
    <definedName name="catfd_1_FHB_1">Categorienormen!$C$31</definedName>
    <definedName name="catfd_1_FHV_40">Categorienormen!$C$32</definedName>
    <definedName name="catfd_1_LHB_1">Categorienormen!$C$9</definedName>
    <definedName name="catfd_1_LHV_40">Categorienormen!$C$10</definedName>
    <definedName name="catfd_1_LZB_1">Categorienormen!$C$11</definedName>
    <definedName name="catfd_1_LZV_40">Categorienormen!$C$12</definedName>
    <definedName name="catfd_1_MHB_1">Categorienormen!$C$13</definedName>
    <definedName name="catfd_1_MHV_40">Categorienormen!$C$14</definedName>
    <definedName name="catfd_1_MZB_1">Categorienormen!$C$15</definedName>
    <definedName name="catfd_1_MZV_40">Categorienormen!$C$16</definedName>
    <definedName name="catfd_1_PHB_1">Categorienormen!$C$33</definedName>
    <definedName name="catfd_1_PHV_40">Categorienormen!$C$34</definedName>
    <definedName name="catfd_1_PMHB_1">Categorienormen!$C$17</definedName>
    <definedName name="catfd_1_PMHV_40">Categorienormen!$C$18</definedName>
    <definedName name="catfd_1_PUHB_1">Categorienormen!$C$19</definedName>
    <definedName name="catfd_1_PUHV_40">Categorienormen!$C$20</definedName>
    <definedName name="catfd_1_SHB_1">Categorienormen!$C$23</definedName>
    <definedName name="catfd_1_SHV_40">Categorienormen!$C$24</definedName>
    <definedName name="catfd_1_SHV_42">Categorienormen!$C$25</definedName>
    <definedName name="catfd_1_THB_1">Categorienormen!$C$35</definedName>
    <definedName name="catfd_1_THV_40">Categorienormen!$C$36</definedName>
    <definedName name="catfd_1_VHB_1">Categorienormen!$C$37</definedName>
    <definedName name="catfd_1_VHV_40">Categorienormen!$C$38</definedName>
    <definedName name="catfd_1_VZB_1">Categorienormen!$C$39</definedName>
    <definedName name="catfd_1_VZV_40">Categorienormen!$C$40</definedName>
    <definedName name="catpn_1_AHB_1">Categorienormen!$E$26</definedName>
    <definedName name="catpn_1_AHV_40">Categorienormen!$E$27</definedName>
    <definedName name="catpn_1_BHB_1">Categorienormen!$E$6</definedName>
    <definedName name="catpn_1_BZB_1">Categorienormen!$E$7</definedName>
    <definedName name="catpn_1_BZV_40">Categorienormen!$E$8</definedName>
    <definedName name="catpn_1_DHB_1">Categorienormen!$E$21</definedName>
    <definedName name="catpn_1_DHV_40">Categorienormen!$E$22</definedName>
    <definedName name="catpn_1_EZB_1">Categorienormen!$E$28</definedName>
    <definedName name="catpn_1_EZV_40">Categorienormen!$E$29</definedName>
    <definedName name="catpn_1_EZV_42">Categorienormen!$E$30</definedName>
    <definedName name="catpn_1_FHB_1">Categorienormen!$E$31</definedName>
    <definedName name="catpn_1_FHV_40">Categorienormen!$E$32</definedName>
    <definedName name="catpn_1_LHB_1">Categorienormen!$E$9</definedName>
    <definedName name="catpn_1_LHV_40">Categorienormen!$E$10</definedName>
    <definedName name="catpn_1_LZB_1">Categorienormen!$E$11</definedName>
    <definedName name="catpn_1_LZV_40">Categorienormen!$E$12</definedName>
    <definedName name="catpn_1_MHB_1">Categorienormen!$E$13</definedName>
    <definedName name="catpn_1_MHV_40">Categorienormen!$E$14</definedName>
    <definedName name="catpn_1_MZB_1">Categorienormen!$E$15</definedName>
    <definedName name="catpn_1_MZV_40">Categorienormen!$E$16</definedName>
    <definedName name="catpn_1_PHB_1">Categorienormen!$E$33</definedName>
    <definedName name="catpn_1_PHV_40">Categorienormen!$E$34</definedName>
    <definedName name="catpn_1_PMHB_1">Categorienormen!$E$17</definedName>
    <definedName name="catpn_1_PMHV_40">Categorienormen!$E$18</definedName>
    <definedName name="catpn_1_PUHB_1">Categorienormen!$E$19</definedName>
    <definedName name="catpn_1_PUHV_40">Categorienormen!$E$20</definedName>
    <definedName name="catpn_1_SHB_1">Categorienormen!$E$23</definedName>
    <definedName name="catpn_1_SHV_40">Categorienormen!$E$24</definedName>
    <definedName name="catpn_1_SHV_42">Categorienormen!$E$25</definedName>
    <definedName name="catpn_1_THB_1">Categorienormen!$E$35</definedName>
    <definedName name="catpn_1_THV_40">Categorienormen!$E$36</definedName>
    <definedName name="catpn_1_VHB_1">Categorienormen!$E$37</definedName>
    <definedName name="catpn_1_VHV_40">Categorienormen!$E$38</definedName>
    <definedName name="catpn_1_VZB_1">Categorienormen!$E$39</definedName>
    <definedName name="catpn_1_VZV_40">Categorienormen!$E$40</definedName>
    <definedName name="cattf_1_AHB_1">Categorienormen!$H$26</definedName>
    <definedName name="cattf_1_AHV_40">Categorienormen!$H$27</definedName>
    <definedName name="cattf_1_BHB_1">Categorienormen!$H$6</definedName>
    <definedName name="cattf_1_BZB_1">Categorienormen!$H$7</definedName>
    <definedName name="cattf_1_BZV_40">Categorienormen!$H$8</definedName>
    <definedName name="cattf_1_DHB_1">Categorienormen!$H$21</definedName>
    <definedName name="cattf_1_DHV_40">Categorienormen!$H$22</definedName>
    <definedName name="cattf_1_EZB_1">Categorienormen!$H$28</definedName>
    <definedName name="cattf_1_EZV_40">Categorienormen!$H$29</definedName>
    <definedName name="cattf_1_EZV_42">Categorienormen!$H$30</definedName>
    <definedName name="cattf_1_FHB_1">Categorienormen!$H$31</definedName>
    <definedName name="cattf_1_FHV_40">Categorienormen!$H$32</definedName>
    <definedName name="cattf_1_LHB_1">Categorienormen!$H$9</definedName>
    <definedName name="cattf_1_LHV_40">Categorienormen!$H$10</definedName>
    <definedName name="cattf_1_LZB_1">Categorienormen!$H$11</definedName>
    <definedName name="cattf_1_LZV_40">Categorienormen!$H$12</definedName>
    <definedName name="cattf_1_MHB_1">Categorienormen!$H$13</definedName>
    <definedName name="cattf_1_MHV_40">Categorienormen!$H$14</definedName>
    <definedName name="cattf_1_MZB_1">Categorienormen!$H$15</definedName>
    <definedName name="cattf_1_MZV_40">Categorienormen!$H$16</definedName>
    <definedName name="cattf_1_PHB_1">Categorienormen!$H$33</definedName>
    <definedName name="cattf_1_PHV_40">Categorienormen!$H$34</definedName>
    <definedName name="cattf_1_PMHB_1">Categorienormen!$H$17</definedName>
    <definedName name="cattf_1_PMHV_40">Categorienormen!$H$18</definedName>
    <definedName name="cattf_1_PUHB_1">Categorienormen!$H$19</definedName>
    <definedName name="cattf_1_PUHV_40">Categorienormen!$H$20</definedName>
    <definedName name="cattf_1_SHB_1">Categorienormen!$H$23</definedName>
    <definedName name="cattf_1_SHV_40">Categorienormen!$H$24</definedName>
    <definedName name="cattf_1_SHV_42">Categorienormen!$H$25</definedName>
    <definedName name="cattf_1_THB_1">Categorienormen!$H$35</definedName>
    <definedName name="cattf_1_THV_40">Categorienormen!$H$36</definedName>
    <definedName name="cattf_1_VHB_1">Categorienormen!$H$37</definedName>
    <definedName name="cattf_1_VHV_40">Categorienormen!$H$38</definedName>
    <definedName name="cattf_1_VZB_1">Categorienormen!$H$39</definedName>
    <definedName name="cattf_1_VZV_40">Categorienormen!$H$40</definedName>
    <definedName name="dagenperjaar1">Omreken!$B$9</definedName>
    <definedName name="dagenperjaar2">Omreken!$E$9</definedName>
    <definedName name="dagenperjaar3">Omreken!$H$9</definedName>
    <definedName name="dagenperjaar4">Omreken!$K$9</definedName>
    <definedName name="dagenperjaar5">Omreken!$N$9</definedName>
    <definedName name="dagenperweek1">Omreken!$B$10</definedName>
    <definedName name="dagenperweek2">Omreken!$E$10</definedName>
    <definedName name="dagenperweek3">Omreken!$H$10</definedName>
    <definedName name="dagenperweek4">Omreken!$K$10</definedName>
    <definedName name="dagenperweek5">Omreken!$N$10</definedName>
    <definedName name="dagsoorttabel1">Omreken!$A$13:$B$29</definedName>
    <definedName name="dagsoorttabel2">Omreken!$D$13:$E$24</definedName>
    <definedName name="dagsoorttabel3">Omreken!$G$13:$H$24</definedName>
    <definedName name="dagsoorttabel4">Omreken!$J$13:$K$24</definedName>
    <definedName name="dagsoorttabel5">Omreken!$M$13:$N$15</definedName>
    <definedName name="dagwerk10">'Regulier werk'!$H$9</definedName>
    <definedName name="dagwerk11">'Regulier werk'!$H$10</definedName>
    <definedName name="dagwerk12">'Regulier werk'!$H$11</definedName>
    <definedName name="dagwerk13">'Regulier werk'!$H$12</definedName>
    <definedName name="dagwerk14">'Regulier werk'!$H$13</definedName>
    <definedName name="dagwerk15">'Regulier werk'!$H$14</definedName>
    <definedName name="dagwerk16">'Regulier werk'!$H$15</definedName>
    <definedName name="dagwerk17">'Regulier werk'!$H$16</definedName>
    <definedName name="dagwerk18">'Regulier werk'!$H$17</definedName>
    <definedName name="dagwerk19">'Regulier werk'!$H$18</definedName>
    <definedName name="dagwerk20">'Regulier werk'!$H$19</definedName>
    <definedName name="dagwerk21">'Regulier werk'!$H$20</definedName>
    <definedName name="dagwerk22">'Regulier werk'!$H$21</definedName>
    <definedName name="dagwerk23">'Regulier werk'!$H$22</definedName>
    <definedName name="dagwerk24">'Regulier werk'!$H$23</definedName>
    <definedName name="dagwerk25">'Regulier werk'!$H$24</definedName>
    <definedName name="dagwerk26">'Regulier werk'!$H$25</definedName>
    <definedName name="dagwerk27">'Regulier werk'!$H$26</definedName>
    <definedName name="dagwerk28">'Regulier werk'!$H$27</definedName>
    <definedName name="dagwerk4">'Regulier werk'!$H$28</definedName>
    <definedName name="dagwerk5">'Regulier werk'!$H$29</definedName>
    <definedName name="dagwerk6">'Regulier werk'!$H$30</definedName>
    <definedName name="dagwerk7">'Regulier werk'!$H$6</definedName>
    <definedName name="dagwerk8">'Regulier werk'!$H$7</definedName>
    <definedName name="dagwerk9">'Regulier werk'!$H$8</definedName>
    <definedName name="dagwerktabel1">Objectinformatie!$H$5:$H$29</definedName>
    <definedName name="gemuurtarief1">'Regulier werk'!$J$33</definedName>
    <definedName name="kengetaltabel1">Objectinformatie!$G$5:$G$29</definedName>
    <definedName name="object1_gemuurtarief1">'Ruimten werkdag'!$P$230</definedName>
    <definedName name="object1_opptabel1">Objectinformatie!$J$5:$J$29</definedName>
    <definedName name="object1_prijsdag1">'Ruimten werkdag'!$S$230</definedName>
    <definedName name="object1_prijsjaar1">'Ruimten werkdag'!$U$230</definedName>
    <definedName name="object1_urendag1">'Ruimten werkdag'!$Q$230</definedName>
    <definedName name="object1_urendaghf1">'Ruimten werkdag'!$R$230</definedName>
    <definedName name="object1_urenjaar1">'Ruimten werkdag'!$T$230</definedName>
    <definedName name="objectprijs1_1">Objecten!$Q$6</definedName>
    <definedName name="objecturen1_1">Objecten!$P$6</definedName>
    <definedName name="objecturenhf1_1">Objecten!$O$6</definedName>
    <definedName name="prijsdag1">'Regulier werk'!$L$31</definedName>
    <definedName name="prijsjaar">'Regulier werk'!$N$36</definedName>
    <definedName name="prijsjaar1">'Regulier werk'!$N$31</definedName>
    <definedName name="prijsjaarafroep">Afroep!$K$10</definedName>
    <definedName name="prijsjaarafroep1">Afroep!$K$8</definedName>
    <definedName name="prijsjaarglas">Glas!$K$15</definedName>
    <definedName name="prijsjaarglas1">Glas!$K$13</definedName>
    <definedName name="prijsjaartotaal">Objecten!$Q$10</definedName>
    <definedName name="prijsjaartotaal1">Objecten!$Q$7</definedName>
    <definedName name="prijsjaartotaaloverzicht">'Totaalblad Objecten'!$G$6</definedName>
    <definedName name="prijsmaandtotaal1">Objecten!$R$7</definedName>
    <definedName name="prodnorm0">Glas!$H$12</definedName>
    <definedName name="prodnorm1">'Glas per locatie'!$I$6</definedName>
    <definedName name="prodnorm10">'Regulier werk'!$G$9</definedName>
    <definedName name="prodnorm11">'Regulier werk'!$G$10</definedName>
    <definedName name="prodnorm12">'Regulier werk'!$G$11</definedName>
    <definedName name="prodnorm13">'Regulier werk'!$G$12</definedName>
    <definedName name="prodnorm14">'Regulier werk'!$G$13</definedName>
    <definedName name="prodnorm15">'Regulier werk'!$G$14</definedName>
    <definedName name="prodnorm16">'Regulier werk'!$G$15</definedName>
    <definedName name="prodnorm17">'Regulier werk'!$G$16</definedName>
    <definedName name="prodnorm18">'Regulier werk'!$G$17</definedName>
    <definedName name="prodnorm19">'Regulier werk'!$G$18</definedName>
    <definedName name="prodnorm2">'Glas per locatie'!$I$7</definedName>
    <definedName name="prodnorm20">'Regulier werk'!$G$19</definedName>
    <definedName name="prodnorm21">'Regulier werk'!$G$20</definedName>
    <definedName name="prodnorm22">'Regulier werk'!$G$21</definedName>
    <definedName name="prodnorm23">'Regulier werk'!$G$22</definedName>
    <definedName name="prodnorm24">'Regulier werk'!$G$23</definedName>
    <definedName name="prodnorm25">'Regulier werk'!$G$24</definedName>
    <definedName name="prodnorm26">'Regulier werk'!$G$25</definedName>
    <definedName name="prodnorm27">'Regulier werk'!$G$26</definedName>
    <definedName name="prodnorm28">'Regulier werk'!$G$27</definedName>
    <definedName name="prodnorm3">'Glas per locatie'!$I$8</definedName>
    <definedName name="prodnorm4">'Regulier werk'!$G$28</definedName>
    <definedName name="prodnorm5">'Regulier werk'!$G$29</definedName>
    <definedName name="prodnorm6">'Regulier werk'!$G$30</definedName>
    <definedName name="prodnorm7">'Regulier werk'!$G$6</definedName>
    <definedName name="prodnorm8">'Regulier werk'!$G$7</definedName>
    <definedName name="prodnorm9">'Regulier werk'!$G$8</definedName>
    <definedName name="taakfreqtabel1">Objectinformatie!$E$5:$E$29</definedName>
    <definedName name="tabeltype">Omreken!$B$5:$B$5</definedName>
    <definedName name="Tariefopbouw1">Tariefopbouw!$B$53</definedName>
    <definedName name="Tariefopbouw2">Tariefopbouw!$D$53</definedName>
    <definedName name="Tariefopbouw3">Tariefopbouw!$F$53</definedName>
    <definedName name="TariefOpbouwBasisloon1">Tariefopbouw!$B$9</definedName>
    <definedName name="TariefOpbouwBasisloon2">Tariefopbouw!$D$9</definedName>
    <definedName name="TariefOpbouwBasisloon3">Tariefopbouw!$F$9</definedName>
    <definedName name="TariefOpbouwBasisloon4">Tariefopbouw!$H$9</definedName>
    <definedName name="TariefOpbouwBasisloon5">Tariefopbouw!$J$9</definedName>
    <definedName name="TariefOpbouwBasisloon6">Tariefopbouw!$L$9</definedName>
    <definedName name="TariefOpbouwBasisloon7">Tariefopbouw!$N$9</definedName>
    <definedName name="TariefOpbouwBasisloon8">Tariefopbouw!$P$9</definedName>
    <definedName name="TariefOpbouwDirecteKosten1">Tariefopbouw!$B$26</definedName>
    <definedName name="TariefOpbouwDirecteKosten2">Tariefopbouw!$D$26</definedName>
    <definedName name="TariefOpbouwDirecteKosten3">Tariefopbouw!$F$26</definedName>
    <definedName name="TariefOpbouwDirecteKosten4">Tariefopbouw!$H$26</definedName>
    <definedName name="TariefOpbouwDirecteKosten5">Tariefopbouw!$J$26</definedName>
    <definedName name="TariefOpbouwDirecteKosten6">Tariefopbouw!$L$26</definedName>
    <definedName name="TariefOpbouwDirecteKosten7">Tariefopbouw!$N$26</definedName>
    <definedName name="TariefOpbouwDirecteKosten8">Tariefopbouw!$P$26</definedName>
    <definedName name="TariefOpbouwErvaring1">Tariefopbouw!$B$6</definedName>
    <definedName name="TariefOpbouwErvaring2">Tariefopbouw!$D$6</definedName>
    <definedName name="TariefOpbouwErvaring3">Tariefopbouw!$F$6</definedName>
    <definedName name="TariefOpbouwErvaring4">Tariefopbouw!$H$6</definedName>
    <definedName name="TariefOpbouwErvaring5">Tariefopbouw!$J$6</definedName>
    <definedName name="TariefOpbouwErvaring6">Tariefopbouw!$L$6</definedName>
    <definedName name="TariefOpbouwErvaring7">Tariefopbouw!$N$6</definedName>
    <definedName name="TariefOpbouwErvaring8">Tariefopbouw!$P$6</definedName>
    <definedName name="TariefOpbouwIndirecteKosten1">Tariefopbouw!$B$35</definedName>
    <definedName name="TariefOpbouwIndirecteKosten2">Tariefopbouw!$D$35</definedName>
    <definedName name="TariefOpbouwIndirecteKosten3">Tariefopbouw!$F$35</definedName>
    <definedName name="TariefOpbouwIndirecteKosten4">Tariefopbouw!$H$35</definedName>
    <definedName name="TariefOpbouwIndirecteKosten5">Tariefopbouw!$J$35</definedName>
    <definedName name="TariefOpbouwIndirecteKosten6">Tariefopbouw!$L$35</definedName>
    <definedName name="TariefOpbouwIndirecteKosten7">Tariefopbouw!$N$35</definedName>
    <definedName name="TariefOpbouwIndirecteKosten8">Tariefopbouw!$P$35</definedName>
    <definedName name="TariefOpbouwNaam1">Tariefopbouw!$B$5</definedName>
    <definedName name="TariefOpbouwNaam2">Tariefopbouw!$D$5</definedName>
    <definedName name="TariefOpbouwNaam3">Tariefopbouw!$F$5</definedName>
    <definedName name="TariefOpbouwNaam4">Tariefopbouw!$H$5</definedName>
    <definedName name="TariefOpbouwNaam5">Tariefopbouw!$J$5</definedName>
    <definedName name="TariefOpbouwNaam6">Tariefopbouw!$L$5</definedName>
    <definedName name="TariefOpbouwNaam7">Tariefopbouw!$N$5</definedName>
    <definedName name="TariefOpbouwNaam8">Tariefopbouw!$P$5</definedName>
    <definedName name="TariefOpbouwRisicoWinst1">Tariefopbouw!$C$37</definedName>
    <definedName name="TariefOpbouwRisicoWinst2">Tariefopbouw!$E$37</definedName>
    <definedName name="TariefOpbouwRisicoWinst3">Tariefopbouw!$G$37</definedName>
    <definedName name="TariefOpbouwRisicoWinst4">Tariefopbouw!$I$37</definedName>
    <definedName name="TariefOpbouwRisicoWinst5">Tariefopbouw!$K$37</definedName>
    <definedName name="TariefOpbouwRisicoWinst6">Tariefopbouw!$M$37</definedName>
    <definedName name="TariefOpbouwRisicoWinst7">Tariefopbouw!$O$37</definedName>
    <definedName name="TariefOpbouwRisicoWinst8">Tariefopbouw!$Q$37</definedName>
    <definedName name="TariefOpbouwRisicoWinstPercentage1">Tariefopbouw!$B$37</definedName>
    <definedName name="TariefOpbouwRisicoWinstPercentage2">Tariefopbouw!$D$37</definedName>
    <definedName name="TariefOpbouwRisicoWinstPercentage3">Tariefopbouw!$F$37</definedName>
    <definedName name="TariefOpbouwRisicoWinstPercentage4">Tariefopbouw!$H$37</definedName>
    <definedName name="TariefOpbouwRisicoWinstPercentage5">Tariefopbouw!$J$37</definedName>
    <definedName name="TariefOpbouwRisicoWinstPercentage6">Tariefopbouw!$L$37</definedName>
    <definedName name="TariefOpbouwRisicoWinstPercentage7">Tariefopbouw!$N$37</definedName>
    <definedName name="TariefOpbouwRisicoWinstPercentage8">Tariefopbouw!$P$37</definedName>
    <definedName name="TariefOpbouwTarief1">Tariefopbouw!$B$39</definedName>
    <definedName name="TariefOpbouwTarief1DN">Tariefopbouw!$C$41</definedName>
    <definedName name="TariefOpbouwTarief1W">Tariefopbouw!$C$42</definedName>
    <definedName name="TariefOpbouwTarief1X">Tariefopbouw!$C$43</definedName>
    <definedName name="TariefOpbouwTarief2">Tariefopbouw!$D$39</definedName>
    <definedName name="TariefOpbouwTarief2DN">Tariefopbouw!$E$41</definedName>
    <definedName name="TariefOpbouwTarief2W">Tariefopbouw!$E$42</definedName>
    <definedName name="TariefOpbouwTarief2X">Tariefopbouw!$E$43</definedName>
    <definedName name="TariefOpbouwTarief3">Tariefopbouw!$F$39</definedName>
    <definedName name="TariefOpbouwTarief3DN">Tariefopbouw!$G$41</definedName>
    <definedName name="TariefOpbouwTarief3W">Tariefopbouw!$G$42</definedName>
    <definedName name="TariefOpbouwTarief3X">Tariefopbouw!$G$43</definedName>
    <definedName name="TariefOpbouwTarief4">Tariefopbouw!$H$39</definedName>
    <definedName name="TariefOpbouwTarief4DN">Tariefopbouw!$I$41</definedName>
    <definedName name="TariefOpbouwTarief4W">Tariefopbouw!$I$42</definedName>
    <definedName name="TariefOpbouwTarief4X">Tariefopbouw!$I$43</definedName>
    <definedName name="TariefOpbouwTarief5">Tariefopbouw!$J$39</definedName>
    <definedName name="TariefOpbouwTarief5DN">Tariefopbouw!$K$41</definedName>
    <definedName name="TariefOpbouwTarief5W">Tariefopbouw!$K$42</definedName>
    <definedName name="TariefOpbouwTarief5X">Tariefopbouw!$K$43</definedName>
    <definedName name="TariefOpbouwTarief6">Tariefopbouw!$L$39</definedName>
    <definedName name="TariefOpbouwTarief6DN">Tariefopbouw!$M$41</definedName>
    <definedName name="TariefOpbouwTarief6W">Tariefopbouw!$M$42</definedName>
    <definedName name="TariefOpbouwTarief6X">Tariefopbouw!$M$43</definedName>
    <definedName name="TariefOpbouwTarief7">Tariefopbouw!$N$39</definedName>
    <definedName name="TariefOpbouwTarief7DN">Tariefopbouw!$O$41</definedName>
    <definedName name="TariefOpbouwTarief7W">Tariefopbouw!$O$42</definedName>
    <definedName name="TariefOpbouwTarief7X">Tariefopbouw!$O$43</definedName>
    <definedName name="TariefOpbouwTarief8">Tariefopbouw!$P$39</definedName>
    <definedName name="TariefOpbouwTarief8DN">Tariefopbouw!$Q$41</definedName>
    <definedName name="TariefOpbouwTarief8W">Tariefopbouw!$Q$42</definedName>
    <definedName name="TariefOpbouwTarief8X">Tariefopbouw!$Q$43</definedName>
    <definedName name="TariefOpbouwTotaalLoonkosten1">Tariefopbouw!$B$19</definedName>
    <definedName name="TariefOpbouwTotaalLoonkosten2">Tariefopbouw!$D$19</definedName>
    <definedName name="TariefOpbouwTotaalLoonkosten3">Tariefopbouw!$F$19</definedName>
    <definedName name="TariefOpbouwTotaalLoonkosten4">Tariefopbouw!$H$19</definedName>
    <definedName name="TariefOpbouwTotaalLoonkosten5">Tariefopbouw!$J$19</definedName>
    <definedName name="TariefOpbouwTotaalLoonkosten6">Tariefopbouw!$L$19</definedName>
    <definedName name="TariefOpbouwTotaalLoonkosten7">Tariefopbouw!$N$19</definedName>
    <definedName name="TariefOpbouwTotaalLoonkosten8">Tariefopbouw!$P$19</definedName>
    <definedName name="TariefOpbouwUurloon1">Tariefopbouw!$B$12</definedName>
    <definedName name="TariefOpbouwUurloon2">Tariefopbouw!$D$12</definedName>
    <definedName name="TariefOpbouwUurloon3">Tariefopbouw!$F$12</definedName>
    <definedName name="TariefOpbouwUurloon4">Tariefopbouw!$H$12</definedName>
    <definedName name="TariefOpbouwUurloon5">Tariefopbouw!$J$12</definedName>
    <definedName name="TariefOpbouwUurloon6">Tariefopbouw!$L$12</definedName>
    <definedName name="TariefOpbouwUurloon7">Tariefopbouw!$N$12</definedName>
    <definedName name="TariefOpbouwUurloon8">Tariefopbouw!$P$12</definedName>
    <definedName name="TariefOpbouwUurloonkosten1">Tariefopbouw!$B$14</definedName>
    <definedName name="TariefOpbouwUurloonkosten2">Tariefopbouw!$D$14</definedName>
    <definedName name="TariefOpbouwUurloonkosten3">Tariefopbouw!$F$14</definedName>
    <definedName name="TariefOpbouwUurloonkosten4">Tariefopbouw!$H$14</definedName>
    <definedName name="TariefOpbouwUurloonkosten5">Tariefopbouw!$J$14</definedName>
    <definedName name="TariefOpbouwUurloonkosten6">Tariefopbouw!$L$14</definedName>
    <definedName name="TariefOpbouwUurloonkosten7">Tariefopbouw!$N$14</definedName>
    <definedName name="TariefOpbouwUurloonkosten8">Tariefopbouw!$P$14</definedName>
    <definedName name="tarieftabel1">Objectinformatie!$I$5:$I$29</definedName>
    <definedName name="TariefUitvoering1">Tariefopbouw!$C$50</definedName>
    <definedName name="TariefUitvoering2">Tariefopbouw!$E$50</definedName>
    <definedName name="TariefUitvoering3">Tariefopbouw!$G$50</definedName>
    <definedName name="urendag1">'Regulier werk'!$K$31</definedName>
    <definedName name="urenjaar">'Regulier werk'!$M$36</definedName>
    <definedName name="urenjaar1">'Regulier werk'!$M$31</definedName>
    <definedName name="urenjaartotaal">Objecten!$P$10</definedName>
    <definedName name="urenjaartotaal1">Objecten!$P$7</definedName>
    <definedName name="urenjaartotaalhf">Objecten!$O$10</definedName>
    <definedName name="urenjaartotaalhf1">Objecten!$O$7</definedName>
    <definedName name="urenjaartotaaloverzicht">'Totaalblad Objecten'!$F$6</definedName>
    <definedName name="urenjaartotaaloverzichthf">'Totaalblad Objecten'!$E$6</definedName>
    <definedName name="uurfactortabel1">Objectinformatie!$F$5:$F$29</definedName>
    <definedName name="uurtarief0">Glas!$I$12</definedName>
    <definedName name="uurtarief1">'Glas per locatie'!$J$6</definedName>
    <definedName name="uurtarief10">'Regulier werk'!$J$9</definedName>
    <definedName name="uurtarief11">'Regulier werk'!$J$10</definedName>
    <definedName name="uurtarief12">'Regulier werk'!$J$11</definedName>
    <definedName name="uurtarief13">'Regulier werk'!$J$12</definedName>
    <definedName name="uurtarief14">'Regulier werk'!$J$13</definedName>
    <definedName name="uurtarief15">'Regulier werk'!$J$14</definedName>
    <definedName name="uurtarief16">'Regulier werk'!$J$15</definedName>
    <definedName name="uurtarief17">'Regulier werk'!$J$16</definedName>
    <definedName name="uurtarief18">'Regulier werk'!$J$17</definedName>
    <definedName name="uurtarief19">'Regulier werk'!$J$18</definedName>
    <definedName name="uurtarief2">'Glas per locatie'!$J$7</definedName>
    <definedName name="uurtarief20">'Regulier werk'!$J$19</definedName>
    <definedName name="uurtarief21">'Regulier werk'!$J$20</definedName>
    <definedName name="uurtarief22">'Regulier werk'!$J$21</definedName>
    <definedName name="uurtarief23">'Regulier werk'!$J$22</definedName>
    <definedName name="uurtarief24">'Regulier werk'!$J$23</definedName>
    <definedName name="uurtarief25">'Regulier werk'!$J$24</definedName>
    <definedName name="uurtarief26">'Regulier werk'!$J$25</definedName>
    <definedName name="uurtarief27">'Regulier werk'!$J$26</definedName>
    <definedName name="uurtarief28">'Regulier werk'!$J$27</definedName>
    <definedName name="uurtarief3">'Glas per locatie'!$J$8</definedName>
    <definedName name="uurtarief4">'Regulier werk'!$J$28</definedName>
    <definedName name="uurtarief5">'Regulier werk'!$J$29</definedName>
    <definedName name="uurtarief6">'Regulier werk'!$J$30</definedName>
    <definedName name="uurtarief7">'Regulier werk'!$J$6</definedName>
    <definedName name="uurtarief8">'Regulier werk'!$J$7</definedName>
    <definedName name="uurtarief9">'Regulier werk'!$J$8</definedName>
    <definedName name="vu_variant">Totaal!$B$8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3" l="1"/>
  <c r="E17" i="13"/>
  <c r="A1" i="13"/>
  <c r="J8" i="12"/>
  <c r="K8" i="12" s="1"/>
  <c r="H8" i="12"/>
  <c r="J7" i="12"/>
  <c r="K7" i="12" s="1"/>
  <c r="H7" i="12"/>
  <c r="J6" i="12"/>
  <c r="K6" i="12" s="1"/>
  <c r="K9" i="12" s="1"/>
  <c r="H6" i="12"/>
  <c r="A1" i="12"/>
  <c r="J12" i="11"/>
  <c r="J11" i="11"/>
  <c r="J10" i="11"/>
  <c r="J9" i="11"/>
  <c r="J8" i="11"/>
  <c r="J7" i="11"/>
  <c r="J6" i="11"/>
  <c r="A1" i="11"/>
  <c r="A1" i="10"/>
  <c r="I7" i="9"/>
  <c r="J7" i="9" s="1"/>
  <c r="I6" i="9"/>
  <c r="J6" i="9" s="1"/>
  <c r="A1" i="9"/>
  <c r="A1" i="8"/>
  <c r="A1" i="7"/>
  <c r="I29" i="6"/>
  <c r="H29" i="6"/>
  <c r="G29" i="6"/>
  <c r="I28" i="6"/>
  <c r="H28" i="6"/>
  <c r="I27" i="6"/>
  <c r="H27" i="6"/>
  <c r="P229" i="5"/>
  <c r="P228" i="5"/>
  <c r="P226" i="5"/>
  <c r="N226" i="5"/>
  <c r="M226" i="5"/>
  <c r="P222" i="5"/>
  <c r="N222" i="5"/>
  <c r="M222" i="5"/>
  <c r="P220" i="5"/>
  <c r="N220" i="5"/>
  <c r="M220" i="5"/>
  <c r="P213" i="5"/>
  <c r="N213" i="5"/>
  <c r="M213" i="5"/>
  <c r="P211" i="5"/>
  <c r="N211" i="5"/>
  <c r="M211" i="5"/>
  <c r="P209" i="5"/>
  <c r="N209" i="5"/>
  <c r="M209" i="5"/>
  <c r="P207" i="5"/>
  <c r="N207" i="5"/>
  <c r="M207" i="5"/>
  <c r="P205" i="5"/>
  <c r="N205" i="5"/>
  <c r="M205" i="5"/>
  <c r="P203" i="5"/>
  <c r="N203" i="5"/>
  <c r="M203" i="5"/>
  <c r="P201" i="5"/>
  <c r="N201" i="5"/>
  <c r="M201" i="5"/>
  <c r="P199" i="5"/>
  <c r="N199" i="5"/>
  <c r="M199" i="5"/>
  <c r="P197" i="5"/>
  <c r="N197" i="5"/>
  <c r="M197" i="5"/>
  <c r="P195" i="5"/>
  <c r="N195" i="5"/>
  <c r="M195" i="5"/>
  <c r="P193" i="5"/>
  <c r="N193" i="5"/>
  <c r="M193" i="5"/>
  <c r="P191" i="5"/>
  <c r="N191" i="5"/>
  <c r="M191" i="5"/>
  <c r="P189" i="5"/>
  <c r="N189" i="5"/>
  <c r="M189" i="5"/>
  <c r="P187" i="5"/>
  <c r="N187" i="5"/>
  <c r="M187" i="5"/>
  <c r="P185" i="5"/>
  <c r="N185" i="5"/>
  <c r="M185" i="5"/>
  <c r="P183" i="5"/>
  <c r="N183" i="5"/>
  <c r="M183" i="5"/>
  <c r="P181" i="5"/>
  <c r="N181" i="5"/>
  <c r="M181" i="5"/>
  <c r="P179" i="5"/>
  <c r="N179" i="5"/>
  <c r="M179" i="5"/>
  <c r="P170" i="5"/>
  <c r="N170" i="5"/>
  <c r="M170" i="5"/>
  <c r="P168" i="5"/>
  <c r="N168" i="5"/>
  <c r="M168" i="5"/>
  <c r="P166" i="5"/>
  <c r="N166" i="5"/>
  <c r="M166" i="5"/>
  <c r="P164" i="5"/>
  <c r="N164" i="5"/>
  <c r="M164" i="5"/>
  <c r="P161" i="5"/>
  <c r="N161" i="5"/>
  <c r="M161" i="5"/>
  <c r="P160" i="5"/>
  <c r="N160" i="5"/>
  <c r="M160" i="5"/>
  <c r="P151" i="5"/>
  <c r="N151" i="5"/>
  <c r="M151" i="5"/>
  <c r="P149" i="5"/>
  <c r="N149" i="5"/>
  <c r="M149" i="5"/>
  <c r="P147" i="5"/>
  <c r="N147" i="5"/>
  <c r="M147" i="5"/>
  <c r="P144" i="5"/>
  <c r="N144" i="5"/>
  <c r="M144" i="5"/>
  <c r="P142" i="5"/>
  <c r="N142" i="5"/>
  <c r="M142" i="5"/>
  <c r="P140" i="5"/>
  <c r="N140" i="5"/>
  <c r="M140" i="5"/>
  <c r="P138" i="5"/>
  <c r="N138" i="5"/>
  <c r="M138" i="5"/>
  <c r="P136" i="5"/>
  <c r="N136" i="5"/>
  <c r="M136" i="5"/>
  <c r="P134" i="5"/>
  <c r="N134" i="5"/>
  <c r="M134" i="5"/>
  <c r="P132" i="5"/>
  <c r="N132" i="5"/>
  <c r="M132" i="5"/>
  <c r="P130" i="5"/>
  <c r="N130" i="5"/>
  <c r="M130" i="5"/>
  <c r="P128" i="5"/>
  <c r="N128" i="5"/>
  <c r="M128" i="5"/>
  <c r="P126" i="5"/>
  <c r="N126" i="5"/>
  <c r="M126" i="5"/>
  <c r="P124" i="5"/>
  <c r="N124" i="5"/>
  <c r="M124" i="5"/>
  <c r="P122" i="5"/>
  <c r="N122" i="5"/>
  <c r="M122" i="5"/>
  <c r="P120" i="5"/>
  <c r="N120" i="5"/>
  <c r="M120" i="5"/>
  <c r="P110" i="5"/>
  <c r="N110" i="5"/>
  <c r="M110" i="5"/>
  <c r="P108" i="5"/>
  <c r="N108" i="5"/>
  <c r="M108" i="5"/>
  <c r="P106" i="5"/>
  <c r="N106" i="5"/>
  <c r="M106" i="5"/>
  <c r="P104" i="5"/>
  <c r="N104" i="5"/>
  <c r="M104" i="5"/>
  <c r="P102" i="5"/>
  <c r="N102" i="5"/>
  <c r="M102" i="5"/>
  <c r="P99" i="5"/>
  <c r="N99" i="5"/>
  <c r="M99" i="5"/>
  <c r="P97" i="5"/>
  <c r="N97" i="5"/>
  <c r="M97" i="5"/>
  <c r="P95" i="5"/>
  <c r="N95" i="5"/>
  <c r="M95" i="5"/>
  <c r="P82" i="5"/>
  <c r="N82" i="5"/>
  <c r="M82" i="5"/>
  <c r="P77" i="5"/>
  <c r="N77" i="5"/>
  <c r="M77" i="5"/>
  <c r="P75" i="5"/>
  <c r="N75" i="5"/>
  <c r="M75" i="5"/>
  <c r="P73" i="5"/>
  <c r="N73" i="5"/>
  <c r="M73" i="5"/>
  <c r="P72" i="5"/>
  <c r="N72" i="5"/>
  <c r="M72" i="5"/>
  <c r="P69" i="5"/>
  <c r="N69" i="5"/>
  <c r="M69" i="5"/>
  <c r="P63" i="5"/>
  <c r="N63" i="5"/>
  <c r="M63" i="5"/>
  <c r="P61" i="5"/>
  <c r="N61" i="5"/>
  <c r="M61" i="5"/>
  <c r="P59" i="5"/>
  <c r="N59" i="5"/>
  <c r="M59" i="5"/>
  <c r="P57" i="5"/>
  <c r="N57" i="5"/>
  <c r="M57" i="5"/>
  <c r="P55" i="5"/>
  <c r="N55" i="5"/>
  <c r="M55" i="5"/>
  <c r="P53" i="5"/>
  <c r="N53" i="5"/>
  <c r="M53" i="5"/>
  <c r="P50" i="5"/>
  <c r="N50" i="5"/>
  <c r="M50" i="5"/>
  <c r="P48" i="5"/>
  <c r="N48" i="5"/>
  <c r="M48" i="5"/>
  <c r="P46" i="5"/>
  <c r="N46" i="5"/>
  <c r="M46" i="5"/>
  <c r="P28" i="5"/>
  <c r="N28" i="5"/>
  <c r="M28" i="5"/>
  <c r="P26" i="5"/>
  <c r="N26" i="5"/>
  <c r="M26" i="5"/>
  <c r="P19" i="5"/>
  <c r="N19" i="5"/>
  <c r="M19" i="5"/>
  <c r="P16" i="5"/>
  <c r="N16" i="5"/>
  <c r="M16" i="5"/>
  <c r="P14" i="5"/>
  <c r="N14" i="5"/>
  <c r="M14" i="5"/>
  <c r="P12" i="5"/>
  <c r="N12" i="5"/>
  <c r="M12" i="5"/>
  <c r="P10" i="5"/>
  <c r="N10" i="5"/>
  <c r="M10" i="5"/>
  <c r="P8" i="5"/>
  <c r="N8" i="5"/>
  <c r="M8" i="5"/>
  <c r="P5" i="5"/>
  <c r="N5" i="5"/>
  <c r="M5" i="5"/>
  <c r="A1" i="5"/>
  <c r="K30" i="4"/>
  <c r="J27" i="4"/>
  <c r="H27" i="4"/>
  <c r="G27" i="4"/>
  <c r="J26" i="4"/>
  <c r="H26" i="4"/>
  <c r="G26" i="4"/>
  <c r="J25" i="4"/>
  <c r="H25" i="4"/>
  <c r="G25" i="4"/>
  <c r="J24" i="4"/>
  <c r="H24" i="4"/>
  <c r="G24" i="4"/>
  <c r="J23" i="4"/>
  <c r="H23" i="4"/>
  <c r="G23" i="4"/>
  <c r="J22" i="4"/>
  <c r="H22" i="4"/>
  <c r="G22" i="4"/>
  <c r="J21" i="4"/>
  <c r="H21" i="4"/>
  <c r="G21" i="4"/>
  <c r="J20" i="4"/>
  <c r="H20" i="4"/>
  <c r="G20" i="4"/>
  <c r="J19" i="4"/>
  <c r="H19" i="4"/>
  <c r="G19" i="4"/>
  <c r="J18" i="4"/>
  <c r="H18" i="4"/>
  <c r="G18" i="4"/>
  <c r="J17" i="4"/>
  <c r="H17" i="4"/>
  <c r="G17" i="4"/>
  <c r="J16" i="4"/>
  <c r="H16" i="4"/>
  <c r="G16" i="4"/>
  <c r="J15" i="4"/>
  <c r="H15" i="4"/>
  <c r="G15" i="4"/>
  <c r="J14" i="4"/>
  <c r="H14" i="4"/>
  <c r="G14" i="4"/>
  <c r="J13" i="4"/>
  <c r="H13" i="4"/>
  <c r="G13" i="4"/>
  <c r="J12" i="4"/>
  <c r="H12" i="4"/>
  <c r="G12" i="4"/>
  <c r="J11" i="4"/>
  <c r="H11" i="4"/>
  <c r="G11" i="4"/>
  <c r="J10" i="4"/>
  <c r="H10" i="4"/>
  <c r="G10" i="4"/>
  <c r="J9" i="4"/>
  <c r="H9" i="4"/>
  <c r="G9" i="4"/>
  <c r="J8" i="4"/>
  <c r="H8" i="4"/>
  <c r="G8" i="4"/>
  <c r="J7" i="4"/>
  <c r="H7" i="4"/>
  <c r="G7" i="4"/>
  <c r="J6" i="4"/>
  <c r="H6" i="4"/>
  <c r="G6" i="4"/>
  <c r="A1" i="4"/>
  <c r="A1" i="3"/>
  <c r="A60" i="2"/>
  <c r="A58" i="2"/>
  <c r="A57" i="2"/>
  <c r="A52" i="2"/>
  <c r="A51" i="2"/>
  <c r="F50" i="2"/>
  <c r="D50" i="2"/>
  <c r="B50" i="2"/>
  <c r="A49" i="2"/>
  <c r="A48" i="2"/>
  <c r="A47" i="2"/>
  <c r="P9" i="2"/>
  <c r="N9" i="2"/>
  <c r="L9" i="2"/>
  <c r="J9" i="2"/>
  <c r="H9" i="2"/>
  <c r="F9" i="2"/>
  <c r="D9" i="2"/>
  <c r="B9" i="2"/>
  <c r="N15" i="1"/>
  <c r="N14" i="1"/>
  <c r="N13" i="1"/>
  <c r="K24" i="1"/>
  <c r="K23" i="1"/>
  <c r="K22" i="1"/>
  <c r="K21" i="1"/>
  <c r="K20" i="1"/>
  <c r="K19" i="1"/>
  <c r="K18" i="1"/>
  <c r="K17" i="1"/>
  <c r="K16" i="1"/>
  <c r="K15" i="1"/>
  <c r="K14" i="1"/>
  <c r="K13" i="1"/>
  <c r="H24" i="1"/>
  <c r="H23" i="1"/>
  <c r="H22" i="1"/>
  <c r="H21" i="1"/>
  <c r="H20" i="1"/>
  <c r="H19" i="1"/>
  <c r="H18" i="1"/>
  <c r="H17" i="1"/>
  <c r="H16" i="1"/>
  <c r="H15" i="1"/>
  <c r="H14" i="1"/>
  <c r="H13" i="1"/>
  <c r="E24" i="1"/>
  <c r="E23" i="1"/>
  <c r="E22" i="1"/>
  <c r="E21" i="1"/>
  <c r="E20" i="1"/>
  <c r="E19" i="1"/>
  <c r="E18" i="1"/>
  <c r="E17" i="1"/>
  <c r="E16" i="1"/>
  <c r="E15" i="1"/>
  <c r="E14" i="1"/>
  <c r="E13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E23" i="6" l="1"/>
  <c r="E6" i="6"/>
  <c r="L175" i="5"/>
  <c r="L173" i="5"/>
  <c r="L35" i="5"/>
  <c r="F24" i="4"/>
  <c r="F7" i="4"/>
  <c r="E21" i="6"/>
  <c r="E11" i="6"/>
  <c r="L176" i="5"/>
  <c r="L174" i="5"/>
  <c r="L172" i="5"/>
  <c r="L21" i="5"/>
  <c r="F22" i="4"/>
  <c r="F12" i="4"/>
  <c r="E26" i="6"/>
  <c r="E25" i="6"/>
  <c r="E24" i="6"/>
  <c r="E22" i="6"/>
  <c r="E20" i="6"/>
  <c r="E17" i="6"/>
  <c r="E16" i="6"/>
  <c r="E15" i="6"/>
  <c r="E12" i="6"/>
  <c r="E10" i="6"/>
  <c r="E9" i="6"/>
  <c r="E5" i="6"/>
  <c r="L225" i="5"/>
  <c r="L224" i="5"/>
  <c r="L219" i="5"/>
  <c r="L218" i="5"/>
  <c r="L217" i="5"/>
  <c r="L216" i="5"/>
  <c r="L215" i="5"/>
  <c r="L178" i="5"/>
  <c r="L177" i="5"/>
  <c r="L163" i="5"/>
  <c r="L162" i="5"/>
  <c r="L158" i="5"/>
  <c r="L157" i="5"/>
  <c r="L156" i="5"/>
  <c r="L153" i="5"/>
  <c r="L146" i="5"/>
  <c r="L117" i="5"/>
  <c r="L116" i="5"/>
  <c r="L115" i="5"/>
  <c r="L114" i="5"/>
  <c r="L113" i="5"/>
  <c r="L112" i="5"/>
  <c r="L101" i="5"/>
  <c r="L94" i="5"/>
  <c r="L93" i="5"/>
  <c r="L92" i="5"/>
  <c r="L91" i="5"/>
  <c r="L90" i="5"/>
  <c r="L89" i="5"/>
  <c r="L88" i="5"/>
  <c r="L87" i="5"/>
  <c r="L86" i="5"/>
  <c r="L85" i="5"/>
  <c r="L84" i="5"/>
  <c r="L81" i="5"/>
  <c r="L80" i="5"/>
  <c r="L79" i="5"/>
  <c r="L71" i="5"/>
  <c r="L68" i="5"/>
  <c r="L67" i="5"/>
  <c r="L66" i="5"/>
  <c r="L65" i="5"/>
  <c r="L52" i="5"/>
  <c r="L45" i="5"/>
  <c r="L44" i="5"/>
  <c r="L43" i="5"/>
  <c r="L42" i="5"/>
  <c r="L41" i="5"/>
  <c r="L40" i="5"/>
  <c r="L39" i="5"/>
  <c r="L38" i="5"/>
  <c r="L37" i="5"/>
  <c r="L36" i="5"/>
  <c r="L34" i="5"/>
  <c r="L33" i="5"/>
  <c r="L32" i="5"/>
  <c r="L31" i="5"/>
  <c r="L30" i="5"/>
  <c r="L25" i="5"/>
  <c r="L24" i="5"/>
  <c r="L23" i="5"/>
  <c r="L22" i="5"/>
  <c r="L18" i="5"/>
  <c r="L7" i="5"/>
  <c r="F27" i="4"/>
  <c r="F26" i="4"/>
  <c r="F25" i="4"/>
  <c r="F23" i="4"/>
  <c r="F21" i="4"/>
  <c r="F18" i="4"/>
  <c r="F17" i="4"/>
  <c r="F16" i="4"/>
  <c r="F13" i="4"/>
  <c r="F11" i="4"/>
  <c r="F10" i="4"/>
  <c r="F6" i="4"/>
  <c r="E29" i="6"/>
  <c r="E19" i="6"/>
  <c r="E18" i="6"/>
  <c r="E14" i="6"/>
  <c r="E13" i="6"/>
  <c r="E8" i="6"/>
  <c r="E7" i="6"/>
  <c r="L227" i="5"/>
  <c r="L226" i="5"/>
  <c r="L223" i="5"/>
  <c r="L222" i="5"/>
  <c r="L221" i="5"/>
  <c r="L220" i="5"/>
  <c r="L214" i="5"/>
  <c r="L213" i="5"/>
  <c r="L212" i="5"/>
  <c r="L211" i="5"/>
  <c r="L210" i="5"/>
  <c r="L209" i="5"/>
  <c r="L208" i="5"/>
  <c r="L207" i="5"/>
  <c r="L206" i="5"/>
  <c r="L205" i="5"/>
  <c r="L204" i="5"/>
  <c r="L203" i="5"/>
  <c r="L202" i="5"/>
  <c r="L201" i="5"/>
  <c r="L200" i="5"/>
  <c r="L199" i="5"/>
  <c r="L198" i="5"/>
  <c r="L197" i="5"/>
  <c r="L196" i="5"/>
  <c r="L195" i="5"/>
  <c r="L194" i="5"/>
  <c r="L193" i="5"/>
  <c r="L192" i="5"/>
  <c r="L191" i="5"/>
  <c r="L190" i="5"/>
  <c r="L189" i="5"/>
  <c r="L188" i="5"/>
  <c r="L187" i="5"/>
  <c r="L186" i="5"/>
  <c r="L185" i="5"/>
  <c r="L184" i="5"/>
  <c r="L183" i="5"/>
  <c r="L182" i="5"/>
  <c r="L181" i="5"/>
  <c r="L180" i="5"/>
  <c r="L179" i="5"/>
  <c r="L171" i="5"/>
  <c r="L170" i="5"/>
  <c r="L169" i="5"/>
  <c r="L168" i="5"/>
  <c r="L167" i="5"/>
  <c r="L166" i="5"/>
  <c r="L165" i="5"/>
  <c r="L164" i="5"/>
  <c r="L161" i="5"/>
  <c r="L160" i="5"/>
  <c r="L159" i="5"/>
  <c r="L155" i="5"/>
  <c r="L152" i="5"/>
  <c r="L151" i="5"/>
  <c r="L150" i="5"/>
  <c r="L149" i="5"/>
  <c r="L148" i="5"/>
  <c r="L147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1" i="5"/>
  <c r="L110" i="5"/>
  <c r="L109" i="5"/>
  <c r="L108" i="5"/>
  <c r="L107" i="5"/>
  <c r="L106" i="5"/>
  <c r="L105" i="5"/>
  <c r="L104" i="5"/>
  <c r="L103" i="5"/>
  <c r="L102" i="5"/>
  <c r="L100" i="5"/>
  <c r="L99" i="5"/>
  <c r="L98" i="5"/>
  <c r="L97" i="5"/>
  <c r="L96" i="5"/>
  <c r="L95" i="5"/>
  <c r="L83" i="5"/>
  <c r="L82" i="5"/>
  <c r="L78" i="5"/>
  <c r="L77" i="5"/>
  <c r="L76" i="5"/>
  <c r="L75" i="5"/>
  <c r="L74" i="5"/>
  <c r="L73" i="5"/>
  <c r="L72" i="5"/>
  <c r="L70" i="5"/>
  <c r="L69" i="5"/>
  <c r="L64" i="5"/>
  <c r="L63" i="5"/>
  <c r="L62" i="5"/>
  <c r="L61" i="5"/>
  <c r="L60" i="5"/>
  <c r="L59" i="5"/>
  <c r="L58" i="5"/>
  <c r="L57" i="5"/>
  <c r="L56" i="5"/>
  <c r="L55" i="5"/>
  <c r="L54" i="5"/>
  <c r="L53" i="5"/>
  <c r="L51" i="5"/>
  <c r="L50" i="5"/>
  <c r="L49" i="5"/>
  <c r="L48" i="5"/>
  <c r="L47" i="5"/>
  <c r="L46" i="5"/>
  <c r="L29" i="5"/>
  <c r="L28" i="5"/>
  <c r="L27" i="5"/>
  <c r="L26" i="5"/>
  <c r="L20" i="5"/>
  <c r="L19" i="5"/>
  <c r="L17" i="5"/>
  <c r="L16" i="5"/>
  <c r="L15" i="5"/>
  <c r="L14" i="5"/>
  <c r="L13" i="5"/>
  <c r="L12" i="5"/>
  <c r="L11" i="5"/>
  <c r="L10" i="5"/>
  <c r="L9" i="5"/>
  <c r="L8" i="5"/>
  <c r="L6" i="5"/>
  <c r="L5" i="5"/>
  <c r="F30" i="4"/>
  <c r="F20" i="4"/>
  <c r="F19" i="4"/>
  <c r="F15" i="4"/>
  <c r="F14" i="4"/>
  <c r="F9" i="4"/>
  <c r="F8" i="4"/>
  <c r="C7" i="9"/>
  <c r="K7" i="9" s="1"/>
  <c r="L7" i="9" s="1"/>
  <c r="C6" i="9"/>
  <c r="K6" i="9" s="1"/>
  <c r="C8" i="12"/>
  <c r="L8" i="12" s="1"/>
  <c r="M8" i="12" s="1"/>
  <c r="C7" i="12"/>
  <c r="L7" i="12" s="1"/>
  <c r="M7" i="12" s="1"/>
  <c r="C6" i="12"/>
  <c r="L6" i="12" s="1"/>
  <c r="C12" i="11"/>
  <c r="K12" i="11" s="1"/>
  <c r="L12" i="11" s="1"/>
  <c r="C11" i="11"/>
  <c r="K11" i="11" s="1"/>
  <c r="L11" i="11" s="1"/>
  <c r="C10" i="11"/>
  <c r="K10" i="11" s="1"/>
  <c r="L10" i="11" s="1"/>
  <c r="C9" i="11"/>
  <c r="K9" i="11" s="1"/>
  <c r="L9" i="11" s="1"/>
  <c r="C8" i="11"/>
  <c r="K8" i="11" s="1"/>
  <c r="L8" i="11" s="1"/>
  <c r="C7" i="11"/>
  <c r="K7" i="11" s="1"/>
  <c r="L7" i="11" s="1"/>
  <c r="C6" i="11"/>
  <c r="K6" i="11" s="1"/>
  <c r="E28" i="6"/>
  <c r="E27" i="6"/>
  <c r="L229" i="5"/>
  <c r="L228" i="5"/>
  <c r="L154" i="5"/>
  <c r="S154" i="5" s="1"/>
  <c r="U154" i="5" s="1"/>
  <c r="L118" i="5"/>
  <c r="S118" i="5" s="1"/>
  <c r="U118" i="5" s="1"/>
  <c r="F29" i="4"/>
  <c r="L29" i="4" s="1"/>
  <c r="N29" i="4" s="1"/>
  <c r="F28" i="4"/>
  <c r="L28" i="4" s="1"/>
  <c r="N28" i="4" s="1"/>
  <c r="C11" i="2"/>
  <c r="C10" i="2"/>
  <c r="B12" i="2" s="1"/>
  <c r="E11" i="2"/>
  <c r="E10" i="2"/>
  <c r="D12" i="2" s="1"/>
  <c r="G11" i="2"/>
  <c r="G10" i="2"/>
  <c r="F12" i="2" s="1"/>
  <c r="I11" i="2"/>
  <c r="I10" i="2"/>
  <c r="H12" i="2" s="1"/>
  <c r="K11" i="2"/>
  <c r="K10" i="2"/>
  <c r="J12" i="2" s="1"/>
  <c r="M11" i="2"/>
  <c r="M10" i="2"/>
  <c r="L12" i="2" s="1"/>
  <c r="O11" i="2"/>
  <c r="O10" i="2"/>
  <c r="N12" i="2" s="1"/>
  <c r="Q11" i="2"/>
  <c r="Q10" i="2"/>
  <c r="P12" i="2" s="1"/>
  <c r="G5" i="6"/>
  <c r="M94" i="5"/>
  <c r="M93" i="5"/>
  <c r="M92" i="5"/>
  <c r="M91" i="5"/>
  <c r="M90" i="5"/>
  <c r="M34" i="5"/>
  <c r="K6" i="4"/>
  <c r="H5" i="6"/>
  <c r="N94" i="5"/>
  <c r="N93" i="5"/>
  <c r="N92" i="5"/>
  <c r="N91" i="5"/>
  <c r="N90" i="5"/>
  <c r="N34" i="5"/>
  <c r="I5" i="6"/>
  <c r="P94" i="5"/>
  <c r="P93" i="5"/>
  <c r="P92" i="5"/>
  <c r="P91" i="5"/>
  <c r="P90" i="5"/>
  <c r="P34" i="5"/>
  <c r="L6" i="4"/>
  <c r="G6" i="6"/>
  <c r="M35" i="5"/>
  <c r="K7" i="4"/>
  <c r="M7" i="4" s="1"/>
  <c r="N7" i="4" s="1"/>
  <c r="H6" i="6"/>
  <c r="N35" i="5"/>
  <c r="I6" i="6"/>
  <c r="P35" i="5"/>
  <c r="L7" i="4"/>
  <c r="G7" i="6"/>
  <c r="M223" i="5"/>
  <c r="M192" i="5"/>
  <c r="M169" i="5"/>
  <c r="M165" i="5"/>
  <c r="M155" i="5"/>
  <c r="M152" i="5"/>
  <c r="M150" i="5"/>
  <c r="M148" i="5"/>
  <c r="M103" i="5"/>
  <c r="M96" i="5"/>
  <c r="M54" i="5"/>
  <c r="M13" i="5"/>
  <c r="M6" i="5"/>
  <c r="K8" i="4"/>
  <c r="M8" i="4" s="1"/>
  <c r="N8" i="4" s="1"/>
  <c r="H7" i="6"/>
  <c r="N223" i="5"/>
  <c r="N192" i="5"/>
  <c r="N169" i="5"/>
  <c r="N165" i="5"/>
  <c r="N155" i="5"/>
  <c r="N152" i="5"/>
  <c r="N150" i="5"/>
  <c r="N148" i="5"/>
  <c r="N103" i="5"/>
  <c r="N96" i="5"/>
  <c r="N54" i="5"/>
  <c r="N13" i="5"/>
  <c r="N6" i="5"/>
  <c r="I7" i="6"/>
  <c r="P223" i="5"/>
  <c r="P192" i="5"/>
  <c r="P169" i="5"/>
  <c r="P165" i="5"/>
  <c r="P155" i="5"/>
  <c r="P152" i="5"/>
  <c r="P150" i="5"/>
  <c r="P148" i="5"/>
  <c r="P103" i="5"/>
  <c r="P96" i="5"/>
  <c r="P54" i="5"/>
  <c r="P13" i="5"/>
  <c r="P6" i="5"/>
  <c r="L8" i="4"/>
  <c r="G8" i="6"/>
  <c r="M214" i="5"/>
  <c r="M212" i="5"/>
  <c r="M210" i="5"/>
  <c r="M208" i="5"/>
  <c r="M184" i="5"/>
  <c r="M182" i="5"/>
  <c r="M180" i="5"/>
  <c r="M64" i="5"/>
  <c r="M15" i="5"/>
  <c r="K9" i="4"/>
  <c r="M9" i="4" s="1"/>
  <c r="N9" i="4" s="1"/>
  <c r="H8" i="6"/>
  <c r="N214" i="5"/>
  <c r="N212" i="5"/>
  <c r="N210" i="5"/>
  <c r="N208" i="5"/>
  <c r="N184" i="5"/>
  <c r="N182" i="5"/>
  <c r="N180" i="5"/>
  <c r="N64" i="5"/>
  <c r="N15" i="5"/>
  <c r="I8" i="6"/>
  <c r="P214" i="5"/>
  <c r="P212" i="5"/>
  <c r="P210" i="5"/>
  <c r="P208" i="5"/>
  <c r="P184" i="5"/>
  <c r="P182" i="5"/>
  <c r="P180" i="5"/>
  <c r="P64" i="5"/>
  <c r="P15" i="5"/>
  <c r="L9" i="4"/>
  <c r="G9" i="6"/>
  <c r="M24" i="5"/>
  <c r="M22" i="5"/>
  <c r="K10" i="4"/>
  <c r="M10" i="4" s="1"/>
  <c r="N10" i="4" s="1"/>
  <c r="H9" i="6"/>
  <c r="N24" i="5"/>
  <c r="N22" i="5"/>
  <c r="I9" i="6"/>
  <c r="P24" i="5"/>
  <c r="P22" i="5"/>
  <c r="L10" i="4"/>
  <c r="G10" i="6"/>
  <c r="M44" i="5"/>
  <c r="M33" i="5"/>
  <c r="K11" i="4"/>
  <c r="M11" i="4" s="1"/>
  <c r="N11" i="4" s="1"/>
  <c r="H10" i="6"/>
  <c r="N44" i="5"/>
  <c r="N33" i="5"/>
  <c r="I10" i="6"/>
  <c r="P44" i="5"/>
  <c r="P33" i="5"/>
  <c r="L11" i="4"/>
  <c r="G11" i="6"/>
  <c r="M21" i="5"/>
  <c r="K12" i="4"/>
  <c r="M12" i="4" s="1"/>
  <c r="N12" i="4" s="1"/>
  <c r="H11" i="6"/>
  <c r="N21" i="5"/>
  <c r="I11" i="6"/>
  <c r="P21" i="5"/>
  <c r="L12" i="4"/>
  <c r="G12" i="6"/>
  <c r="M38" i="5"/>
  <c r="K13" i="4"/>
  <c r="M13" i="4" s="1"/>
  <c r="N13" i="4" s="1"/>
  <c r="H12" i="6"/>
  <c r="N38" i="5"/>
  <c r="I12" i="6"/>
  <c r="P38" i="5"/>
  <c r="L13" i="4"/>
  <c r="G13" i="6"/>
  <c r="M221" i="5"/>
  <c r="M206" i="5"/>
  <c r="M204" i="5"/>
  <c r="M202" i="5"/>
  <c r="M200" i="5"/>
  <c r="M198" i="5"/>
  <c r="M194" i="5"/>
  <c r="M186" i="5"/>
  <c r="M171" i="5"/>
  <c r="M167" i="5"/>
  <c r="M145" i="5"/>
  <c r="M143" i="5"/>
  <c r="M141" i="5"/>
  <c r="M139" i="5"/>
  <c r="M137" i="5"/>
  <c r="M135" i="5"/>
  <c r="M133" i="5"/>
  <c r="M131" i="5"/>
  <c r="M129" i="5"/>
  <c r="M127" i="5"/>
  <c r="M125" i="5"/>
  <c r="M123" i="5"/>
  <c r="M121" i="5"/>
  <c r="M119" i="5"/>
  <c r="M111" i="5"/>
  <c r="M109" i="5"/>
  <c r="M107" i="5"/>
  <c r="M105" i="5"/>
  <c r="M100" i="5"/>
  <c r="M98" i="5"/>
  <c r="M78" i="5"/>
  <c r="M76" i="5"/>
  <c r="M74" i="5"/>
  <c r="M70" i="5"/>
  <c r="M62" i="5"/>
  <c r="M60" i="5"/>
  <c r="M58" i="5"/>
  <c r="M56" i="5"/>
  <c r="M51" i="5"/>
  <c r="M49" i="5"/>
  <c r="M47" i="5"/>
  <c r="M20" i="5"/>
  <c r="M17" i="5"/>
  <c r="K14" i="4"/>
  <c r="M14" i="4" s="1"/>
  <c r="N14" i="4" s="1"/>
  <c r="H13" i="6"/>
  <c r="N221" i="5"/>
  <c r="N206" i="5"/>
  <c r="N204" i="5"/>
  <c r="N202" i="5"/>
  <c r="N200" i="5"/>
  <c r="N198" i="5"/>
  <c r="N194" i="5"/>
  <c r="N186" i="5"/>
  <c r="N171" i="5"/>
  <c r="N167" i="5"/>
  <c r="N145" i="5"/>
  <c r="N143" i="5"/>
  <c r="N141" i="5"/>
  <c r="N139" i="5"/>
  <c r="N137" i="5"/>
  <c r="N135" i="5"/>
  <c r="N133" i="5"/>
  <c r="N131" i="5"/>
  <c r="N129" i="5"/>
  <c r="N127" i="5"/>
  <c r="N125" i="5"/>
  <c r="N123" i="5"/>
  <c r="N121" i="5"/>
  <c r="N119" i="5"/>
  <c r="N111" i="5"/>
  <c r="N109" i="5"/>
  <c r="N107" i="5"/>
  <c r="N105" i="5"/>
  <c r="N100" i="5"/>
  <c r="N98" i="5"/>
  <c r="N78" i="5"/>
  <c r="N76" i="5"/>
  <c r="N74" i="5"/>
  <c r="N70" i="5"/>
  <c r="N62" i="5"/>
  <c r="N60" i="5"/>
  <c r="N58" i="5"/>
  <c r="N56" i="5"/>
  <c r="N51" i="5"/>
  <c r="N49" i="5"/>
  <c r="N47" i="5"/>
  <c r="N20" i="5"/>
  <c r="N17" i="5"/>
  <c r="I13" i="6"/>
  <c r="P221" i="5"/>
  <c r="P206" i="5"/>
  <c r="P204" i="5"/>
  <c r="P202" i="5"/>
  <c r="P200" i="5"/>
  <c r="P198" i="5"/>
  <c r="P194" i="5"/>
  <c r="P186" i="5"/>
  <c r="P171" i="5"/>
  <c r="P167" i="5"/>
  <c r="P145" i="5"/>
  <c r="P143" i="5"/>
  <c r="P141" i="5"/>
  <c r="P139" i="5"/>
  <c r="P137" i="5"/>
  <c r="P135" i="5"/>
  <c r="P133" i="5"/>
  <c r="P131" i="5"/>
  <c r="P129" i="5"/>
  <c r="P127" i="5"/>
  <c r="P125" i="5"/>
  <c r="P123" i="5"/>
  <c r="P121" i="5"/>
  <c r="P119" i="5"/>
  <c r="P111" i="5"/>
  <c r="P109" i="5"/>
  <c r="P107" i="5"/>
  <c r="P105" i="5"/>
  <c r="P100" i="5"/>
  <c r="P98" i="5"/>
  <c r="P78" i="5"/>
  <c r="P76" i="5"/>
  <c r="P74" i="5"/>
  <c r="P70" i="5"/>
  <c r="P62" i="5"/>
  <c r="P60" i="5"/>
  <c r="P58" i="5"/>
  <c r="P56" i="5"/>
  <c r="P51" i="5"/>
  <c r="P49" i="5"/>
  <c r="P47" i="5"/>
  <c r="P20" i="5"/>
  <c r="P17" i="5"/>
  <c r="L14" i="4"/>
  <c r="G14" i="6"/>
  <c r="M227" i="5"/>
  <c r="K15" i="4"/>
  <c r="M15" i="4" s="1"/>
  <c r="N15" i="4" s="1"/>
  <c r="H14" i="6"/>
  <c r="N227" i="5"/>
  <c r="I14" i="6"/>
  <c r="P227" i="5"/>
  <c r="L15" i="4"/>
  <c r="G15" i="6"/>
  <c r="M79" i="5"/>
  <c r="K16" i="4"/>
  <c r="M16" i="4" s="1"/>
  <c r="N16" i="4" s="1"/>
  <c r="H15" i="6"/>
  <c r="N79" i="5"/>
  <c r="I15" i="6"/>
  <c r="P79" i="5"/>
  <c r="L16" i="4"/>
  <c r="G16" i="6"/>
  <c r="M81" i="5"/>
  <c r="M80" i="5"/>
  <c r="K17" i="4"/>
  <c r="M17" i="4" s="1"/>
  <c r="N17" i="4" s="1"/>
  <c r="H16" i="6"/>
  <c r="N81" i="5"/>
  <c r="N80" i="5"/>
  <c r="I16" i="6"/>
  <c r="P81" i="5"/>
  <c r="P80" i="5"/>
  <c r="L17" i="4"/>
  <c r="G17" i="6"/>
  <c r="M31" i="5"/>
  <c r="K18" i="4"/>
  <c r="M18" i="4" s="1"/>
  <c r="N18" i="4" s="1"/>
  <c r="H17" i="6"/>
  <c r="N31" i="5"/>
  <c r="I17" i="6"/>
  <c r="P31" i="5"/>
  <c r="L18" i="4"/>
  <c r="G18" i="6"/>
  <c r="M29" i="5"/>
  <c r="M27" i="5"/>
  <c r="M11" i="5"/>
  <c r="M9" i="5"/>
  <c r="K19" i="4"/>
  <c r="M19" i="4" s="1"/>
  <c r="N19" i="4" s="1"/>
  <c r="H18" i="6"/>
  <c r="N29" i="5"/>
  <c r="N27" i="5"/>
  <c r="N11" i="5"/>
  <c r="N9" i="5"/>
  <c r="I18" i="6"/>
  <c r="P29" i="5"/>
  <c r="P27" i="5"/>
  <c r="P11" i="5"/>
  <c r="P9" i="5"/>
  <c r="L19" i="4"/>
  <c r="G19" i="6"/>
  <c r="M196" i="5"/>
  <c r="M190" i="5"/>
  <c r="M188" i="5"/>
  <c r="M159" i="5"/>
  <c r="M83" i="5"/>
  <c r="K20" i="4"/>
  <c r="M20" i="4" s="1"/>
  <c r="N20" i="4" s="1"/>
  <c r="H19" i="6"/>
  <c r="N196" i="5"/>
  <c r="N190" i="5"/>
  <c r="N188" i="5"/>
  <c r="N159" i="5"/>
  <c r="N83" i="5"/>
  <c r="I19" i="6"/>
  <c r="P196" i="5"/>
  <c r="P190" i="5"/>
  <c r="P188" i="5"/>
  <c r="P159" i="5"/>
  <c r="P83" i="5"/>
  <c r="L20" i="4"/>
  <c r="G20" i="6"/>
  <c r="M116" i="5"/>
  <c r="M114" i="5"/>
  <c r="M112" i="5"/>
  <c r="M86" i="5"/>
  <c r="M67" i="5"/>
  <c r="M65" i="5"/>
  <c r="M42" i="5"/>
  <c r="M40" i="5"/>
  <c r="M25" i="5"/>
  <c r="M23" i="5"/>
  <c r="K21" i="4"/>
  <c r="M21" i="4" s="1"/>
  <c r="N21" i="4" s="1"/>
  <c r="H20" i="6"/>
  <c r="N116" i="5"/>
  <c r="N114" i="5"/>
  <c r="N112" i="5"/>
  <c r="N86" i="5"/>
  <c r="N67" i="5"/>
  <c r="N65" i="5"/>
  <c r="N42" i="5"/>
  <c r="N40" i="5"/>
  <c r="N25" i="5"/>
  <c r="N23" i="5"/>
  <c r="I20" i="6"/>
  <c r="P116" i="5"/>
  <c r="P114" i="5"/>
  <c r="P112" i="5"/>
  <c r="P86" i="5"/>
  <c r="P67" i="5"/>
  <c r="P65" i="5"/>
  <c r="P42" i="5"/>
  <c r="P40" i="5"/>
  <c r="P25" i="5"/>
  <c r="P23" i="5"/>
  <c r="L21" i="4"/>
  <c r="G21" i="6"/>
  <c r="M176" i="5"/>
  <c r="M174" i="5"/>
  <c r="M172" i="5"/>
  <c r="K22" i="4"/>
  <c r="M22" i="4" s="1"/>
  <c r="N22" i="4" s="1"/>
  <c r="H21" i="6"/>
  <c r="N176" i="5"/>
  <c r="N174" i="5"/>
  <c r="N172" i="5"/>
  <c r="I21" i="6"/>
  <c r="P176" i="5"/>
  <c r="P174" i="5"/>
  <c r="P172" i="5"/>
  <c r="L22" i="4"/>
  <c r="G22" i="6"/>
  <c r="M115" i="5"/>
  <c r="M113" i="5"/>
  <c r="M66" i="5"/>
  <c r="M43" i="5"/>
  <c r="M41" i="5"/>
  <c r="K23" i="4"/>
  <c r="M23" i="4" s="1"/>
  <c r="N23" i="4" s="1"/>
  <c r="H22" i="6"/>
  <c r="N115" i="5"/>
  <c r="N113" i="5"/>
  <c r="N66" i="5"/>
  <c r="N43" i="5"/>
  <c r="N41" i="5"/>
  <c r="I22" i="6"/>
  <c r="P115" i="5"/>
  <c r="P113" i="5"/>
  <c r="P66" i="5"/>
  <c r="P43" i="5"/>
  <c r="P41" i="5"/>
  <c r="L23" i="4"/>
  <c r="G23" i="6"/>
  <c r="M175" i="5"/>
  <c r="M173" i="5"/>
  <c r="K24" i="4"/>
  <c r="M24" i="4" s="1"/>
  <c r="N24" i="4" s="1"/>
  <c r="H23" i="6"/>
  <c r="N175" i="5"/>
  <c r="N173" i="5"/>
  <c r="I23" i="6"/>
  <c r="P175" i="5"/>
  <c r="P173" i="5"/>
  <c r="L24" i="4"/>
  <c r="G24" i="6"/>
  <c r="M219" i="5"/>
  <c r="M218" i="5"/>
  <c r="M178" i="5"/>
  <c r="M177" i="5"/>
  <c r="M163" i="5"/>
  <c r="M162" i="5"/>
  <c r="M146" i="5"/>
  <c r="M117" i="5"/>
  <c r="M101" i="5"/>
  <c r="M85" i="5"/>
  <c r="M68" i="5"/>
  <c r="M52" i="5"/>
  <c r="M37" i="5"/>
  <c r="M18" i="5"/>
  <c r="M7" i="5"/>
  <c r="K25" i="4"/>
  <c r="M25" i="4" s="1"/>
  <c r="N25" i="4" s="1"/>
  <c r="H24" i="6"/>
  <c r="N219" i="5"/>
  <c r="N218" i="5"/>
  <c r="N178" i="5"/>
  <c r="N177" i="5"/>
  <c r="N163" i="5"/>
  <c r="N162" i="5"/>
  <c r="N146" i="5"/>
  <c r="N117" i="5"/>
  <c r="N101" i="5"/>
  <c r="N85" i="5"/>
  <c r="N68" i="5"/>
  <c r="N52" i="5"/>
  <c r="N37" i="5"/>
  <c r="N18" i="5"/>
  <c r="N7" i="5"/>
  <c r="I24" i="6"/>
  <c r="P219" i="5"/>
  <c r="P218" i="5"/>
  <c r="P178" i="5"/>
  <c r="P177" i="5"/>
  <c r="P163" i="5"/>
  <c r="P162" i="5"/>
  <c r="P146" i="5"/>
  <c r="P117" i="5"/>
  <c r="P101" i="5"/>
  <c r="P85" i="5"/>
  <c r="P68" i="5"/>
  <c r="P52" i="5"/>
  <c r="P37" i="5"/>
  <c r="P18" i="5"/>
  <c r="P7" i="5"/>
  <c r="L25" i="4"/>
  <c r="G25" i="6"/>
  <c r="M225" i="5"/>
  <c r="M224" i="5"/>
  <c r="M217" i="5"/>
  <c r="M216" i="5"/>
  <c r="M158" i="5"/>
  <c r="M157" i="5"/>
  <c r="M156" i="5"/>
  <c r="M153" i="5"/>
  <c r="M89" i="5"/>
  <c r="M88" i="5"/>
  <c r="M87" i="5"/>
  <c r="M84" i="5"/>
  <c r="M71" i="5"/>
  <c r="M45" i="5"/>
  <c r="M39" i="5"/>
  <c r="M36" i="5"/>
  <c r="M32" i="5"/>
  <c r="M30" i="5"/>
  <c r="K26" i="4"/>
  <c r="M26" i="4" s="1"/>
  <c r="N26" i="4" s="1"/>
  <c r="H25" i="6"/>
  <c r="N225" i="5"/>
  <c r="N224" i="5"/>
  <c r="N217" i="5"/>
  <c r="N216" i="5"/>
  <c r="N158" i="5"/>
  <c r="N157" i="5"/>
  <c r="N156" i="5"/>
  <c r="N153" i="5"/>
  <c r="N89" i="5"/>
  <c r="N88" i="5"/>
  <c r="N87" i="5"/>
  <c r="N84" i="5"/>
  <c r="N71" i="5"/>
  <c r="N45" i="5"/>
  <c r="N39" i="5"/>
  <c r="N36" i="5"/>
  <c r="N32" i="5"/>
  <c r="N30" i="5"/>
  <c r="I25" i="6"/>
  <c r="P225" i="5"/>
  <c r="P224" i="5"/>
  <c r="P217" i="5"/>
  <c r="P216" i="5"/>
  <c r="P158" i="5"/>
  <c r="P157" i="5"/>
  <c r="P156" i="5"/>
  <c r="P153" i="5"/>
  <c r="P89" i="5"/>
  <c r="P88" i="5"/>
  <c r="P87" i="5"/>
  <c r="P84" i="5"/>
  <c r="P71" i="5"/>
  <c r="P45" i="5"/>
  <c r="P39" i="5"/>
  <c r="P36" i="5"/>
  <c r="P32" i="5"/>
  <c r="P30" i="5"/>
  <c r="L26" i="4"/>
  <c r="G26" i="6"/>
  <c r="M215" i="5"/>
  <c r="K27" i="4"/>
  <c r="M27" i="4" s="1"/>
  <c r="N27" i="4" s="1"/>
  <c r="H26" i="6"/>
  <c r="N215" i="5"/>
  <c r="I26" i="6"/>
  <c r="P215" i="5"/>
  <c r="L27" i="4"/>
  <c r="M30" i="4"/>
  <c r="N30" i="4" s="1"/>
  <c r="L30" i="4"/>
  <c r="Q5" i="5"/>
  <c r="S5" i="5"/>
  <c r="S230" i="5" s="1"/>
  <c r="Q8" i="5"/>
  <c r="S8" i="5"/>
  <c r="Q10" i="5"/>
  <c r="S10" i="5"/>
  <c r="Q12" i="5"/>
  <c r="S12" i="5"/>
  <c r="Q14" i="5"/>
  <c r="S14" i="5"/>
  <c r="Q16" i="5"/>
  <c r="S16" i="5"/>
  <c r="Q19" i="5"/>
  <c r="S19" i="5"/>
  <c r="Q26" i="5"/>
  <c r="S26" i="5"/>
  <c r="Q28" i="5"/>
  <c r="S28" i="5"/>
  <c r="Q46" i="5"/>
  <c r="S46" i="5"/>
  <c r="Q48" i="5"/>
  <c r="S48" i="5"/>
  <c r="Q50" i="5"/>
  <c r="S50" i="5"/>
  <c r="Q53" i="5"/>
  <c r="S53" i="5"/>
  <c r="Q55" i="5"/>
  <c r="S55" i="5"/>
  <c r="Q57" i="5"/>
  <c r="S57" i="5"/>
  <c r="Q59" i="5"/>
  <c r="S59" i="5"/>
  <c r="Q61" i="5"/>
  <c r="S61" i="5"/>
  <c r="Q63" i="5"/>
  <c r="S63" i="5"/>
  <c r="Q69" i="5"/>
  <c r="S69" i="5"/>
  <c r="Q72" i="5"/>
  <c r="S72" i="5"/>
  <c r="Q73" i="5"/>
  <c r="S73" i="5"/>
  <c r="Q75" i="5"/>
  <c r="S75" i="5"/>
  <c r="Q77" i="5"/>
  <c r="S77" i="5"/>
  <c r="Q82" i="5"/>
  <c r="S82" i="5"/>
  <c r="Q95" i="5"/>
  <c r="S95" i="5"/>
  <c r="Q97" i="5"/>
  <c r="S97" i="5"/>
  <c r="Q99" i="5"/>
  <c r="S99" i="5"/>
  <c r="Q102" i="5"/>
  <c r="S102" i="5"/>
  <c r="Q104" i="5"/>
  <c r="S104" i="5"/>
  <c r="Q106" i="5"/>
  <c r="S106" i="5"/>
  <c r="Q108" i="5"/>
  <c r="S108" i="5"/>
  <c r="Q110" i="5"/>
  <c r="S110" i="5"/>
  <c r="Q120" i="5"/>
  <c r="S120" i="5"/>
  <c r="Q122" i="5"/>
  <c r="S122" i="5"/>
  <c r="Q124" i="5"/>
  <c r="S124" i="5"/>
  <c r="Q126" i="5"/>
  <c r="S126" i="5"/>
  <c r="Q128" i="5"/>
  <c r="S128" i="5"/>
  <c r="Q130" i="5"/>
  <c r="S130" i="5"/>
  <c r="Q132" i="5"/>
  <c r="S132" i="5"/>
  <c r="Q134" i="5"/>
  <c r="S134" i="5"/>
  <c r="Q136" i="5"/>
  <c r="S136" i="5"/>
  <c r="Q138" i="5"/>
  <c r="S138" i="5"/>
  <c r="Q140" i="5"/>
  <c r="S140" i="5"/>
  <c r="Q142" i="5"/>
  <c r="S142" i="5"/>
  <c r="Q144" i="5"/>
  <c r="S144" i="5"/>
  <c r="Q147" i="5"/>
  <c r="S147" i="5"/>
  <c r="Q149" i="5"/>
  <c r="S149" i="5"/>
  <c r="Q151" i="5"/>
  <c r="S151" i="5"/>
  <c r="Q160" i="5"/>
  <c r="S160" i="5"/>
  <c r="Q161" i="5"/>
  <c r="S161" i="5"/>
  <c r="Q164" i="5"/>
  <c r="S164" i="5"/>
  <c r="Q166" i="5"/>
  <c r="S166" i="5"/>
  <c r="Q168" i="5"/>
  <c r="S168" i="5"/>
  <c r="Q170" i="5"/>
  <c r="S170" i="5"/>
  <c r="Q179" i="5"/>
  <c r="S179" i="5"/>
  <c r="Q181" i="5"/>
  <c r="S181" i="5"/>
  <c r="Q183" i="5"/>
  <c r="S183" i="5"/>
  <c r="Q185" i="5"/>
  <c r="S185" i="5"/>
  <c r="Q187" i="5"/>
  <c r="S187" i="5"/>
  <c r="Q189" i="5"/>
  <c r="S189" i="5"/>
  <c r="Q191" i="5"/>
  <c r="S191" i="5"/>
  <c r="Q193" i="5"/>
  <c r="S193" i="5"/>
  <c r="Q195" i="5"/>
  <c r="S195" i="5"/>
  <c r="Q197" i="5"/>
  <c r="S197" i="5"/>
  <c r="Q199" i="5"/>
  <c r="S199" i="5"/>
  <c r="Q201" i="5"/>
  <c r="S201" i="5"/>
  <c r="Q203" i="5"/>
  <c r="S203" i="5"/>
  <c r="Q205" i="5"/>
  <c r="S205" i="5"/>
  <c r="Q207" i="5"/>
  <c r="S207" i="5"/>
  <c r="Q209" i="5"/>
  <c r="S209" i="5"/>
  <c r="Q211" i="5"/>
  <c r="S211" i="5"/>
  <c r="Q213" i="5"/>
  <c r="S213" i="5"/>
  <c r="Q220" i="5"/>
  <c r="S220" i="5"/>
  <c r="Q222" i="5"/>
  <c r="S222" i="5"/>
  <c r="Q226" i="5"/>
  <c r="S226" i="5"/>
  <c r="S228" i="5"/>
  <c r="U228" i="5" s="1"/>
  <c r="S229" i="5"/>
  <c r="U229" i="5" s="1"/>
  <c r="T226" i="5" l="1"/>
  <c r="U226" i="5" s="1"/>
  <c r="R226" i="5"/>
  <c r="T222" i="5"/>
  <c r="U222" i="5" s="1"/>
  <c r="R222" i="5"/>
  <c r="T220" i="5"/>
  <c r="U220" i="5" s="1"/>
  <c r="R220" i="5"/>
  <c r="T213" i="5"/>
  <c r="U213" i="5" s="1"/>
  <c r="R213" i="5"/>
  <c r="T211" i="5"/>
  <c r="U211" i="5" s="1"/>
  <c r="R211" i="5"/>
  <c r="T209" i="5"/>
  <c r="U209" i="5" s="1"/>
  <c r="R209" i="5"/>
  <c r="T207" i="5"/>
  <c r="U207" i="5" s="1"/>
  <c r="R207" i="5"/>
  <c r="T205" i="5"/>
  <c r="U205" i="5" s="1"/>
  <c r="R205" i="5"/>
  <c r="T203" i="5"/>
  <c r="U203" i="5" s="1"/>
  <c r="R203" i="5"/>
  <c r="T201" i="5"/>
  <c r="U201" i="5" s="1"/>
  <c r="R201" i="5"/>
  <c r="T199" i="5"/>
  <c r="U199" i="5" s="1"/>
  <c r="R199" i="5"/>
  <c r="T197" i="5"/>
  <c r="U197" i="5" s="1"/>
  <c r="R197" i="5"/>
  <c r="T195" i="5"/>
  <c r="U195" i="5" s="1"/>
  <c r="R195" i="5"/>
  <c r="T193" i="5"/>
  <c r="U193" i="5" s="1"/>
  <c r="R193" i="5"/>
  <c r="T191" i="5"/>
  <c r="U191" i="5" s="1"/>
  <c r="R191" i="5"/>
  <c r="T189" i="5"/>
  <c r="U189" i="5" s="1"/>
  <c r="R189" i="5"/>
  <c r="T187" i="5"/>
  <c r="U187" i="5" s="1"/>
  <c r="R187" i="5"/>
  <c r="T185" i="5"/>
  <c r="U185" i="5" s="1"/>
  <c r="R185" i="5"/>
  <c r="T183" i="5"/>
  <c r="U183" i="5" s="1"/>
  <c r="R183" i="5"/>
  <c r="T181" i="5"/>
  <c r="U181" i="5" s="1"/>
  <c r="R181" i="5"/>
  <c r="T179" i="5"/>
  <c r="U179" i="5" s="1"/>
  <c r="R179" i="5"/>
  <c r="T170" i="5"/>
  <c r="U170" i="5" s="1"/>
  <c r="R170" i="5"/>
  <c r="T168" i="5"/>
  <c r="U168" i="5" s="1"/>
  <c r="R168" i="5"/>
  <c r="T166" i="5"/>
  <c r="U166" i="5" s="1"/>
  <c r="R166" i="5"/>
  <c r="T164" i="5"/>
  <c r="U164" i="5" s="1"/>
  <c r="R164" i="5"/>
  <c r="T161" i="5"/>
  <c r="U161" i="5" s="1"/>
  <c r="R161" i="5"/>
  <c r="T160" i="5"/>
  <c r="U160" i="5" s="1"/>
  <c r="R160" i="5"/>
  <c r="T151" i="5"/>
  <c r="U151" i="5" s="1"/>
  <c r="R151" i="5"/>
  <c r="T149" i="5"/>
  <c r="U149" i="5" s="1"/>
  <c r="R149" i="5"/>
  <c r="T147" i="5"/>
  <c r="U147" i="5" s="1"/>
  <c r="R147" i="5"/>
  <c r="T144" i="5"/>
  <c r="U144" i="5" s="1"/>
  <c r="R144" i="5"/>
  <c r="T142" i="5"/>
  <c r="U142" i="5" s="1"/>
  <c r="R142" i="5"/>
  <c r="T140" i="5"/>
  <c r="U140" i="5" s="1"/>
  <c r="R140" i="5"/>
  <c r="T138" i="5"/>
  <c r="U138" i="5" s="1"/>
  <c r="R138" i="5"/>
  <c r="T136" i="5"/>
  <c r="U136" i="5" s="1"/>
  <c r="R136" i="5"/>
  <c r="T134" i="5"/>
  <c r="U134" i="5" s="1"/>
  <c r="R134" i="5"/>
  <c r="T132" i="5"/>
  <c r="U132" i="5" s="1"/>
  <c r="R132" i="5"/>
  <c r="T130" i="5"/>
  <c r="U130" i="5" s="1"/>
  <c r="R130" i="5"/>
  <c r="T128" i="5"/>
  <c r="U128" i="5" s="1"/>
  <c r="R128" i="5"/>
  <c r="T126" i="5"/>
  <c r="U126" i="5" s="1"/>
  <c r="R126" i="5"/>
  <c r="T124" i="5"/>
  <c r="U124" i="5" s="1"/>
  <c r="R124" i="5"/>
  <c r="T122" i="5"/>
  <c r="U122" i="5" s="1"/>
  <c r="R122" i="5"/>
  <c r="T120" i="5"/>
  <c r="U120" i="5" s="1"/>
  <c r="R120" i="5"/>
  <c r="T110" i="5"/>
  <c r="U110" i="5" s="1"/>
  <c r="R110" i="5"/>
  <c r="T108" i="5"/>
  <c r="U108" i="5" s="1"/>
  <c r="R108" i="5"/>
  <c r="T106" i="5"/>
  <c r="U106" i="5" s="1"/>
  <c r="R106" i="5"/>
  <c r="T104" i="5"/>
  <c r="U104" i="5" s="1"/>
  <c r="R104" i="5"/>
  <c r="T102" i="5"/>
  <c r="U102" i="5" s="1"/>
  <c r="R102" i="5"/>
  <c r="T99" i="5"/>
  <c r="U99" i="5" s="1"/>
  <c r="R99" i="5"/>
  <c r="T97" i="5"/>
  <c r="U97" i="5" s="1"/>
  <c r="R97" i="5"/>
  <c r="T95" i="5"/>
  <c r="U95" i="5" s="1"/>
  <c r="R95" i="5"/>
  <c r="T82" i="5"/>
  <c r="U82" i="5" s="1"/>
  <c r="R82" i="5"/>
  <c r="T77" i="5"/>
  <c r="U77" i="5" s="1"/>
  <c r="R77" i="5"/>
  <c r="T75" i="5"/>
  <c r="U75" i="5" s="1"/>
  <c r="R75" i="5"/>
  <c r="T73" i="5"/>
  <c r="U73" i="5" s="1"/>
  <c r="R73" i="5"/>
  <c r="T72" i="5"/>
  <c r="U72" i="5" s="1"/>
  <c r="R72" i="5"/>
  <c r="T69" i="5"/>
  <c r="U69" i="5" s="1"/>
  <c r="R69" i="5"/>
  <c r="T63" i="5"/>
  <c r="U63" i="5" s="1"/>
  <c r="R63" i="5"/>
  <c r="T61" i="5"/>
  <c r="U61" i="5" s="1"/>
  <c r="R61" i="5"/>
  <c r="T59" i="5"/>
  <c r="U59" i="5" s="1"/>
  <c r="R59" i="5"/>
  <c r="T57" i="5"/>
  <c r="U57" i="5" s="1"/>
  <c r="R57" i="5"/>
  <c r="T55" i="5"/>
  <c r="U55" i="5" s="1"/>
  <c r="R55" i="5"/>
  <c r="T53" i="5"/>
  <c r="U53" i="5" s="1"/>
  <c r="R53" i="5"/>
  <c r="T50" i="5"/>
  <c r="U50" i="5" s="1"/>
  <c r="R50" i="5"/>
  <c r="T48" i="5"/>
  <c r="U48" i="5" s="1"/>
  <c r="R48" i="5"/>
  <c r="T46" i="5"/>
  <c r="U46" i="5" s="1"/>
  <c r="R46" i="5"/>
  <c r="T28" i="5"/>
  <c r="U28" i="5" s="1"/>
  <c r="R28" i="5"/>
  <c r="T26" i="5"/>
  <c r="U26" i="5" s="1"/>
  <c r="R26" i="5"/>
  <c r="T19" i="5"/>
  <c r="U19" i="5" s="1"/>
  <c r="R19" i="5"/>
  <c r="T16" i="5"/>
  <c r="U16" i="5" s="1"/>
  <c r="R16" i="5"/>
  <c r="T14" i="5"/>
  <c r="U14" i="5" s="1"/>
  <c r="R14" i="5"/>
  <c r="T12" i="5"/>
  <c r="U12" i="5" s="1"/>
  <c r="R12" i="5"/>
  <c r="T10" i="5"/>
  <c r="U10" i="5" s="1"/>
  <c r="R10" i="5"/>
  <c r="T8" i="5"/>
  <c r="U8" i="5" s="1"/>
  <c r="R8" i="5"/>
  <c r="Q230" i="5"/>
  <c r="T5" i="5"/>
  <c r="R5" i="5"/>
  <c r="R230" i="5" s="1"/>
  <c r="Q215" i="5"/>
  <c r="Q30" i="5"/>
  <c r="Q32" i="5"/>
  <c r="Q36" i="5"/>
  <c r="Q39" i="5"/>
  <c r="Q45" i="5"/>
  <c r="Q71" i="5"/>
  <c r="Q84" i="5"/>
  <c r="Q87" i="5"/>
  <c r="Q88" i="5"/>
  <c r="Q89" i="5"/>
  <c r="Q153" i="5"/>
  <c r="Q156" i="5"/>
  <c r="Q157" i="5"/>
  <c r="Q158" i="5"/>
  <c r="Q216" i="5"/>
  <c r="Q217" i="5"/>
  <c r="Q224" i="5"/>
  <c r="Q225" i="5"/>
  <c r="Q7" i="5"/>
  <c r="Q18" i="5"/>
  <c r="Q37" i="5"/>
  <c r="Q52" i="5"/>
  <c r="Q68" i="5"/>
  <c r="Q85" i="5"/>
  <c r="Q101" i="5"/>
  <c r="Q117" i="5"/>
  <c r="Q146" i="5"/>
  <c r="Q162" i="5"/>
  <c r="Q163" i="5"/>
  <c r="Q177" i="5"/>
  <c r="Q178" i="5"/>
  <c r="Q218" i="5"/>
  <c r="Q219" i="5"/>
  <c r="Q173" i="5"/>
  <c r="Q175" i="5"/>
  <c r="Q41" i="5"/>
  <c r="Q43" i="5"/>
  <c r="Q66" i="5"/>
  <c r="Q113" i="5"/>
  <c r="Q115" i="5"/>
  <c r="Q172" i="5"/>
  <c r="Q174" i="5"/>
  <c r="Q176" i="5"/>
  <c r="Q23" i="5"/>
  <c r="Q25" i="5"/>
  <c r="Q40" i="5"/>
  <c r="Q42" i="5"/>
  <c r="Q65" i="5"/>
  <c r="Q67" i="5"/>
  <c r="Q86" i="5"/>
  <c r="Q112" i="5"/>
  <c r="Q114" i="5"/>
  <c r="Q116" i="5"/>
  <c r="Q83" i="5"/>
  <c r="Q159" i="5"/>
  <c r="Q188" i="5"/>
  <c r="Q190" i="5"/>
  <c r="Q196" i="5"/>
  <c r="Q9" i="5"/>
  <c r="Q11" i="5"/>
  <c r="Q27" i="5"/>
  <c r="Q29" i="5"/>
  <c r="Q31" i="5"/>
  <c r="Q80" i="5"/>
  <c r="Q81" i="5"/>
  <c r="Q79" i="5"/>
  <c r="Q227" i="5"/>
  <c r="Q17" i="5"/>
  <c r="Q20" i="5"/>
  <c r="Q47" i="5"/>
  <c r="Q49" i="5"/>
  <c r="Q51" i="5"/>
  <c r="Q56" i="5"/>
  <c r="Q58" i="5"/>
  <c r="Q60" i="5"/>
  <c r="Q62" i="5"/>
  <c r="Q70" i="5"/>
  <c r="Q74" i="5"/>
  <c r="Q76" i="5"/>
  <c r="Q78" i="5"/>
  <c r="Q98" i="5"/>
  <c r="Q100" i="5"/>
  <c r="Q105" i="5"/>
  <c r="Q107" i="5"/>
  <c r="Q109" i="5"/>
  <c r="Q111" i="5"/>
  <c r="Q119" i="5"/>
  <c r="Q121" i="5"/>
  <c r="Q123" i="5"/>
  <c r="Q125" i="5"/>
  <c r="Q127" i="5"/>
  <c r="Q129" i="5"/>
  <c r="Q131" i="5"/>
  <c r="Q133" i="5"/>
  <c r="Q135" i="5"/>
  <c r="Q137" i="5"/>
  <c r="Q139" i="5"/>
  <c r="Q141" i="5"/>
  <c r="Q143" i="5"/>
  <c r="Q145" i="5"/>
  <c r="Q167" i="5"/>
  <c r="Q171" i="5"/>
  <c r="Q186" i="5"/>
  <c r="Q194" i="5"/>
  <c r="Q198" i="5"/>
  <c r="Q200" i="5"/>
  <c r="Q202" i="5"/>
  <c r="Q204" i="5"/>
  <c r="Q206" i="5"/>
  <c r="Q221" i="5"/>
  <c r="Q38" i="5"/>
  <c r="Q21" i="5"/>
  <c r="Q33" i="5"/>
  <c r="Q44" i="5"/>
  <c r="Q22" i="5"/>
  <c r="Q24" i="5"/>
  <c r="Q15" i="5"/>
  <c r="Q64" i="5"/>
  <c r="Q180" i="5"/>
  <c r="Q182" i="5"/>
  <c r="Q184" i="5"/>
  <c r="Q208" i="5"/>
  <c r="Q210" i="5"/>
  <c r="Q212" i="5"/>
  <c r="Q214" i="5"/>
  <c r="Q6" i="5"/>
  <c r="Q13" i="5"/>
  <c r="Q54" i="5"/>
  <c r="Q96" i="5"/>
  <c r="Q103" i="5"/>
  <c r="Q148" i="5"/>
  <c r="Q150" i="5"/>
  <c r="Q152" i="5"/>
  <c r="Q155" i="5"/>
  <c r="Q165" i="5"/>
  <c r="Q169" i="5"/>
  <c r="Q192" i="5"/>
  <c r="Q223" i="5"/>
  <c r="Q35" i="5"/>
  <c r="L31" i="4"/>
  <c r="K31" i="4"/>
  <c r="M6" i="4"/>
  <c r="Q34" i="5"/>
  <c r="Q90" i="5"/>
  <c r="Q91" i="5"/>
  <c r="Q92" i="5"/>
  <c r="Q93" i="5"/>
  <c r="Q94" i="5"/>
  <c r="Q13" i="2"/>
  <c r="P14" i="2" s="1"/>
  <c r="O13" i="2"/>
  <c r="N14" i="2" s="1"/>
  <c r="M13" i="2"/>
  <c r="L14" i="2" s="1"/>
  <c r="K13" i="2"/>
  <c r="J14" i="2" s="1"/>
  <c r="I13" i="2"/>
  <c r="H14" i="2" s="1"/>
  <c r="G13" i="2"/>
  <c r="F14" i="2" s="1"/>
  <c r="E13" i="2"/>
  <c r="D14" i="2" s="1"/>
  <c r="C13" i="2"/>
  <c r="B14" i="2" s="1"/>
  <c r="K13" i="11"/>
  <c r="L6" i="11"/>
  <c r="L9" i="12"/>
  <c r="M9" i="12" s="1"/>
  <c r="M6" i="12"/>
  <c r="K8" i="9"/>
  <c r="L6" i="9"/>
  <c r="K10" i="9" l="1"/>
  <c r="L8" i="9"/>
  <c r="K15" i="11"/>
  <c r="L13" i="11"/>
  <c r="C18" i="2"/>
  <c r="C17" i="2"/>
  <c r="C16" i="2"/>
  <c r="C15" i="2"/>
  <c r="B19" i="2" s="1"/>
  <c r="E18" i="2"/>
  <c r="E17" i="2"/>
  <c r="E16" i="2"/>
  <c r="E15" i="2"/>
  <c r="D19" i="2" s="1"/>
  <c r="G18" i="2"/>
  <c r="G17" i="2"/>
  <c r="G16" i="2"/>
  <c r="G15" i="2"/>
  <c r="F19" i="2" s="1"/>
  <c r="I18" i="2"/>
  <c r="I17" i="2"/>
  <c r="I16" i="2"/>
  <c r="I15" i="2"/>
  <c r="H19" i="2" s="1"/>
  <c r="K18" i="2"/>
  <c r="K17" i="2"/>
  <c r="K16" i="2"/>
  <c r="K15" i="2"/>
  <c r="J19" i="2" s="1"/>
  <c r="M18" i="2"/>
  <c r="M17" i="2"/>
  <c r="M16" i="2"/>
  <c r="M15" i="2"/>
  <c r="L19" i="2" s="1"/>
  <c r="O18" i="2"/>
  <c r="O17" i="2"/>
  <c r="O16" i="2"/>
  <c r="O15" i="2"/>
  <c r="N19" i="2" s="1"/>
  <c r="Q18" i="2"/>
  <c r="Q17" i="2"/>
  <c r="Q16" i="2"/>
  <c r="Q15" i="2"/>
  <c r="P19" i="2" s="1"/>
  <c r="T94" i="5"/>
  <c r="U94" i="5" s="1"/>
  <c r="S94" i="5"/>
  <c r="R94" i="5"/>
  <c r="T93" i="5"/>
  <c r="U93" i="5" s="1"/>
  <c r="S93" i="5"/>
  <c r="R93" i="5"/>
  <c r="T92" i="5"/>
  <c r="U92" i="5" s="1"/>
  <c r="S92" i="5"/>
  <c r="R92" i="5"/>
  <c r="T91" i="5"/>
  <c r="U91" i="5" s="1"/>
  <c r="S91" i="5"/>
  <c r="R91" i="5"/>
  <c r="T90" i="5"/>
  <c r="U90" i="5" s="1"/>
  <c r="S90" i="5"/>
  <c r="R90" i="5"/>
  <c r="T34" i="5"/>
  <c r="U34" i="5" s="1"/>
  <c r="S34" i="5"/>
  <c r="R34" i="5"/>
  <c r="M31" i="4"/>
  <c r="N6" i="4"/>
  <c r="N31" i="4" s="1"/>
  <c r="N36" i="4" s="1"/>
  <c r="T35" i="5"/>
  <c r="U35" i="5" s="1"/>
  <c r="S35" i="5"/>
  <c r="R35" i="5"/>
  <c r="T223" i="5"/>
  <c r="U223" i="5" s="1"/>
  <c r="S223" i="5"/>
  <c r="R223" i="5"/>
  <c r="T192" i="5"/>
  <c r="U192" i="5" s="1"/>
  <c r="S192" i="5"/>
  <c r="R192" i="5"/>
  <c r="T169" i="5"/>
  <c r="U169" i="5" s="1"/>
  <c r="S169" i="5"/>
  <c r="R169" i="5"/>
  <c r="T165" i="5"/>
  <c r="U165" i="5" s="1"/>
  <c r="S165" i="5"/>
  <c r="R165" i="5"/>
  <c r="T155" i="5"/>
  <c r="U155" i="5" s="1"/>
  <c r="S155" i="5"/>
  <c r="R155" i="5"/>
  <c r="T152" i="5"/>
  <c r="U152" i="5" s="1"/>
  <c r="S152" i="5"/>
  <c r="R152" i="5"/>
  <c r="T150" i="5"/>
  <c r="U150" i="5" s="1"/>
  <c r="S150" i="5"/>
  <c r="R150" i="5"/>
  <c r="T148" i="5"/>
  <c r="U148" i="5" s="1"/>
  <c r="S148" i="5"/>
  <c r="R148" i="5"/>
  <c r="T103" i="5"/>
  <c r="U103" i="5" s="1"/>
  <c r="S103" i="5"/>
  <c r="R103" i="5"/>
  <c r="T96" i="5"/>
  <c r="U96" i="5" s="1"/>
  <c r="S96" i="5"/>
  <c r="R96" i="5"/>
  <c r="T54" i="5"/>
  <c r="U54" i="5" s="1"/>
  <c r="S54" i="5"/>
  <c r="R54" i="5"/>
  <c r="T13" i="5"/>
  <c r="U13" i="5" s="1"/>
  <c r="S13" i="5"/>
  <c r="R13" i="5"/>
  <c r="T6" i="5"/>
  <c r="U6" i="5" s="1"/>
  <c r="S6" i="5"/>
  <c r="R6" i="5"/>
  <c r="T214" i="5"/>
  <c r="U214" i="5" s="1"/>
  <c r="S214" i="5"/>
  <c r="R214" i="5"/>
  <c r="T212" i="5"/>
  <c r="U212" i="5" s="1"/>
  <c r="S212" i="5"/>
  <c r="R212" i="5"/>
  <c r="T210" i="5"/>
  <c r="U210" i="5" s="1"/>
  <c r="S210" i="5"/>
  <c r="R210" i="5"/>
  <c r="T208" i="5"/>
  <c r="U208" i="5" s="1"/>
  <c r="S208" i="5"/>
  <c r="R208" i="5"/>
  <c r="T184" i="5"/>
  <c r="U184" i="5" s="1"/>
  <c r="S184" i="5"/>
  <c r="R184" i="5"/>
  <c r="T182" i="5"/>
  <c r="U182" i="5" s="1"/>
  <c r="S182" i="5"/>
  <c r="R182" i="5"/>
  <c r="T180" i="5"/>
  <c r="U180" i="5" s="1"/>
  <c r="S180" i="5"/>
  <c r="R180" i="5"/>
  <c r="T64" i="5"/>
  <c r="U64" i="5" s="1"/>
  <c r="S64" i="5"/>
  <c r="R64" i="5"/>
  <c r="T15" i="5"/>
  <c r="U15" i="5" s="1"/>
  <c r="S15" i="5"/>
  <c r="R15" i="5"/>
  <c r="T24" i="5"/>
  <c r="U24" i="5" s="1"/>
  <c r="S24" i="5"/>
  <c r="R24" i="5"/>
  <c r="T22" i="5"/>
  <c r="U22" i="5" s="1"/>
  <c r="S22" i="5"/>
  <c r="R22" i="5"/>
  <c r="T44" i="5"/>
  <c r="U44" i="5" s="1"/>
  <c r="S44" i="5"/>
  <c r="R44" i="5"/>
  <c r="T33" i="5"/>
  <c r="U33" i="5" s="1"/>
  <c r="S33" i="5"/>
  <c r="R33" i="5"/>
  <c r="T21" i="5"/>
  <c r="U21" i="5" s="1"/>
  <c r="S21" i="5"/>
  <c r="R21" i="5"/>
  <c r="T38" i="5"/>
  <c r="U38" i="5" s="1"/>
  <c r="S38" i="5"/>
  <c r="R38" i="5"/>
  <c r="T221" i="5"/>
  <c r="U221" i="5" s="1"/>
  <c r="S221" i="5"/>
  <c r="R221" i="5"/>
  <c r="T206" i="5"/>
  <c r="U206" i="5" s="1"/>
  <c r="S206" i="5"/>
  <c r="R206" i="5"/>
  <c r="T204" i="5"/>
  <c r="U204" i="5" s="1"/>
  <c r="S204" i="5"/>
  <c r="R204" i="5"/>
  <c r="T202" i="5"/>
  <c r="U202" i="5" s="1"/>
  <c r="S202" i="5"/>
  <c r="R202" i="5"/>
  <c r="T200" i="5"/>
  <c r="U200" i="5" s="1"/>
  <c r="S200" i="5"/>
  <c r="R200" i="5"/>
  <c r="T198" i="5"/>
  <c r="U198" i="5" s="1"/>
  <c r="S198" i="5"/>
  <c r="R198" i="5"/>
  <c r="T194" i="5"/>
  <c r="U194" i="5" s="1"/>
  <c r="S194" i="5"/>
  <c r="R194" i="5"/>
  <c r="T186" i="5"/>
  <c r="U186" i="5" s="1"/>
  <c r="S186" i="5"/>
  <c r="R186" i="5"/>
  <c r="T171" i="5"/>
  <c r="U171" i="5" s="1"/>
  <c r="S171" i="5"/>
  <c r="R171" i="5"/>
  <c r="T167" i="5"/>
  <c r="U167" i="5" s="1"/>
  <c r="S167" i="5"/>
  <c r="R167" i="5"/>
  <c r="T145" i="5"/>
  <c r="U145" i="5" s="1"/>
  <c r="S145" i="5"/>
  <c r="R145" i="5"/>
  <c r="T143" i="5"/>
  <c r="U143" i="5" s="1"/>
  <c r="S143" i="5"/>
  <c r="R143" i="5"/>
  <c r="T141" i="5"/>
  <c r="U141" i="5" s="1"/>
  <c r="S141" i="5"/>
  <c r="R141" i="5"/>
  <c r="T139" i="5"/>
  <c r="U139" i="5" s="1"/>
  <c r="S139" i="5"/>
  <c r="R139" i="5"/>
  <c r="T137" i="5"/>
  <c r="U137" i="5" s="1"/>
  <c r="S137" i="5"/>
  <c r="R137" i="5"/>
  <c r="T135" i="5"/>
  <c r="U135" i="5" s="1"/>
  <c r="S135" i="5"/>
  <c r="R135" i="5"/>
  <c r="T133" i="5"/>
  <c r="U133" i="5" s="1"/>
  <c r="S133" i="5"/>
  <c r="R133" i="5"/>
  <c r="T131" i="5"/>
  <c r="U131" i="5" s="1"/>
  <c r="S131" i="5"/>
  <c r="R131" i="5"/>
  <c r="T129" i="5"/>
  <c r="U129" i="5" s="1"/>
  <c r="S129" i="5"/>
  <c r="R129" i="5"/>
  <c r="T127" i="5"/>
  <c r="U127" i="5" s="1"/>
  <c r="S127" i="5"/>
  <c r="R127" i="5"/>
  <c r="T125" i="5"/>
  <c r="U125" i="5" s="1"/>
  <c r="S125" i="5"/>
  <c r="R125" i="5"/>
  <c r="T123" i="5"/>
  <c r="U123" i="5" s="1"/>
  <c r="S123" i="5"/>
  <c r="R123" i="5"/>
  <c r="T121" i="5"/>
  <c r="U121" i="5" s="1"/>
  <c r="S121" i="5"/>
  <c r="R121" i="5"/>
  <c r="T119" i="5"/>
  <c r="U119" i="5" s="1"/>
  <c r="S119" i="5"/>
  <c r="R119" i="5"/>
  <c r="T111" i="5"/>
  <c r="U111" i="5" s="1"/>
  <c r="S111" i="5"/>
  <c r="R111" i="5"/>
  <c r="T109" i="5"/>
  <c r="U109" i="5" s="1"/>
  <c r="S109" i="5"/>
  <c r="R109" i="5"/>
  <c r="T107" i="5"/>
  <c r="U107" i="5" s="1"/>
  <c r="S107" i="5"/>
  <c r="R107" i="5"/>
  <c r="T105" i="5"/>
  <c r="U105" i="5" s="1"/>
  <c r="S105" i="5"/>
  <c r="R105" i="5"/>
  <c r="T100" i="5"/>
  <c r="U100" i="5" s="1"/>
  <c r="S100" i="5"/>
  <c r="R100" i="5"/>
  <c r="T98" i="5"/>
  <c r="U98" i="5" s="1"/>
  <c r="S98" i="5"/>
  <c r="R98" i="5"/>
  <c r="T78" i="5"/>
  <c r="U78" i="5" s="1"/>
  <c r="S78" i="5"/>
  <c r="R78" i="5"/>
  <c r="T76" i="5"/>
  <c r="U76" i="5" s="1"/>
  <c r="S76" i="5"/>
  <c r="R76" i="5"/>
  <c r="T74" i="5"/>
  <c r="U74" i="5" s="1"/>
  <c r="S74" i="5"/>
  <c r="R74" i="5"/>
  <c r="T70" i="5"/>
  <c r="U70" i="5" s="1"/>
  <c r="S70" i="5"/>
  <c r="R70" i="5"/>
  <c r="T62" i="5"/>
  <c r="U62" i="5" s="1"/>
  <c r="S62" i="5"/>
  <c r="R62" i="5"/>
  <c r="T60" i="5"/>
  <c r="U60" i="5" s="1"/>
  <c r="S60" i="5"/>
  <c r="R60" i="5"/>
  <c r="T58" i="5"/>
  <c r="U58" i="5" s="1"/>
  <c r="S58" i="5"/>
  <c r="R58" i="5"/>
  <c r="T56" i="5"/>
  <c r="U56" i="5" s="1"/>
  <c r="S56" i="5"/>
  <c r="R56" i="5"/>
  <c r="T51" i="5"/>
  <c r="U51" i="5" s="1"/>
  <c r="S51" i="5"/>
  <c r="R51" i="5"/>
  <c r="T49" i="5"/>
  <c r="U49" i="5" s="1"/>
  <c r="S49" i="5"/>
  <c r="R49" i="5"/>
  <c r="T47" i="5"/>
  <c r="U47" i="5" s="1"/>
  <c r="S47" i="5"/>
  <c r="R47" i="5"/>
  <c r="T20" i="5"/>
  <c r="U20" i="5" s="1"/>
  <c r="S20" i="5"/>
  <c r="R20" i="5"/>
  <c r="T17" i="5"/>
  <c r="U17" i="5" s="1"/>
  <c r="S17" i="5"/>
  <c r="R17" i="5"/>
  <c r="T227" i="5"/>
  <c r="U227" i="5" s="1"/>
  <c r="S227" i="5"/>
  <c r="R227" i="5"/>
  <c r="T79" i="5"/>
  <c r="U79" i="5" s="1"/>
  <c r="S79" i="5"/>
  <c r="R79" i="5"/>
  <c r="T81" i="5"/>
  <c r="U81" i="5" s="1"/>
  <c r="S81" i="5"/>
  <c r="R81" i="5"/>
  <c r="T80" i="5"/>
  <c r="U80" i="5" s="1"/>
  <c r="S80" i="5"/>
  <c r="R80" i="5"/>
  <c r="T31" i="5"/>
  <c r="U31" i="5" s="1"/>
  <c r="S31" i="5"/>
  <c r="R31" i="5"/>
  <c r="T29" i="5"/>
  <c r="U29" i="5" s="1"/>
  <c r="S29" i="5"/>
  <c r="R29" i="5"/>
  <c r="T27" i="5"/>
  <c r="U27" i="5" s="1"/>
  <c r="S27" i="5"/>
  <c r="R27" i="5"/>
  <c r="T11" i="5"/>
  <c r="U11" i="5" s="1"/>
  <c r="S11" i="5"/>
  <c r="R11" i="5"/>
  <c r="T9" i="5"/>
  <c r="U9" i="5" s="1"/>
  <c r="S9" i="5"/>
  <c r="R9" i="5"/>
  <c r="T196" i="5"/>
  <c r="U196" i="5" s="1"/>
  <c r="S196" i="5"/>
  <c r="R196" i="5"/>
  <c r="T190" i="5"/>
  <c r="U190" i="5" s="1"/>
  <c r="S190" i="5"/>
  <c r="R190" i="5"/>
  <c r="T188" i="5"/>
  <c r="U188" i="5" s="1"/>
  <c r="S188" i="5"/>
  <c r="R188" i="5"/>
  <c r="T159" i="5"/>
  <c r="U159" i="5" s="1"/>
  <c r="S159" i="5"/>
  <c r="R159" i="5"/>
  <c r="T83" i="5"/>
  <c r="U83" i="5" s="1"/>
  <c r="S83" i="5"/>
  <c r="R83" i="5"/>
  <c r="T116" i="5"/>
  <c r="U116" i="5" s="1"/>
  <c r="S116" i="5"/>
  <c r="R116" i="5"/>
  <c r="T114" i="5"/>
  <c r="U114" i="5" s="1"/>
  <c r="S114" i="5"/>
  <c r="R114" i="5"/>
  <c r="T112" i="5"/>
  <c r="U112" i="5" s="1"/>
  <c r="S112" i="5"/>
  <c r="R112" i="5"/>
  <c r="T86" i="5"/>
  <c r="U86" i="5" s="1"/>
  <c r="S86" i="5"/>
  <c r="R86" i="5"/>
  <c r="T67" i="5"/>
  <c r="U67" i="5" s="1"/>
  <c r="S67" i="5"/>
  <c r="R67" i="5"/>
  <c r="T65" i="5"/>
  <c r="U65" i="5" s="1"/>
  <c r="S65" i="5"/>
  <c r="R65" i="5"/>
  <c r="T42" i="5"/>
  <c r="U42" i="5" s="1"/>
  <c r="S42" i="5"/>
  <c r="R42" i="5"/>
  <c r="T40" i="5"/>
  <c r="U40" i="5" s="1"/>
  <c r="S40" i="5"/>
  <c r="R40" i="5"/>
  <c r="T25" i="5"/>
  <c r="U25" i="5" s="1"/>
  <c r="S25" i="5"/>
  <c r="R25" i="5"/>
  <c r="T23" i="5"/>
  <c r="U23" i="5" s="1"/>
  <c r="S23" i="5"/>
  <c r="R23" i="5"/>
  <c r="T176" i="5"/>
  <c r="U176" i="5" s="1"/>
  <c r="S176" i="5"/>
  <c r="R176" i="5"/>
  <c r="T174" i="5"/>
  <c r="U174" i="5" s="1"/>
  <c r="S174" i="5"/>
  <c r="R174" i="5"/>
  <c r="T172" i="5"/>
  <c r="U172" i="5" s="1"/>
  <c r="S172" i="5"/>
  <c r="R172" i="5"/>
  <c r="T115" i="5"/>
  <c r="U115" i="5" s="1"/>
  <c r="S115" i="5"/>
  <c r="R115" i="5"/>
  <c r="T113" i="5"/>
  <c r="U113" i="5" s="1"/>
  <c r="S113" i="5"/>
  <c r="R113" i="5"/>
  <c r="T66" i="5"/>
  <c r="U66" i="5" s="1"/>
  <c r="S66" i="5"/>
  <c r="R66" i="5"/>
  <c r="T43" i="5"/>
  <c r="U43" i="5" s="1"/>
  <c r="S43" i="5"/>
  <c r="R43" i="5"/>
  <c r="T41" i="5"/>
  <c r="U41" i="5" s="1"/>
  <c r="S41" i="5"/>
  <c r="R41" i="5"/>
  <c r="T175" i="5"/>
  <c r="U175" i="5" s="1"/>
  <c r="S175" i="5"/>
  <c r="R175" i="5"/>
  <c r="T173" i="5"/>
  <c r="U173" i="5" s="1"/>
  <c r="S173" i="5"/>
  <c r="R173" i="5"/>
  <c r="T219" i="5"/>
  <c r="U219" i="5" s="1"/>
  <c r="S219" i="5"/>
  <c r="R219" i="5"/>
  <c r="T218" i="5"/>
  <c r="U218" i="5" s="1"/>
  <c r="S218" i="5"/>
  <c r="R218" i="5"/>
  <c r="T178" i="5"/>
  <c r="U178" i="5" s="1"/>
  <c r="S178" i="5"/>
  <c r="R178" i="5"/>
  <c r="T177" i="5"/>
  <c r="U177" i="5" s="1"/>
  <c r="S177" i="5"/>
  <c r="R177" i="5"/>
  <c r="T163" i="5"/>
  <c r="U163" i="5" s="1"/>
  <c r="S163" i="5"/>
  <c r="R163" i="5"/>
  <c r="T162" i="5"/>
  <c r="U162" i="5" s="1"/>
  <c r="S162" i="5"/>
  <c r="R162" i="5"/>
  <c r="T146" i="5"/>
  <c r="U146" i="5" s="1"/>
  <c r="S146" i="5"/>
  <c r="R146" i="5"/>
  <c r="T117" i="5"/>
  <c r="U117" i="5" s="1"/>
  <c r="S117" i="5"/>
  <c r="R117" i="5"/>
  <c r="T101" i="5"/>
  <c r="U101" i="5" s="1"/>
  <c r="S101" i="5"/>
  <c r="R101" i="5"/>
  <c r="T85" i="5"/>
  <c r="U85" i="5" s="1"/>
  <c r="S85" i="5"/>
  <c r="R85" i="5"/>
  <c r="T68" i="5"/>
  <c r="U68" i="5" s="1"/>
  <c r="S68" i="5"/>
  <c r="R68" i="5"/>
  <c r="T52" i="5"/>
  <c r="U52" i="5" s="1"/>
  <c r="S52" i="5"/>
  <c r="R52" i="5"/>
  <c r="T37" i="5"/>
  <c r="U37" i="5" s="1"/>
  <c r="S37" i="5"/>
  <c r="R37" i="5"/>
  <c r="T18" i="5"/>
  <c r="U18" i="5" s="1"/>
  <c r="S18" i="5"/>
  <c r="R18" i="5"/>
  <c r="T7" i="5"/>
  <c r="U7" i="5" s="1"/>
  <c r="S7" i="5"/>
  <c r="R7" i="5"/>
  <c r="T225" i="5"/>
  <c r="U225" i="5" s="1"/>
  <c r="S225" i="5"/>
  <c r="R225" i="5"/>
  <c r="T224" i="5"/>
  <c r="U224" i="5" s="1"/>
  <c r="S224" i="5"/>
  <c r="R224" i="5"/>
  <c r="T217" i="5"/>
  <c r="U217" i="5" s="1"/>
  <c r="S217" i="5"/>
  <c r="R217" i="5"/>
  <c r="T216" i="5"/>
  <c r="U216" i="5" s="1"/>
  <c r="S216" i="5"/>
  <c r="R216" i="5"/>
  <c r="T158" i="5"/>
  <c r="U158" i="5" s="1"/>
  <c r="S158" i="5"/>
  <c r="R158" i="5"/>
  <c r="T157" i="5"/>
  <c r="U157" i="5" s="1"/>
  <c r="S157" i="5"/>
  <c r="R157" i="5"/>
  <c r="T156" i="5"/>
  <c r="U156" i="5" s="1"/>
  <c r="S156" i="5"/>
  <c r="R156" i="5"/>
  <c r="T153" i="5"/>
  <c r="U153" i="5" s="1"/>
  <c r="S153" i="5"/>
  <c r="R153" i="5"/>
  <c r="T89" i="5"/>
  <c r="U89" i="5" s="1"/>
  <c r="S89" i="5"/>
  <c r="R89" i="5"/>
  <c r="T88" i="5"/>
  <c r="U88" i="5" s="1"/>
  <c r="S88" i="5"/>
  <c r="R88" i="5"/>
  <c r="T87" i="5"/>
  <c r="U87" i="5" s="1"/>
  <c r="S87" i="5"/>
  <c r="R87" i="5"/>
  <c r="T84" i="5"/>
  <c r="U84" i="5" s="1"/>
  <c r="S84" i="5"/>
  <c r="R84" i="5"/>
  <c r="T71" i="5"/>
  <c r="U71" i="5" s="1"/>
  <c r="S71" i="5"/>
  <c r="R71" i="5"/>
  <c r="T45" i="5"/>
  <c r="U45" i="5" s="1"/>
  <c r="S45" i="5"/>
  <c r="R45" i="5"/>
  <c r="T39" i="5"/>
  <c r="U39" i="5" s="1"/>
  <c r="S39" i="5"/>
  <c r="R39" i="5"/>
  <c r="T36" i="5"/>
  <c r="U36" i="5" s="1"/>
  <c r="S36" i="5"/>
  <c r="R36" i="5"/>
  <c r="T32" i="5"/>
  <c r="U32" i="5" s="1"/>
  <c r="S32" i="5"/>
  <c r="R32" i="5"/>
  <c r="T30" i="5"/>
  <c r="U30" i="5" s="1"/>
  <c r="S30" i="5"/>
  <c r="R30" i="5"/>
  <c r="T215" i="5"/>
  <c r="U215" i="5" s="1"/>
  <c r="S215" i="5"/>
  <c r="R215" i="5"/>
  <c r="T230" i="5"/>
  <c r="P230" i="5" s="1"/>
  <c r="U5" i="5"/>
  <c r="U230" i="5" s="1"/>
  <c r="M36" i="4" l="1"/>
  <c r="J33" i="4"/>
  <c r="F6" i="7" s="1"/>
  <c r="M6" i="7" s="1"/>
  <c r="Q25" i="2"/>
  <c r="Q24" i="2"/>
  <c r="Q23" i="2"/>
  <c r="Q22" i="2"/>
  <c r="Q21" i="2"/>
  <c r="Q20" i="2"/>
  <c r="P26" i="2" s="1"/>
  <c r="O25" i="2"/>
  <c r="O24" i="2"/>
  <c r="O23" i="2"/>
  <c r="O22" i="2"/>
  <c r="O21" i="2"/>
  <c r="O20" i="2"/>
  <c r="N26" i="2" s="1"/>
  <c r="M25" i="2"/>
  <c r="M24" i="2"/>
  <c r="M23" i="2"/>
  <c r="M22" i="2"/>
  <c r="M21" i="2"/>
  <c r="M20" i="2"/>
  <c r="L26" i="2" s="1"/>
  <c r="K25" i="2"/>
  <c r="K24" i="2"/>
  <c r="K23" i="2"/>
  <c r="K22" i="2"/>
  <c r="K21" i="2"/>
  <c r="K20" i="2"/>
  <c r="J26" i="2" s="1"/>
  <c r="I25" i="2"/>
  <c r="I24" i="2"/>
  <c r="I23" i="2"/>
  <c r="I22" i="2"/>
  <c r="I21" i="2"/>
  <c r="I20" i="2"/>
  <c r="H26" i="2" s="1"/>
  <c r="G25" i="2"/>
  <c r="G24" i="2"/>
  <c r="G23" i="2"/>
  <c r="G22" i="2"/>
  <c r="G21" i="2"/>
  <c r="G20" i="2"/>
  <c r="F26" i="2" s="1"/>
  <c r="E25" i="2"/>
  <c r="E24" i="2"/>
  <c r="E23" i="2"/>
  <c r="E22" i="2"/>
  <c r="E21" i="2"/>
  <c r="E20" i="2"/>
  <c r="D26" i="2" s="1"/>
  <c r="C25" i="2"/>
  <c r="C24" i="2"/>
  <c r="C23" i="2"/>
  <c r="C22" i="2"/>
  <c r="C21" i="2"/>
  <c r="C20" i="2"/>
  <c r="B26" i="2" s="1"/>
  <c r="D6" i="13"/>
  <c r="E6" i="13" s="1"/>
  <c r="L15" i="11"/>
  <c r="D5" i="13"/>
  <c r="E5" i="13" s="1"/>
  <c r="L10" i="9"/>
  <c r="C34" i="2" l="1"/>
  <c r="C33" i="2"/>
  <c r="C32" i="2"/>
  <c r="C31" i="2"/>
  <c r="C30" i="2"/>
  <c r="C29" i="2"/>
  <c r="C28" i="2"/>
  <c r="B35" i="2" s="1"/>
  <c r="C43" i="2"/>
  <c r="G47" i="2" s="1"/>
  <c r="C42" i="2"/>
  <c r="E47" i="2" s="1"/>
  <c r="C41" i="2"/>
  <c r="E34" i="2"/>
  <c r="E33" i="2"/>
  <c r="E32" i="2"/>
  <c r="E31" i="2"/>
  <c r="E30" i="2"/>
  <c r="E29" i="2"/>
  <c r="E28" i="2"/>
  <c r="D35" i="2" s="1"/>
  <c r="E43" i="2"/>
  <c r="G48" i="2" s="1"/>
  <c r="E42" i="2"/>
  <c r="E48" i="2" s="1"/>
  <c r="E41" i="2"/>
  <c r="G34" i="2"/>
  <c r="G33" i="2"/>
  <c r="G32" i="2"/>
  <c r="G31" i="2"/>
  <c r="G30" i="2"/>
  <c r="G29" i="2"/>
  <c r="G28" i="2"/>
  <c r="F35" i="2" s="1"/>
  <c r="G43" i="2"/>
  <c r="G49" i="2" s="1"/>
  <c r="G42" i="2"/>
  <c r="E49" i="2" s="1"/>
  <c r="G41" i="2"/>
  <c r="I34" i="2"/>
  <c r="I33" i="2"/>
  <c r="I32" i="2"/>
  <c r="I31" i="2"/>
  <c r="I30" i="2"/>
  <c r="I29" i="2"/>
  <c r="I28" i="2"/>
  <c r="H35" i="2" s="1"/>
  <c r="I43" i="2"/>
  <c r="G51" i="2" s="1"/>
  <c r="I42" i="2"/>
  <c r="E51" i="2" s="1"/>
  <c r="I41" i="2"/>
  <c r="K34" i="2"/>
  <c r="K33" i="2"/>
  <c r="K32" i="2"/>
  <c r="K31" i="2"/>
  <c r="K30" i="2"/>
  <c r="K29" i="2"/>
  <c r="K28" i="2"/>
  <c r="J35" i="2" s="1"/>
  <c r="K43" i="2"/>
  <c r="G52" i="2" s="1"/>
  <c r="K42" i="2"/>
  <c r="E52" i="2" s="1"/>
  <c r="K41" i="2"/>
  <c r="M34" i="2"/>
  <c r="M33" i="2"/>
  <c r="M32" i="2"/>
  <c r="M31" i="2"/>
  <c r="M30" i="2"/>
  <c r="M29" i="2"/>
  <c r="M28" i="2"/>
  <c r="L35" i="2" s="1"/>
  <c r="M43" i="2"/>
  <c r="M42" i="2"/>
  <c r="M41" i="2"/>
  <c r="O34" i="2"/>
  <c r="O33" i="2"/>
  <c r="O32" i="2"/>
  <c r="O31" i="2"/>
  <c r="O30" i="2"/>
  <c r="O29" i="2"/>
  <c r="O28" i="2"/>
  <c r="N35" i="2" s="1"/>
  <c r="O43" i="2"/>
  <c r="O42" i="2"/>
  <c r="O41" i="2"/>
  <c r="Q34" i="2"/>
  <c r="Q33" i="2"/>
  <c r="Q32" i="2"/>
  <c r="Q31" i="2"/>
  <c r="Q30" i="2"/>
  <c r="Q29" i="2"/>
  <c r="Q28" i="2"/>
  <c r="P35" i="2" s="1"/>
  <c r="Q43" i="2"/>
  <c r="Q42" i="2"/>
  <c r="Q41" i="2"/>
  <c r="Q37" i="2" l="1"/>
  <c r="P39" i="2" s="1"/>
  <c r="O37" i="2"/>
  <c r="N39" i="2" s="1"/>
  <c r="M37" i="2"/>
  <c r="L39" i="2" s="1"/>
  <c r="K37" i="2"/>
  <c r="J39" i="2" s="1"/>
  <c r="C52" i="2" s="1"/>
  <c r="I37" i="2"/>
  <c r="H39" i="2" s="1"/>
  <c r="C51" i="2" s="1"/>
  <c r="G37" i="2"/>
  <c r="F39" i="2" s="1"/>
  <c r="C49" i="2" s="1"/>
  <c r="E37" i="2"/>
  <c r="D39" i="2" s="1"/>
  <c r="C48" i="2" s="1"/>
  <c r="C37" i="2"/>
  <c r="B39" i="2" s="1"/>
  <c r="C47" i="2" s="1"/>
  <c r="L6" i="7"/>
  <c r="N6" i="7"/>
  <c r="Q6" i="7"/>
  <c r="R6" i="7"/>
  <c r="R7" i="7"/>
  <c r="R10" i="7"/>
  <c r="R12" i="7"/>
  <c r="Q7" i="7"/>
  <c r="Q10" i="7"/>
  <c r="Q12" i="7"/>
  <c r="G4" i="8"/>
  <c r="H4" i="8"/>
  <c r="I4" i="8"/>
  <c r="I6" i="8"/>
  <c r="H6" i="8"/>
  <c r="G6" i="8"/>
  <c r="D4" i="13"/>
  <c r="E4" i="13"/>
  <c r="D8" i="13"/>
  <c r="E8" i="13"/>
  <c r="H6" i="7"/>
  <c r="J6" i="7"/>
  <c r="O6" i="7"/>
  <c r="O7" i="7"/>
  <c r="O10" i="7"/>
  <c r="E4" i="8"/>
  <c r="E6" i="8"/>
  <c r="C4" i="13"/>
  <c r="C8" i="13"/>
  <c r="G6" i="7"/>
  <c r="K6" i="7"/>
  <c r="P6" i="7"/>
  <c r="P7" i="7"/>
  <c r="P10" i="7"/>
  <c r="F4" i="8"/>
  <c r="F6" i="8"/>
  <c r="B4" i="13"/>
  <c r="B8" i="13"/>
  <c r="G50" i="2"/>
  <c r="F53" i="2"/>
  <c r="E50" i="2"/>
  <c r="D53" i="2"/>
  <c r="C50" i="2"/>
  <c r="B53" i="2"/>
</calcChain>
</file>

<file path=xl/sharedStrings.xml><?xml version="1.0" encoding="utf-8"?>
<sst xmlns="http://schemas.openxmlformats.org/spreadsheetml/2006/main" count="3369" uniqueCount="664">
  <si>
    <t>Blad 'Omreken'</t>
  </si>
  <si>
    <t>Dit blad mag niet worden gewijzigd!</t>
  </si>
  <si>
    <t>Type:</t>
  </si>
  <si>
    <t>Invultabel</t>
  </si>
  <si>
    <t xml:space="preserve">werkdag                  </t>
  </si>
  <si>
    <t xml:space="preserve">per jaar: </t>
  </si>
  <si>
    <t xml:space="preserve">per week: </t>
  </si>
  <si>
    <t>FREQ</t>
  </si>
  <si>
    <t>FACTOR</t>
  </si>
  <si>
    <t>400J</t>
  </si>
  <si>
    <t>210J</t>
  </si>
  <si>
    <t>5W</t>
  </si>
  <si>
    <t>200J</t>
  </si>
  <si>
    <t>4W</t>
  </si>
  <si>
    <t>3W</t>
  </si>
  <si>
    <t>100J</t>
  </si>
  <si>
    <t>2W</t>
  </si>
  <si>
    <t>1W</t>
  </si>
  <si>
    <t>26J</t>
  </si>
  <si>
    <t>12J</t>
  </si>
  <si>
    <t>10J</t>
  </si>
  <si>
    <t>6J</t>
  </si>
  <si>
    <t>4J</t>
  </si>
  <si>
    <t>3J</t>
  </si>
  <si>
    <t>2J</t>
  </si>
  <si>
    <t>1J</t>
  </si>
  <si>
    <t xml:space="preserve">feestdag                 </t>
  </si>
  <si>
    <t xml:space="preserve">periodiek vakantie       </t>
  </si>
  <si>
    <t xml:space="preserve">werkdag vakantie         </t>
  </si>
  <si>
    <t xml:space="preserve">weekenddag               </t>
  </si>
  <si>
    <t>Opbouw uurtarief</t>
  </si>
  <si>
    <t>Regulier werk</t>
  </si>
  <si>
    <t>Regie werk</t>
  </si>
  <si>
    <t>Uitvoering</t>
  </si>
  <si>
    <t>Directe leiding</t>
  </si>
  <si>
    <t>ONDERDEEL</t>
  </si>
  <si>
    <t>Vakvolwassene</t>
  </si>
  <si>
    <t>Leiding (meewerkend)</t>
  </si>
  <si>
    <t>Leiding (niet-meewerkend)</t>
  </si>
  <si>
    <t>Vakvolwassene regie</t>
  </si>
  <si>
    <t>Leiding regie</t>
  </si>
  <si>
    <t>Loongroep/ervaring</t>
  </si>
  <si>
    <t>&gt;3 dienstjaren</t>
  </si>
  <si>
    <t/>
  </si>
  <si>
    <t>voorman/vrouw</t>
  </si>
  <si>
    <t>objectleider</t>
  </si>
  <si>
    <t>specialist</t>
  </si>
  <si>
    <t>Basis uurloon (CAO)</t>
  </si>
  <si>
    <t>Basis toeslagen</t>
  </si>
  <si>
    <t>Totaal basisloon</t>
  </si>
  <si>
    <t>Vakantietoeslag</t>
  </si>
  <si>
    <t>Overige structurele uitkeringen</t>
  </si>
  <si>
    <t>Totaal uurloon inclusief toeslagen</t>
  </si>
  <si>
    <t>Sociale lasten</t>
  </si>
  <si>
    <t>Totaal uurloon inclusief sociale lasten</t>
  </si>
  <si>
    <t>Vakantiedagen</t>
  </si>
  <si>
    <t>Betaalde feestdagen</t>
  </si>
  <si>
    <t>Ziektedagen</t>
  </si>
  <si>
    <t>Overige niet werkbare dagen</t>
  </si>
  <si>
    <t>TOTAAL LOONKOSTEN PER UUR</t>
  </si>
  <si>
    <t>Materialen en middelen</t>
  </si>
  <si>
    <t>Machinekosten</t>
  </si>
  <si>
    <t>Werkkleding en uitrusting</t>
  </si>
  <si>
    <t>Afvalzakken</t>
  </si>
  <si>
    <t>Reiskosten/vervoerskosten/parkeergelden</t>
  </si>
  <si>
    <t>Overige directe kosten</t>
  </si>
  <si>
    <t>TOTAAL DIRECTE KOSTEN</t>
  </si>
  <si>
    <t>Indirecte leiding</t>
  </si>
  <si>
    <t>Managementkosten</t>
  </si>
  <si>
    <t>P.Z. kosten</t>
  </si>
  <si>
    <t>Opleiding</t>
  </si>
  <si>
    <t>Huisvesting</t>
  </si>
  <si>
    <t>Administratiekosten</t>
  </si>
  <si>
    <t>Overige overhead</t>
  </si>
  <si>
    <t>TOTAAL INDIRECTE KOSTEN</t>
  </si>
  <si>
    <t>RISICO EN WINST</t>
  </si>
  <si>
    <t>TOTAAL UURTARIEF (excl. BTW)</t>
  </si>
  <si>
    <t>Onregelmatigheids tijdstip:</t>
  </si>
  <si>
    <t>toeslag</t>
  </si>
  <si>
    <t>tarief</t>
  </si>
  <si>
    <t>- DN: ma-vr nacht</t>
  </si>
  <si>
    <t>- W: weekend</t>
  </si>
  <si>
    <t>- X: feestdag</t>
  </si>
  <si>
    <t>TARIEVEN REGULIER WERK</t>
  </si>
  <si>
    <t>Werkdag</t>
  </si>
  <si>
    <t>Weekend</t>
  </si>
  <si>
    <t>Feestdag</t>
  </si>
  <si>
    <t>Aandeel</t>
  </si>
  <si>
    <t>Tarief</t>
  </si>
  <si>
    <t>Gewogen tarief uitvoering</t>
  </si>
  <si>
    <t>Tarieven regulier werk</t>
  </si>
  <si>
    <t>TARIEVEN REGIE WERK</t>
  </si>
  <si>
    <t>Tarieven regie werk</t>
  </si>
  <si>
    <t>NORM-CODE</t>
  </si>
  <si>
    <t>CATEGORIE</t>
  </si>
  <si>
    <t>DAGEN/JAAR</t>
  </si>
  <si>
    <t>OMSCHRIJVING</t>
  </si>
  <si>
    <t>PRODUCTIE-NORM</t>
  </si>
  <si>
    <t>% HOOG-FREQUENT</t>
  </si>
  <si>
    <t>EENHEID</t>
  </si>
  <si>
    <t>TARIEF (EURO)</t>
  </si>
  <si>
    <t xml:space="preserve">WERKDAG                  </t>
  </si>
  <si>
    <t>BHB</t>
  </si>
  <si>
    <t xml:space="preserve">B    </t>
  </si>
  <si>
    <t>Kantoor-/personeels-/vergaderruimte hard (basis)</t>
  </si>
  <si>
    <t>m²/uur</t>
  </si>
  <si>
    <t>BZB</t>
  </si>
  <si>
    <t>Kantoor-/personeels-/vergaderruimte zacht (basis)</t>
  </si>
  <si>
    <t>BZV</t>
  </si>
  <si>
    <t>Kantoor-/personeels-/vergaderruimte zacht (volledig)</t>
  </si>
  <si>
    <t>LHB</t>
  </si>
  <si>
    <t>Leslokalen/studieruimte hard (basis)</t>
  </si>
  <si>
    <t>LHV</t>
  </si>
  <si>
    <t>Leslokalen/studieruimte hard (volledig)</t>
  </si>
  <si>
    <t>LZB</t>
  </si>
  <si>
    <t>Leslokalen/studieruimte zacht (basis)</t>
  </si>
  <si>
    <t>LZV</t>
  </si>
  <si>
    <t>Leslokalen/studieruimte zacht (volledig)</t>
  </si>
  <si>
    <t>MHB</t>
  </si>
  <si>
    <t>Media-/bilbiotheek hard (basis)</t>
  </si>
  <si>
    <t>MHV</t>
  </si>
  <si>
    <t>Media-/bilbiotheek hard (volledig)</t>
  </si>
  <si>
    <t>MZB</t>
  </si>
  <si>
    <t>Media-/bilbiotheek zacht (basis)</t>
  </si>
  <si>
    <t>MZV</t>
  </si>
  <si>
    <t>Media-/bilbiotheek zacht (volledig)</t>
  </si>
  <si>
    <t>PMHB</t>
  </si>
  <si>
    <t xml:space="preserve">PM   </t>
  </si>
  <si>
    <t>Praktijklokaal minimaal hard (basis)</t>
  </si>
  <si>
    <t>PMHV</t>
  </si>
  <si>
    <t>Praktijklokaal minimaal hard (volledig)</t>
  </si>
  <si>
    <t>PUHB</t>
  </si>
  <si>
    <t xml:space="preserve">PU   </t>
  </si>
  <si>
    <t>Praktijklokaal uitgebreid hard (basis)</t>
  </si>
  <si>
    <t>PUHV</t>
  </si>
  <si>
    <t>Praktijklokaal uitgebreid hard (volledig)</t>
  </si>
  <si>
    <t>DHB</t>
  </si>
  <si>
    <t xml:space="preserve">S    </t>
  </si>
  <si>
    <t>Douche/wasruimte hard (basis)</t>
  </si>
  <si>
    <t>DHV</t>
  </si>
  <si>
    <t>Douche/wasruimte hard (volledig)</t>
  </si>
  <si>
    <t>SHB</t>
  </si>
  <si>
    <t>Sanitaire ruimte/toiletten hard (basis)</t>
  </si>
  <si>
    <t>SHV</t>
  </si>
  <si>
    <t>Sanitaire ruimte/toiletten hard (volledig)</t>
  </si>
  <si>
    <t>AHB</t>
  </si>
  <si>
    <t xml:space="preserve">V    </t>
  </si>
  <si>
    <t>Aula/pauzeruimte hard (basis)</t>
  </si>
  <si>
    <t>AHV</t>
  </si>
  <si>
    <t>Aula/pauzeruimte hard (volledig)</t>
  </si>
  <si>
    <t>EZB</t>
  </si>
  <si>
    <t>Entree zacht (basis)</t>
  </si>
  <si>
    <t>EZV</t>
  </si>
  <si>
    <t>Entree zacht (volledig)</t>
  </si>
  <si>
    <t>FHB</t>
  </si>
  <si>
    <t>Lift hard (basis)</t>
  </si>
  <si>
    <t>FHV</t>
  </si>
  <si>
    <t>Lift hard (volledig)</t>
  </si>
  <si>
    <t>PHB</t>
  </si>
  <si>
    <t>Pantry/keuken hard (basis)</t>
  </si>
  <si>
    <t>PHV</t>
  </si>
  <si>
    <t>Pantry/keuken hard (volledig)</t>
  </si>
  <si>
    <t>THB</t>
  </si>
  <si>
    <t>Trap hard (basis)</t>
  </si>
  <si>
    <t>THV</t>
  </si>
  <si>
    <t>Trap hard (volledig)</t>
  </si>
  <si>
    <t>VHB</t>
  </si>
  <si>
    <t>Verkeersruimte/garderobe/reprografie hard (basis)</t>
  </si>
  <si>
    <t>VHV</t>
  </si>
  <si>
    <t>Verkeersruimte/garderobe/reprografie hard (volledig)</t>
  </si>
  <si>
    <t>VZB</t>
  </si>
  <si>
    <t>Verkeersruimte/garderobe/reprografie zacht (basis)</t>
  </si>
  <si>
    <t>VZV</t>
  </si>
  <si>
    <t>Verkeersruimte/garderobe/reprografie zacht (volledig)</t>
  </si>
  <si>
    <t>TAAK</t>
  </si>
  <si>
    <t>WERK- SOORT</t>
  </si>
  <si>
    <t>OPP OF AANTAL</t>
  </si>
  <si>
    <t>OPP OF AANTAL /DAG</t>
  </si>
  <si>
    <t>UREN/ DAG</t>
  </si>
  <si>
    <t>PRIJS/ DAG</t>
  </si>
  <si>
    <t>UREN/ JAAR</t>
  </si>
  <si>
    <t>PRIJS/ JAAR</t>
  </si>
  <si>
    <t>AH</t>
  </si>
  <si>
    <t>interieur</t>
  </si>
  <si>
    <t>Aula/pauzeruimte harde vloer</t>
  </si>
  <si>
    <t>AHN</t>
  </si>
  <si>
    <t>Aula/pauzeruimte harde vloer naloop</t>
  </si>
  <si>
    <t>BH</t>
  </si>
  <si>
    <t>Kantoor/personeels-/vergaderrruimte harde vloer</t>
  </si>
  <si>
    <t>BZ</t>
  </si>
  <si>
    <t>Kantoor/personeels-/vergaderrruimte zachte vloer</t>
  </si>
  <si>
    <t>DH</t>
  </si>
  <si>
    <t>Douche/wasruimte harde vloer</t>
  </si>
  <si>
    <t>EZ</t>
  </si>
  <si>
    <t>Entree zachte vloer</t>
  </si>
  <si>
    <t>FH</t>
  </si>
  <si>
    <t>Lift harde vloer</t>
  </si>
  <si>
    <t>LH</t>
  </si>
  <si>
    <t>Leslokaal/studieruimte hardev loer</t>
  </si>
  <si>
    <t>LZ</t>
  </si>
  <si>
    <t>Leslokaal/studieruimte zachte vloer</t>
  </si>
  <si>
    <t>MH</t>
  </si>
  <si>
    <t>Media-/bibliotheek harde vloer</t>
  </si>
  <si>
    <t>MZ</t>
  </si>
  <si>
    <t>Media-/bibliotheek zachte vloer</t>
  </si>
  <si>
    <t>PH</t>
  </si>
  <si>
    <t>Pantry/keuken harde vloer</t>
  </si>
  <si>
    <t>PMH</t>
  </si>
  <si>
    <t>Praktijklokaal minimaal harde vloer</t>
  </si>
  <si>
    <t>PUH</t>
  </si>
  <si>
    <t>Praktijklokaal uitgebreid harde vloer</t>
  </si>
  <si>
    <t>SH</t>
  </si>
  <si>
    <t>Sanitaire ruimte/toiletten harde vloer</t>
  </si>
  <si>
    <t>SHN</t>
  </si>
  <si>
    <t>Sanitaire ruimte/toiletten harde vloer naloop</t>
  </si>
  <si>
    <t>TH</t>
  </si>
  <si>
    <t>Trap harde vloer</t>
  </si>
  <si>
    <t>VH</t>
  </si>
  <si>
    <t>Verkeersruimte/garderobe/reprografie harde vloer</t>
  </si>
  <si>
    <t>VZ</t>
  </si>
  <si>
    <t>Verkeersruimte/garderobe/reprografie zachte vloer</t>
  </si>
  <si>
    <t>Z001</t>
  </si>
  <si>
    <t>extra</t>
  </si>
  <si>
    <t>Reinigen richels Laan van Kans</t>
  </si>
  <si>
    <t>stuks</t>
  </si>
  <si>
    <t>n.v.t.</t>
  </si>
  <si>
    <t>Z002</t>
  </si>
  <si>
    <t>Reinigen hoge lampen Laan van Kans</t>
  </si>
  <si>
    <t>Z012</t>
  </si>
  <si>
    <t>Afvalbakken ledigen</t>
  </si>
  <si>
    <t xml:space="preserve">Totaal werkdag                  </t>
  </si>
  <si>
    <t xml:space="preserve">Gemiddeld uurtarief werkdag                  </t>
  </si>
  <si>
    <t>Totaal regulier werk excl. BTW</t>
  </si>
  <si>
    <t>OBJECT</t>
  </si>
  <si>
    <t>BOUW-DEEL</t>
  </si>
  <si>
    <t>ETAGE</t>
  </si>
  <si>
    <t>RUIMTENR</t>
  </si>
  <si>
    <t>RUIMTENAAM</t>
  </si>
  <si>
    <t>VLOER</t>
  </si>
  <si>
    <t>WERK-SOORT</t>
  </si>
  <si>
    <t>DAG-KRACHT</t>
  </si>
  <si>
    <t>UREN HOOG-FREQUENT/ DAG</t>
  </si>
  <si>
    <t>004000 - Lyceum Ypenburg, Laan van Kans 3, Den Haag</t>
  </si>
  <si>
    <t>004000</t>
  </si>
  <si>
    <t>00</t>
  </si>
  <si>
    <t>0.01</t>
  </si>
  <si>
    <t>Frontoffice</t>
  </si>
  <si>
    <t>gietvloer</t>
  </si>
  <si>
    <t>0.02</t>
  </si>
  <si>
    <t>Trappenhuis</t>
  </si>
  <si>
    <t>0.03</t>
  </si>
  <si>
    <t>Tekenlokaal</t>
  </si>
  <si>
    <t>0.05</t>
  </si>
  <si>
    <t>Handvaardigheid</t>
  </si>
  <si>
    <t>0.06</t>
  </si>
  <si>
    <t>Concierge/kantoor</t>
  </si>
  <si>
    <t>0.07</t>
  </si>
  <si>
    <t>Spreekkamer</t>
  </si>
  <si>
    <t>tapijt</t>
  </si>
  <si>
    <t>0.08</t>
  </si>
  <si>
    <t>Lokaal</t>
  </si>
  <si>
    <t>bamboe</t>
  </si>
  <si>
    <t>0.09</t>
  </si>
  <si>
    <t>0.10</t>
  </si>
  <si>
    <t>Muzieklokaal</t>
  </si>
  <si>
    <t>0.14</t>
  </si>
  <si>
    <t>entreehal</t>
  </si>
  <si>
    <t>inloopmat</t>
  </si>
  <si>
    <t>0.15</t>
  </si>
  <si>
    <t>damesdouche</t>
  </si>
  <si>
    <t>dhgt</t>
  </si>
  <si>
    <t>0.16</t>
  </si>
  <si>
    <t>damestoilet</t>
  </si>
  <si>
    <t>0.17</t>
  </si>
  <si>
    <t>herendouche</t>
  </si>
  <si>
    <t>0.18</t>
  </si>
  <si>
    <t>herentoilet</t>
  </si>
  <si>
    <t>0.22</t>
  </si>
  <si>
    <t>0.24</t>
  </si>
  <si>
    <t>Handvaardigheid lokaal</t>
  </si>
  <si>
    <t>0.25</t>
  </si>
  <si>
    <t>Kopieerruimte</t>
  </si>
  <si>
    <t>0.25a</t>
  </si>
  <si>
    <t>pantry</t>
  </si>
  <si>
    <t>0.26</t>
  </si>
  <si>
    <t>Entreehal</t>
  </si>
  <si>
    <t>0.26a</t>
  </si>
  <si>
    <t>Entreehal / kluisjes</t>
  </si>
  <si>
    <t>0.32</t>
  </si>
  <si>
    <t>Centrale ruimte/kantine</t>
  </si>
  <si>
    <t>0.33</t>
  </si>
  <si>
    <t>Zijpodium</t>
  </si>
  <si>
    <t>0.35</t>
  </si>
  <si>
    <t>0.36</t>
  </si>
  <si>
    <t>Lift</t>
  </si>
  <si>
    <t>0.38</t>
  </si>
  <si>
    <t>Gang/Verkeersruimte</t>
  </si>
  <si>
    <t>0.39</t>
  </si>
  <si>
    <t>Damestoilet</t>
  </si>
  <si>
    <t>0.40</t>
  </si>
  <si>
    <t>0.43</t>
  </si>
  <si>
    <t>Tochtsluis</t>
  </si>
  <si>
    <t>0.44</t>
  </si>
  <si>
    <t>Hal</t>
  </si>
  <si>
    <t>01</t>
  </si>
  <si>
    <t>1.01</t>
  </si>
  <si>
    <t>Theorielokaal</t>
  </si>
  <si>
    <t>1.02</t>
  </si>
  <si>
    <t>Theorlieloaak</t>
  </si>
  <si>
    <t>1.03</t>
  </si>
  <si>
    <t>1.04</t>
  </si>
  <si>
    <t>1.05</t>
  </si>
  <si>
    <t>kantoor</t>
  </si>
  <si>
    <t>1.06</t>
  </si>
  <si>
    <t>1.07</t>
  </si>
  <si>
    <t>1.08</t>
  </si>
  <si>
    <t>1.09</t>
  </si>
  <si>
    <t>1.10</t>
  </si>
  <si>
    <t>Kantoor</t>
  </si>
  <si>
    <t>1.11</t>
  </si>
  <si>
    <t>Toilet Gender neutraal</t>
  </si>
  <si>
    <t>1.12</t>
  </si>
  <si>
    <t>voorruimte toiletten</t>
  </si>
  <si>
    <t>1.13</t>
  </si>
  <si>
    <t>1.14</t>
  </si>
  <si>
    <t>muzieklokaal</t>
  </si>
  <si>
    <t>1.14a</t>
  </si>
  <si>
    <t>verkeersruimte (bij lokaal 112)</t>
  </si>
  <si>
    <t>1.17</t>
  </si>
  <si>
    <t>theorielokaal</t>
  </si>
  <si>
    <t>1.18</t>
  </si>
  <si>
    <t>1.19</t>
  </si>
  <si>
    <t>1.20</t>
  </si>
  <si>
    <t>Open leercentrum / mediatheek</t>
  </si>
  <si>
    <t>1.20a</t>
  </si>
  <si>
    <t>Open leercentrum / mediatheek raamzijde</t>
  </si>
  <si>
    <t>1.20b</t>
  </si>
  <si>
    <t>Open leercentrum/mediatheek los tapijt</t>
  </si>
  <si>
    <t>1.20c</t>
  </si>
  <si>
    <t>Praktijk lokaal Wetnschap &amp; Techniek</t>
  </si>
  <si>
    <t>1.21</t>
  </si>
  <si>
    <t>1.23</t>
  </si>
  <si>
    <t>1.25</t>
  </si>
  <si>
    <t>invalide toilet</t>
  </si>
  <si>
    <t>1.27</t>
  </si>
  <si>
    <t>Gang</t>
  </si>
  <si>
    <t>1.28</t>
  </si>
  <si>
    <t>Gang/verkeersruimte</t>
  </si>
  <si>
    <t>1.29</t>
  </si>
  <si>
    <t>1.30</t>
  </si>
  <si>
    <t>Tribune</t>
  </si>
  <si>
    <t>1.30a</t>
  </si>
  <si>
    <t>1.31A</t>
  </si>
  <si>
    <t>1.31B</t>
  </si>
  <si>
    <t>1.31c</t>
  </si>
  <si>
    <t>Tribune bovendeel</t>
  </si>
  <si>
    <t>1.32</t>
  </si>
  <si>
    <t>Werkplekkenbalkon</t>
  </si>
  <si>
    <t>02</t>
  </si>
  <si>
    <t>2.01</t>
  </si>
  <si>
    <t>2.02</t>
  </si>
  <si>
    <t>2.03</t>
  </si>
  <si>
    <t>2.04</t>
  </si>
  <si>
    <t>Coordinator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</si>
  <si>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</si>
  <si>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</si>
  <si>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</si>
  <si>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</si>
  <si>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</si>
  <si>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</si>
  <si>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</si>
  <si>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</si>
  <si>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</si>
  <si>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</si>
  <si>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</si>
  <si>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</si>
  <si>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</si>
  <si>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</si>
  <si>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</si>
  <si>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</si>
  <si>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</si>
  <si>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</si>
  <si>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</si>
  <si>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</si>
  <si>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</si>
  <si>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</si>
  <si>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2.28</t>
  </si>
  <si>
    <t>2.31</t>
  </si>
  <si>
    <t>Decaan ruimte</t>
  </si>
  <si>
    <t>2.32</t>
  </si>
  <si>
    <t>spreekkamer</t>
  </si>
  <si>
    <t>2.32a</t>
  </si>
  <si>
    <t>2.33</t>
  </si>
  <si>
    <t>gang/verkeersruimte</t>
  </si>
  <si>
    <t>2.34</t>
  </si>
  <si>
    <t>werkplekkenvloer</t>
  </si>
  <si>
    <t>2.35</t>
  </si>
  <si>
    <t>2.36</t>
  </si>
  <si>
    <t>2.39</t>
  </si>
  <si>
    <t>hal</t>
  </si>
  <si>
    <t>03</t>
  </si>
  <si>
    <t>3.01</t>
  </si>
  <si>
    <t>Scheikundelokaal</t>
  </si>
  <si>
    <t>3.02</t>
  </si>
  <si>
    <t>Scheikunde TOA</t>
  </si>
  <si>
    <t>3.03A</t>
  </si>
  <si>
    <t>3.03B</t>
  </si>
  <si>
    <t>3.04</t>
  </si>
  <si>
    <t>3.05</t>
  </si>
  <si>
    <t>3.06b</t>
  </si>
  <si>
    <t>personeelskamer / doc. werkplekken</t>
  </si>
  <si>
    <t>3.06c</t>
  </si>
  <si>
    <t>3.07</t>
  </si>
  <si>
    <t>Damestoilet docenten</t>
  </si>
  <si>
    <t>3.08</t>
  </si>
  <si>
    <t>Herentoillet docenten</t>
  </si>
  <si>
    <t>3.09</t>
  </si>
  <si>
    <t>Voorruimte sanitair</t>
  </si>
  <si>
    <t>3.10A</t>
  </si>
  <si>
    <t>3.10B</t>
  </si>
  <si>
    <t>3.11</t>
  </si>
  <si>
    <t>Backoffice</t>
  </si>
  <si>
    <t>3.12</t>
  </si>
  <si>
    <t>Directiekamer</t>
  </si>
  <si>
    <t>3.13</t>
  </si>
  <si>
    <t>3.14</t>
  </si>
  <si>
    <t>lokaal/systeembeheerder</t>
  </si>
  <si>
    <t>3.15</t>
  </si>
  <si>
    <t>Natuurkunde vaklokaal</t>
  </si>
  <si>
    <t>3.16a</t>
  </si>
  <si>
    <t>Binas vaklokaal</t>
  </si>
  <si>
    <t>3.16b</t>
  </si>
  <si>
    <t>TOA</t>
  </si>
  <si>
    <t>3.16c</t>
  </si>
  <si>
    <t>3.17</t>
  </si>
  <si>
    <t>Theorielokaal/Binask</t>
  </si>
  <si>
    <t>3.18a</t>
  </si>
  <si>
    <t>3.18b</t>
  </si>
  <si>
    <t>3.19</t>
  </si>
  <si>
    <t>3.20</t>
  </si>
  <si>
    <t>3.21</t>
  </si>
  <si>
    <t>3.23</t>
  </si>
  <si>
    <t>Kantoor coordinator</t>
  </si>
  <si>
    <t>3.24</t>
  </si>
  <si>
    <t>3.25</t>
  </si>
  <si>
    <t>Vergaderruimte</t>
  </si>
  <si>
    <t>3.26</t>
  </si>
  <si>
    <t>Werkplekken/personeel</t>
  </si>
  <si>
    <t>3.27</t>
  </si>
  <si>
    <t>gang</t>
  </si>
  <si>
    <t>3.28</t>
  </si>
  <si>
    <t>3.29</t>
  </si>
  <si>
    <t>3.30</t>
  </si>
  <si>
    <t>trap</t>
  </si>
  <si>
    <t>3.31</t>
  </si>
  <si>
    <t>trappenhuis</t>
  </si>
  <si>
    <t>3.33</t>
  </si>
  <si>
    <t>lokaal</t>
  </si>
  <si>
    <t>3.33a</t>
  </si>
  <si>
    <t>3.34</t>
  </si>
  <si>
    <t>3.35</t>
  </si>
  <si>
    <t>3.35a</t>
  </si>
  <si>
    <t>Mobiele Cabine/Spreekruimte</t>
  </si>
  <si>
    <t>Extr</t>
  </si>
  <si>
    <t>extra werkzaamheden</t>
  </si>
  <si>
    <t>Totaal werkdag</t>
  </si>
  <si>
    <t>Omrekentabel t.b.v. Invultabel Objecten (niet afdrukken)</t>
  </si>
  <si>
    <t>DAGSOORT</t>
  </si>
  <si>
    <t>WERKSOORT</t>
  </si>
  <si>
    <t>FREQ DECIMAAL</t>
  </si>
  <si>
    <t>UURFACTOR</t>
  </si>
  <si>
    <t xml:space="preserve">KENGETAL </t>
  </si>
  <si>
    <t xml:space="preserve">% HOOG-FREQUENT </t>
  </si>
  <si>
    <t>TARIEF</t>
  </si>
  <si>
    <t xml:space="preserve">  004000</t>
  </si>
  <si>
    <t>werkdag</t>
  </si>
  <si>
    <t>NAAM</t>
  </si>
  <si>
    <t>ADRES</t>
  </si>
  <si>
    <t>PLAATS</t>
  </si>
  <si>
    <t>BASIS UUR- TARIEF</t>
  </si>
  <si>
    <t>UREN/ UITVOERING</t>
  </si>
  <si>
    <t>UREN HOOG-FREQUENT/ UITVOERING</t>
  </si>
  <si>
    <t>UREN HOOG-FREQUENT SUPPLETIE/ UITVOERING</t>
  </si>
  <si>
    <t>UREN HOOG-FREQUENT TOTAAL/ UITVOERING</t>
  </si>
  <si>
    <t>UREN TOTAAL/ UITVOERING</t>
  </si>
  <si>
    <t>PRIJS/ UITVOERING</t>
  </si>
  <si>
    <t>PRIJS SUPPLETIE/ UITVOERING</t>
  </si>
  <si>
    <t>PRIJS TOTAAL/ UITVOERING</t>
  </si>
  <si>
    <t>UREN HOOG-FREQUENT/ JAAR</t>
  </si>
  <si>
    <t>PRIJS/ MAAND (EURO)</t>
  </si>
  <si>
    <t>Lyceum Ypenburg</t>
  </si>
  <si>
    <t>Laan van Kans 3</t>
  </si>
  <si>
    <t>Den Haag</t>
  </si>
  <si>
    <t>Totaal regulier werk incl. suppleties (excl. BTW)</t>
  </si>
  <si>
    <t>Totaal regulier werk incl. suppleties (incl. BTW)</t>
  </si>
  <si>
    <t>PRIJS/ MAAND EXCL.BTW</t>
  </si>
  <si>
    <t>PRIJS/ MAAND INCL.BTW</t>
  </si>
  <si>
    <t>Totaal van alle objecten</t>
  </si>
  <si>
    <t>BEURT</t>
  </si>
  <si>
    <t>FREQ (DAGEN)</t>
  </si>
  <si>
    <t>HOEVEELHEID /KEER</t>
  </si>
  <si>
    <t>UURTARIEF (EURO)</t>
  </si>
  <si>
    <t>NORM</t>
  </si>
  <si>
    <t>PRIJS/ EENHEID (EURO)</t>
  </si>
  <si>
    <t>PRIJS/ KEER</t>
  </si>
  <si>
    <t>9000</t>
  </si>
  <si>
    <t>Medewerker regiewerkzaamheden</t>
  </si>
  <si>
    <t>prijs per uur</t>
  </si>
  <si>
    <t>9100</t>
  </si>
  <si>
    <t>Medewerker specialistische werkzaamheden</t>
  </si>
  <si>
    <t>Totaal afroep excl. BTW</t>
  </si>
  <si>
    <t>STAFFEL</t>
  </si>
  <si>
    <t>2000A</t>
  </si>
  <si>
    <t>Systeemkast/monitor reinigen</t>
  </si>
  <si>
    <t>prijs per stuk</t>
  </si>
  <si>
    <t>&lt; 25 stuks</t>
  </si>
  <si>
    <t>2000B</t>
  </si>
  <si>
    <t>25 tot 100 stuks</t>
  </si>
  <si>
    <t>2000C</t>
  </si>
  <si>
    <t>100 tot 500 stuks</t>
  </si>
  <si>
    <t>2000D</t>
  </si>
  <si>
    <t>&gt;= 500 stuks</t>
  </si>
  <si>
    <t>2010A</t>
  </si>
  <si>
    <t>Printer uitwendig reinigen</t>
  </si>
  <si>
    <t>2010B</t>
  </si>
  <si>
    <t>2010C</t>
  </si>
  <si>
    <t>2010D</t>
  </si>
  <si>
    <t>2030A</t>
  </si>
  <si>
    <t>Toetsenbord reinigen</t>
  </si>
  <si>
    <t>2030B</t>
  </si>
  <si>
    <t>2030C</t>
  </si>
  <si>
    <t>2030D</t>
  </si>
  <si>
    <t>3000A</t>
  </si>
  <si>
    <t>Lamellen (horizontaal) reinigen (alumin)</t>
  </si>
  <si>
    <t>prijs per m²</t>
  </si>
  <si>
    <t>&lt; 5 m²</t>
  </si>
  <si>
    <t>3000B</t>
  </si>
  <si>
    <t>5 &lt; 25 m²</t>
  </si>
  <si>
    <t>3000C</t>
  </si>
  <si>
    <t>25 &lt; 100 m²</t>
  </si>
  <si>
    <t>3000D</t>
  </si>
  <si>
    <t>&gt;=100 m²</t>
  </si>
  <si>
    <t>3001A</t>
  </si>
  <si>
    <t>Lamellen (horizontaal) reinigen (stof)</t>
  </si>
  <si>
    <t>3001B</t>
  </si>
  <si>
    <t>3001C</t>
  </si>
  <si>
    <t>3001D</t>
  </si>
  <si>
    <t>3002A</t>
  </si>
  <si>
    <t>Lamellen (horizontaal) reinigen (kunst)</t>
  </si>
  <si>
    <t>3002B</t>
  </si>
  <si>
    <t>3002C</t>
  </si>
  <si>
    <t>3002D</t>
  </si>
  <si>
    <t>3010A</t>
  </si>
  <si>
    <t>Lamellen (verticaal) reinigen (alumin)</t>
  </si>
  <si>
    <t>3010B</t>
  </si>
  <si>
    <t>3010C</t>
  </si>
  <si>
    <t>3010D</t>
  </si>
  <si>
    <t>3011A</t>
  </si>
  <si>
    <t>Lamellen (verticaal) reinigen (stof)</t>
  </si>
  <si>
    <t>3011B</t>
  </si>
  <si>
    <t>3011C</t>
  </si>
  <si>
    <t>3011D</t>
  </si>
  <si>
    <t>3012A</t>
  </si>
  <si>
    <t>Lamellen (verticaal) reinigen (kunst)</t>
  </si>
  <si>
    <t>3012B</t>
  </si>
  <si>
    <t>3012C</t>
  </si>
  <si>
    <t>3012D</t>
  </si>
  <si>
    <t>3020A</t>
  </si>
  <si>
    <t>Gordijnen reinigen</t>
  </si>
  <si>
    <t>3020B</t>
  </si>
  <si>
    <t>3020C</t>
  </si>
  <si>
    <t>3020D</t>
  </si>
  <si>
    <t>3030</t>
  </si>
  <si>
    <t>Graffiti verwijderen</t>
  </si>
  <si>
    <t>3040</t>
  </si>
  <si>
    <t>Graffiti verwijderen spec.</t>
  </si>
  <si>
    <t>4000A</t>
  </si>
  <si>
    <t>Vloer schrobben/waterzuigen</t>
  </si>
  <si>
    <t>&lt; 500 m²</t>
  </si>
  <si>
    <t>4000B</t>
  </si>
  <si>
    <t>500 &lt; 1000 m²</t>
  </si>
  <si>
    <t>4000C</t>
  </si>
  <si>
    <t>1000 &lt; 2000 m²</t>
  </si>
  <si>
    <t>4000D</t>
  </si>
  <si>
    <t>&gt;= 2000 m²</t>
  </si>
  <si>
    <t>4010A</t>
  </si>
  <si>
    <t>Sure step vloeren opwrijven</t>
  </si>
  <si>
    <t>4010B</t>
  </si>
  <si>
    <t>4010C</t>
  </si>
  <si>
    <t>4010D</t>
  </si>
  <si>
    <t>4020A</t>
  </si>
  <si>
    <t>Linoleum sprayen /opwrijven</t>
  </si>
  <si>
    <t>4020B</t>
  </si>
  <si>
    <t>4020C</t>
  </si>
  <si>
    <t>4020D</t>
  </si>
  <si>
    <t>4030A</t>
  </si>
  <si>
    <t>Linoleum vloeren strippen/conserveren</t>
  </si>
  <si>
    <t>4030B</t>
  </si>
  <si>
    <t>4030C</t>
  </si>
  <si>
    <t>4030D</t>
  </si>
  <si>
    <t>4040A</t>
  </si>
  <si>
    <t>Tapijt reinigen droge methode (Host)</t>
  </si>
  <si>
    <t>4040B</t>
  </si>
  <si>
    <t>4040C</t>
  </si>
  <si>
    <t>4040D</t>
  </si>
  <si>
    <t>4050A</t>
  </si>
  <si>
    <t>Tapijt reinigen op koolzuur basis</t>
  </si>
  <si>
    <t>4050B</t>
  </si>
  <si>
    <t>4050C</t>
  </si>
  <si>
    <t>4050D</t>
  </si>
  <si>
    <t>4060A</t>
  </si>
  <si>
    <t>Tapijt reinigen sproei/extractie methode</t>
  </si>
  <si>
    <t>4060B</t>
  </si>
  <si>
    <t>4060C</t>
  </si>
  <si>
    <t>4060D</t>
  </si>
  <si>
    <t>4065A</t>
  </si>
  <si>
    <t>Tapijt reinigen encapulation methode</t>
  </si>
  <si>
    <t>4065B</t>
  </si>
  <si>
    <t>4065C</t>
  </si>
  <si>
    <t>4065D</t>
  </si>
  <si>
    <t>4070A</t>
  </si>
  <si>
    <t>Tapijt borstelzuigen</t>
  </si>
  <si>
    <t>4070B</t>
  </si>
  <si>
    <t>4070C</t>
  </si>
  <si>
    <t>4070D</t>
  </si>
  <si>
    <t>4080A</t>
  </si>
  <si>
    <t>Sanitair vloer reinigen d.m.v. "stomen"</t>
  </si>
  <si>
    <t>4080B</t>
  </si>
  <si>
    <t>4080C</t>
  </si>
  <si>
    <t>4080D</t>
  </si>
  <si>
    <t>4090A</t>
  </si>
  <si>
    <t>Inloopmatten uitkloppen</t>
  </si>
  <si>
    <t>4090B</t>
  </si>
  <si>
    <t>4090C</t>
  </si>
  <si>
    <t>4090D</t>
  </si>
  <si>
    <t>Totaal afroep incidenteel excl. BTW</t>
  </si>
  <si>
    <t>8000</t>
  </si>
  <si>
    <t>Gevelglas buitenzijde</t>
  </si>
  <si>
    <t>8010</t>
  </si>
  <si>
    <t>Gevelglas binnenzijde</t>
  </si>
  <si>
    <t>8020</t>
  </si>
  <si>
    <t>Separatieglas (m ² is totaal)</t>
  </si>
  <si>
    <t>8030</t>
  </si>
  <si>
    <t>Dakglas buitenzijde</t>
  </si>
  <si>
    <t>8040</t>
  </si>
  <si>
    <t>Dakglas binnenzijde</t>
  </si>
  <si>
    <t>8200</t>
  </si>
  <si>
    <t>Hoogwerker</t>
  </si>
  <si>
    <t>prijs per dag</t>
  </si>
  <si>
    <t>8210</t>
  </si>
  <si>
    <t>Tuckerpool</t>
  </si>
  <si>
    <t>Totaal glas excl. BTW</t>
  </si>
  <si>
    <t>Totaal 004000 - Lyceum Ypenburg, Laan van Kans 3, Den Haag</t>
  </si>
  <si>
    <t>Soort werk</t>
  </si>
  <si>
    <t>Uren per jaar uitvoering</t>
  </si>
  <si>
    <t>Uren hoogfrequent per jaar uitvoering</t>
  </si>
  <si>
    <t>Bedrag per jaar excl. BTW (euro)</t>
  </si>
  <si>
    <t>Bedrag per jaar incl. BTW (euro)</t>
  </si>
  <si>
    <t xml:space="preserve">Regulier werk </t>
  </si>
  <si>
    <t>Afroepwerk (geschatte frequenties)</t>
  </si>
  <si>
    <t>Glas</t>
  </si>
  <si>
    <t>Totaal generaal</t>
  </si>
  <si>
    <t>BEGROOT BEDRAG REGULIERE WERKZAAMHEDEN  (NIET HOGER DAN BUDGET)</t>
  </si>
  <si>
    <t>VERGELIJKINGSBEDRAG AFROEP/REGIE/GLASBEWASSINGS WERK (GESCHAT) VOOR PRIJSCRITERIUM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</si>
</sst>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_-[$€-2]\ * #,##0.00\-;_-[$€-2]\ * &quot;-&quot;??_-;_-@_-"/>
    <numFmt numFmtId="165" formatCode="#,##0.0000"/>
  </numFmts>
  <fonts count="5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69696"/>
        <bgColor rgb="FF000000"/>
      </patternFill>
    </fill>
    <fill>
      <patternFill patternType="solid">
        <fgColor rgb="FFCCFFCC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9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49" fontId="1" fillId="3" borderId="12" xfId="0" applyNumberFormat="1" applyFont="1" applyFill="1" applyBorder="1"/>
    <xf numFmtId="49" fontId="1" fillId="3" borderId="13" xfId="0" applyNumberFormat="1" applyFont="1" applyFill="1" applyBorder="1"/>
    <xf numFmtId="49" fontId="1" fillId="3" borderId="14" xfId="0" applyNumberFormat="1" applyFont="1" applyFill="1" applyBorder="1"/>
    <xf numFmtId="49" fontId="1" fillId="3" borderId="15" xfId="0" applyNumberFormat="1" applyFont="1" applyFill="1" applyBorder="1"/>
    <xf numFmtId="49" fontId="1" fillId="3" borderId="16" xfId="0" applyNumberFormat="1" applyFont="1" applyFill="1" applyBorder="1"/>
    <xf numFmtId="49" fontId="1" fillId="3" borderId="17" xfId="0" applyNumberFormat="1" applyFont="1" applyFill="1" applyBorder="1"/>
    <xf numFmtId="49" fontId="1" fillId="3" borderId="15" xfId="0" applyNumberFormat="1" applyFont="1" applyFill="1" applyBorder="1" applyAlignment="1">
      <alignment wrapText="1"/>
    </xf>
    <xf numFmtId="49" fontId="1" fillId="4" borderId="16" xfId="0" applyNumberFormat="1" applyFont="1" applyFill="1" applyBorder="1" applyAlignment="1">
      <alignment wrapText="1"/>
    </xf>
    <xf numFmtId="49" fontId="1" fillId="4" borderId="17" xfId="0" applyNumberFormat="1" applyFont="1" applyFill="1" applyBorder="1" applyAlignment="1">
      <alignment wrapText="1"/>
    </xf>
    <xf numFmtId="49" fontId="0" fillId="3" borderId="15" xfId="0" applyNumberFormat="1" applyFill="1" applyBorder="1" applyAlignment="1">
      <alignment wrapText="1"/>
    </xf>
    <xf numFmtId="49" fontId="1" fillId="0" borderId="16" xfId="0" applyNumberFormat="1" applyFont="1" applyBorder="1" applyAlignment="1" applyProtection="1">
      <alignment wrapText="1"/>
      <protection locked="0"/>
    </xf>
    <xf numFmtId="49" fontId="1" fillId="0" borderId="17" xfId="0" applyNumberFormat="1" applyFont="1" applyBorder="1" applyAlignment="1" applyProtection="1">
      <alignment wrapText="1"/>
      <protection locked="0"/>
    </xf>
    <xf numFmtId="49" fontId="0" fillId="3" borderId="15" xfId="0" applyNumberFormat="1" applyFill="1" applyBorder="1"/>
    <xf numFmtId="164" fontId="0" fillId="0" borderId="16" xfId="0" applyNumberFormat="1" applyBorder="1" applyProtection="1">
      <protection locked="0"/>
    </xf>
    <xf numFmtId="164" fontId="0" fillId="0" borderId="17" xfId="0" applyNumberFormat="1" applyBorder="1" applyProtection="1">
      <protection locked="0"/>
    </xf>
    <xf numFmtId="164" fontId="0" fillId="2" borderId="16" xfId="0" applyNumberFormat="1" applyFill="1" applyBorder="1"/>
    <xf numFmtId="164" fontId="0" fillId="2" borderId="17" xfId="0" applyNumberFormat="1" applyFill="1" applyBorder="1"/>
    <xf numFmtId="10" fontId="0" fillId="0" borderId="16" xfId="0" applyNumberFormat="1" applyBorder="1" applyProtection="1">
      <protection locked="0"/>
    </xf>
    <xf numFmtId="164" fontId="0" fillId="2" borderId="16" xfId="0" applyNumberFormat="1" applyFill="1" applyBorder="1"/>
    <xf numFmtId="164" fontId="0" fillId="2" borderId="17" xfId="0" applyNumberFormat="1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49" fontId="1" fillId="3" borderId="16" xfId="0" applyNumberFormat="1" applyFont="1" applyFill="1" applyBorder="1"/>
    <xf numFmtId="49" fontId="1" fillId="3" borderId="17" xfId="0" applyNumberFormat="1" applyFont="1" applyFill="1" applyBorder="1"/>
    <xf numFmtId="10" fontId="0" fillId="4" borderId="16" xfId="0" applyNumberFormat="1" applyFill="1" applyBorder="1" applyProtection="1">
      <protection locked="0"/>
    </xf>
    <xf numFmtId="49" fontId="1" fillId="3" borderId="18" xfId="0" applyNumberFormat="1" applyFont="1" applyFill="1" applyBorder="1"/>
    <xf numFmtId="10" fontId="0" fillId="4" borderId="19" xfId="0" applyNumberFormat="1" applyFill="1" applyBorder="1" applyProtection="1">
      <protection locked="0"/>
    </xf>
    <xf numFmtId="164" fontId="0" fillId="2" borderId="19" xfId="0" applyNumberFormat="1" applyFill="1" applyBorder="1"/>
    <xf numFmtId="164" fontId="0" fillId="2" borderId="20" xfId="0" applyNumberFormat="1" applyFill="1" applyBorder="1"/>
    <xf numFmtId="49" fontId="1" fillId="3" borderId="13" xfId="0" applyNumberFormat="1" applyFont="1" applyFill="1" applyBorder="1" applyAlignment="1">
      <alignment wrapText="1"/>
    </xf>
    <xf numFmtId="49" fontId="1" fillId="3" borderId="14" xfId="0" applyNumberFormat="1" applyFont="1" applyFill="1" applyBorder="1" applyAlignment="1">
      <alignment wrapText="1"/>
    </xf>
    <xf numFmtId="0" fontId="0" fillId="2" borderId="15" xfId="0" applyFill="1" applyBorder="1" applyAlignment="1">
      <alignment wrapText="1"/>
    </xf>
    <xf numFmtId="10" fontId="0" fillId="2" borderId="16" xfId="0" applyNumberFormat="1" applyFill="1" applyBorder="1"/>
    <xf numFmtId="164" fontId="1" fillId="2" borderId="19" xfId="0" applyNumberFormat="1" applyFont="1" applyFill="1" applyBorder="1"/>
    <xf numFmtId="164" fontId="1" fillId="2" borderId="20" xfId="0" applyNumberFormat="1" applyFont="1" applyFill="1" applyBorder="1"/>
    <xf numFmtId="0" fontId="0" fillId="3" borderId="6" xfId="0" applyFill="1" applyBorder="1"/>
    <xf numFmtId="49" fontId="1" fillId="3" borderId="21" xfId="0" applyNumberFormat="1" applyFont="1" applyFill="1" applyBorder="1"/>
    <xf numFmtId="0" fontId="0" fillId="3" borderId="22" xfId="0" applyFill="1" applyBorder="1"/>
    <xf numFmtId="0" fontId="0" fillId="2" borderId="22" xfId="0" applyFill="1" applyBorder="1" applyAlignment="1">
      <alignment wrapText="1"/>
    </xf>
    <xf numFmtId="49" fontId="1" fillId="3" borderId="22" xfId="0" applyNumberFormat="1" applyFont="1" applyFill="1" applyBorder="1"/>
    <xf numFmtId="49" fontId="1" fillId="3" borderId="23" xfId="0" applyNumberFormat="1" applyFont="1" applyFill="1" applyBorder="1"/>
    <xf numFmtId="49" fontId="0" fillId="3" borderId="6" xfId="0" applyNumberFormat="1" applyFill="1" applyBorder="1" applyAlignment="1">
      <alignment wrapText="1"/>
    </xf>
    <xf numFmtId="0" fontId="0" fillId="3" borderId="4" xfId="0" applyFill="1" applyBorder="1"/>
    <xf numFmtId="0" fontId="0" fillId="3" borderId="9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10" xfId="0" applyFill="1" applyBorder="1"/>
    <xf numFmtId="0" fontId="0" fillId="3" borderId="8" xfId="0" applyFill="1" applyBorder="1"/>
    <xf numFmtId="49" fontId="0" fillId="2" borderId="21" xfId="0" applyNumberFormat="1" applyFill="1" applyBorder="1"/>
    <xf numFmtId="1" fontId="0" fillId="2" borderId="21" xfId="0" applyNumberFormat="1" applyFill="1" applyBorder="1"/>
    <xf numFmtId="4" fontId="0" fillId="0" borderId="21" xfId="0" applyNumberFormat="1" applyBorder="1" applyProtection="1">
      <protection locked="0"/>
    </xf>
    <xf numFmtId="10" fontId="0" fillId="0" borderId="21" xfId="0" applyNumberFormat="1" applyBorder="1" applyProtection="1">
      <protection locked="0"/>
    </xf>
    <xf numFmtId="164" fontId="0" fillId="0" borderId="21" xfId="0" applyNumberFormat="1" applyBorder="1" applyProtection="1">
      <protection locked="0"/>
    </xf>
    <xf numFmtId="49" fontId="0" fillId="2" borderId="22" xfId="0" applyNumberFormat="1" applyFill="1" applyBorder="1"/>
    <xf numFmtId="1" fontId="0" fillId="2" borderId="22" xfId="0" applyNumberFormat="1" applyFill="1" applyBorder="1"/>
    <xf numFmtId="4" fontId="0" fillId="0" borderId="22" xfId="0" applyNumberFormat="1" applyBorder="1" applyProtection="1">
      <protection locked="0"/>
    </xf>
    <xf numFmtId="10" fontId="0" fillId="0" borderId="22" xfId="0" applyNumberFormat="1" applyBorder="1" applyProtection="1">
      <protection locked="0"/>
    </xf>
    <xf numFmtId="164" fontId="0" fillId="0" borderId="22" xfId="0" applyNumberFormat="1" applyBorder="1" applyProtection="1">
      <protection locked="0"/>
    </xf>
    <xf numFmtId="49" fontId="0" fillId="2" borderId="23" xfId="0" applyNumberFormat="1" applyFill="1" applyBorder="1"/>
    <xf numFmtId="1" fontId="0" fillId="2" borderId="23" xfId="0" applyNumberFormat="1" applyFill="1" applyBorder="1"/>
    <xf numFmtId="4" fontId="0" fillId="0" borderId="23" xfId="0" applyNumberFormat="1" applyBorder="1" applyProtection="1">
      <protection locked="0"/>
    </xf>
    <xf numFmtId="10" fontId="0" fillId="0" borderId="23" xfId="0" applyNumberFormat="1" applyBorder="1" applyProtection="1">
      <protection locked="0"/>
    </xf>
    <xf numFmtId="164" fontId="0" fillId="0" borderId="23" xfId="0" applyNumberFormat="1" applyBorder="1" applyProtection="1">
      <protection locked="0"/>
    </xf>
    <xf numFmtId="4" fontId="0" fillId="2" borderId="21" xfId="0" applyNumberFormat="1" applyFill="1" applyBorder="1"/>
    <xf numFmtId="165" fontId="0" fillId="2" borderId="21" xfId="0" applyNumberFormat="1" applyFill="1" applyBorder="1"/>
    <xf numFmtId="10" fontId="0" fillId="2" borderId="21" xfId="0" applyNumberFormat="1" applyFill="1" applyBorder="1"/>
    <xf numFmtId="164" fontId="0" fillId="2" borderId="21" xfId="0" applyNumberFormat="1" applyFill="1" applyBorder="1"/>
    <xf numFmtId="4" fontId="0" fillId="2" borderId="22" xfId="0" applyNumberFormat="1" applyFill="1" applyBorder="1"/>
    <xf numFmtId="165" fontId="0" fillId="2" borderId="22" xfId="0" applyNumberFormat="1" applyFill="1" applyBorder="1"/>
    <xf numFmtId="10" fontId="0" fillId="2" borderId="22" xfId="0" applyNumberFormat="1" applyFill="1" applyBorder="1"/>
    <xf numFmtId="164" fontId="0" fillId="2" borderId="22" xfId="0" applyNumberFormat="1" applyFill="1" applyBorder="1"/>
    <xf numFmtId="4" fontId="0" fillId="2" borderId="23" xfId="0" applyNumberFormat="1" applyFill="1" applyBorder="1"/>
    <xf numFmtId="165" fontId="0" fillId="0" borderId="23" xfId="0" applyNumberFormat="1" applyBorder="1" applyProtection="1">
      <protection locked="0"/>
    </xf>
    <xf numFmtId="164" fontId="0" fillId="2" borderId="23" xfId="0" applyNumberFormat="1" applyFill="1" applyBorder="1"/>
    <xf numFmtId="0" fontId="0" fillId="3" borderId="28" xfId="0" applyFill="1" applyBorder="1"/>
    <xf numFmtId="49" fontId="0" fillId="3" borderId="24" xfId="0" applyNumberFormat="1" applyFill="1" applyBorder="1"/>
    <xf numFmtId="0" fontId="0" fillId="3" borderId="25" xfId="0" applyFill="1" applyBorder="1"/>
    <xf numFmtId="4" fontId="0" fillId="3" borderId="6" xfId="0" applyNumberFormat="1" applyFill="1" applyBorder="1"/>
    <xf numFmtId="164" fontId="0" fillId="3" borderId="6" xfId="0" applyNumberFormat="1" applyFill="1" applyBorder="1"/>
    <xf numFmtId="164" fontId="0" fillId="3" borderId="27" xfId="0" applyNumberFormat="1" applyFill="1" applyBorder="1"/>
    <xf numFmtId="0" fontId="0" fillId="3" borderId="24" xfId="0" applyFill="1" applyBorder="1"/>
    <xf numFmtId="0" fontId="0" fillId="3" borderId="29" xfId="0" applyFill="1" applyBorder="1"/>
    <xf numFmtId="49" fontId="0" fillId="3" borderId="30" xfId="0" applyNumberFormat="1" applyFill="1" applyBorder="1" applyAlignment="1">
      <alignment wrapText="1"/>
    </xf>
    <xf numFmtId="49" fontId="0" fillId="3" borderId="27" xfId="0" applyNumberFormat="1" applyFill="1" applyBorder="1" applyAlignment="1">
      <alignment wrapText="1"/>
    </xf>
    <xf numFmtId="0" fontId="0" fillId="3" borderId="31" xfId="0" applyFill="1" applyBorder="1"/>
    <xf numFmtId="49" fontId="0" fillId="2" borderId="12" xfId="0" applyNumberFormat="1" applyFill="1" applyBorder="1"/>
    <xf numFmtId="49" fontId="0" fillId="2" borderId="13" xfId="0" applyNumberFormat="1" applyFill="1" applyBorder="1"/>
    <xf numFmtId="49" fontId="0" fillId="2" borderId="13" xfId="0" applyNumberFormat="1" applyFill="1" applyBorder="1" applyAlignment="1">
      <alignment wrapText="1"/>
    </xf>
    <xf numFmtId="4" fontId="0" fillId="2" borderId="13" xfId="0" applyNumberFormat="1" applyFill="1" applyBorder="1"/>
    <xf numFmtId="165" fontId="0" fillId="2" borderId="13" xfId="0" applyNumberFormat="1" applyFill="1" applyBorder="1"/>
    <xf numFmtId="10" fontId="0" fillId="2" borderId="13" xfId="0" applyNumberFormat="1" applyFill="1" applyBorder="1"/>
    <xf numFmtId="164" fontId="0" fillId="2" borderId="13" xfId="0" applyNumberFormat="1" applyFill="1" applyBorder="1"/>
    <xf numFmtId="164" fontId="0" fillId="2" borderId="14" xfId="0" applyNumberFormat="1" applyFill="1" applyBorder="1"/>
    <xf numFmtId="49" fontId="0" fillId="2" borderId="15" xfId="0" applyNumberFormat="1" applyFill="1" applyBorder="1"/>
    <xf numFmtId="49" fontId="0" fillId="2" borderId="16" xfId="0" applyNumberFormat="1" applyFill="1" applyBorder="1"/>
    <xf numFmtId="49" fontId="0" fillId="2" borderId="16" xfId="0" applyNumberFormat="1" applyFill="1" applyBorder="1" applyAlignment="1">
      <alignment wrapText="1"/>
    </xf>
    <xf numFmtId="4" fontId="0" fillId="2" borderId="16" xfId="0" applyNumberFormat="1" applyFill="1" applyBorder="1"/>
    <xf numFmtId="165" fontId="0" fillId="2" borderId="16" xfId="0" applyNumberFormat="1" applyFill="1" applyBorder="1"/>
    <xf numFmtId="10" fontId="0" fillId="0" borderId="16" xfId="0" applyNumberFormat="1" applyBorder="1"/>
    <xf numFmtId="0" fontId="0" fillId="2" borderId="16" xfId="0" applyFill="1" applyBorder="1"/>
    <xf numFmtId="49" fontId="0" fillId="2" borderId="18" xfId="0" applyNumberFormat="1" applyFill="1" applyBorder="1"/>
    <xf numFmtId="49" fontId="0" fillId="2" borderId="19" xfId="0" applyNumberFormat="1" applyFill="1" applyBorder="1"/>
    <xf numFmtId="49" fontId="0" fillId="2" borderId="19" xfId="0" applyNumberFormat="1" applyFill="1" applyBorder="1" applyAlignment="1">
      <alignment wrapText="1"/>
    </xf>
    <xf numFmtId="4" fontId="0" fillId="2" borderId="19" xfId="0" applyNumberFormat="1" applyFill="1" applyBorder="1"/>
    <xf numFmtId="165" fontId="0" fillId="2" borderId="19" xfId="0" applyNumberFormat="1" applyFill="1" applyBorder="1"/>
    <xf numFmtId="10" fontId="0" fillId="0" borderId="19" xfId="0" applyNumberFormat="1" applyBorder="1"/>
    <xf numFmtId="0" fontId="0" fillId="2" borderId="19" xfId="0" applyFill="1" applyBorder="1"/>
    <xf numFmtId="49" fontId="0" fillId="3" borderId="3" xfId="0" applyNumberFormat="1" applyFill="1" applyBorder="1"/>
    <xf numFmtId="49" fontId="0" fillId="3" borderId="3" xfId="0" applyNumberFormat="1" applyFill="1" applyBorder="1" applyAlignment="1">
      <alignment wrapText="1"/>
    </xf>
    <xf numFmtId="0" fontId="0" fillId="3" borderId="11" xfId="0" applyFill="1" applyBorder="1"/>
    <xf numFmtId="49" fontId="0" fillId="3" borderId="11" xfId="0" applyNumberFormat="1" applyFill="1" applyBorder="1"/>
    <xf numFmtId="10" fontId="0" fillId="2" borderId="23" xfId="0" applyNumberFormat="1" applyFill="1" applyBorder="1"/>
    <xf numFmtId="49" fontId="0" fillId="2" borderId="6" xfId="0" applyNumberFormat="1" applyFill="1" applyBorder="1"/>
    <xf numFmtId="49" fontId="0" fillId="4" borderId="6" xfId="0" applyNumberFormat="1" applyFill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4" fontId="0" fillId="2" borderId="6" xfId="0" applyNumberFormat="1" applyFill="1" applyBorder="1"/>
    <xf numFmtId="4" fontId="0" fillId="0" borderId="6" xfId="0" applyNumberFormat="1" applyBorder="1" applyProtection="1">
      <protection locked="0"/>
    </xf>
    <xf numFmtId="164" fontId="0" fillId="2" borderId="6" xfId="0" applyNumberFormat="1" applyFill="1" applyBorder="1"/>
    <xf numFmtId="4" fontId="0" fillId="4" borderId="21" xfId="0" applyNumberFormat="1" applyFill="1" applyBorder="1"/>
    <xf numFmtId="4" fontId="0" fillId="3" borderId="21" xfId="0" applyNumberFormat="1" applyFill="1" applyBorder="1" applyProtection="1"/>
    <xf numFmtId="164" fontId="0" fillId="2" borderId="21" xfId="0" applyNumberFormat="1" applyFill="1" applyBorder="1" applyProtection="1"/>
    <xf numFmtId="4" fontId="0" fillId="4" borderId="23" xfId="0" applyNumberFormat="1" applyFill="1" applyBorder="1"/>
    <xf numFmtId="4" fontId="0" fillId="3" borderId="23" xfId="0" applyNumberFormat="1" applyFill="1" applyBorder="1" applyProtection="1"/>
    <xf numFmtId="164" fontId="0" fillId="2" borderId="23" xfId="0" applyNumberFormat="1" applyFill="1" applyBorder="1" applyProtection="1"/>
    <xf numFmtId="164" fontId="0" fillId="3" borderId="26" xfId="0" applyNumberFormat="1" applyFill="1" applyBorder="1"/>
    <xf numFmtId="0" fontId="0" fillId="3" borderId="26" xfId="0" applyFill="1" applyBorder="1"/>
    <xf numFmtId="4" fontId="0" fillId="0" borderId="21" xfId="0" applyNumberFormat="1" applyBorder="1"/>
    <xf numFmtId="4" fontId="0" fillId="4" borderId="22" xfId="0" applyNumberFormat="1" applyFill="1" applyBorder="1"/>
    <xf numFmtId="4" fontId="0" fillId="3" borderId="22" xfId="0" applyNumberFormat="1" applyFill="1" applyBorder="1" applyProtection="1"/>
    <xf numFmtId="4" fontId="0" fillId="0" borderId="22" xfId="0" applyNumberFormat="1" applyBorder="1"/>
    <xf numFmtId="4" fontId="0" fillId="0" borderId="23" xfId="0" applyNumberFormat="1" applyBorder="1"/>
    <xf numFmtId="0" fontId="0" fillId="3" borderId="24" xfId="0" applyFill="1" applyBorder="1" applyAlignment="1"/>
    <xf numFmtId="164" fontId="0" fillId="2" borderId="22" xfId="0" applyNumberFormat="1" applyFill="1" applyBorder="1" applyProtection="1"/>
    <xf numFmtId="49" fontId="0" fillId="3" borderId="24" xfId="0" applyNumberFormat="1" applyFill="1" applyBorder="1" applyAlignment="1"/>
    <xf numFmtId="49" fontId="0" fillId="3" borderId="21" xfId="0" applyNumberFormat="1" applyFill="1" applyBorder="1" applyAlignment="1">
      <alignment wrapText="1"/>
    </xf>
    <xf numFmtId="49" fontId="0" fillId="3" borderId="22" xfId="0" applyNumberFormat="1" applyFill="1" applyBorder="1" applyAlignment="1">
      <alignment wrapText="1"/>
    </xf>
    <xf numFmtId="4" fontId="0" fillId="3" borderId="22" xfId="0" applyNumberFormat="1" applyFill="1" applyBorder="1"/>
    <xf numFmtId="49" fontId="0" fillId="3" borderId="23" xfId="0" applyNumberFormat="1" applyFill="1" applyBorder="1" applyAlignment="1">
      <alignment wrapText="1"/>
    </xf>
    <xf numFmtId="4" fontId="0" fillId="3" borderId="23" xfId="0" applyNumberFormat="1" applyFill="1" applyBorder="1"/>
    <xf numFmtId="0" fontId="4" fillId="5" borderId="25" xfId="1" applyFont="1" applyFill="1" applyBorder="1"/>
    <xf numFmtId="0" fontId="4" fillId="5" borderId="26" xfId="1" applyFont="1" applyFill="1" applyBorder="1"/>
    <xf numFmtId="0" fontId="3" fillId="5" borderId="4" xfId="1" applyFont="1" applyFill="1" applyBorder="1"/>
    <xf numFmtId="0" fontId="4" fillId="5" borderId="9" xfId="1" applyFont="1" applyFill="1" applyBorder="1"/>
    <xf numFmtId="0" fontId="4" fillId="5" borderId="5" xfId="1" applyFont="1" applyFill="1" applyBorder="1"/>
    <xf numFmtId="164" fontId="3" fillId="6" borderId="5" xfId="1" applyNumberFormat="1" applyFont="1" applyFill="1" applyBorder="1"/>
    <xf numFmtId="0" fontId="3" fillId="5" borderId="7" xfId="1" applyFont="1" applyFill="1" applyBorder="1"/>
    <xf numFmtId="0" fontId="4" fillId="5" borderId="10" xfId="1" applyFont="1" applyFill="1" applyBorder="1"/>
    <xf numFmtId="0" fontId="4" fillId="5" borderId="8" xfId="1" applyFont="1" applyFill="1" applyBorder="1"/>
    <xf numFmtId="164" fontId="3" fillId="6" borderId="8" xfId="1" applyNumberFormat="1" applyFont="1" applyFill="1" applyBorder="1"/>
    <xf numFmtId="0" fontId="4" fillId="5" borderId="24" xfId="1" applyFont="1" applyFill="1" applyBorder="1"/>
  </cellXfs>
  <cellStyles count="2">
    <cellStyle name="Standaard" xfId="0" builtinId="0"/>
    <cellStyle name="Standaard 2" xfId="1" xr:uid="{0A0CAD9D-FDC4-4C14-A464-D4976CC317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5177B-8C8F-46DD-92DD-90F086886C63}">
  <dimension ref="A1:N29"/>
  <sheetViews>
    <sheetView workbookViewId="0"/>
  </sheetViews>
  <sheetFormatPr defaultRowHeight="12.75" x14ac:dyDescent="0.2"/>
  <sheetData>
    <row r="1" spans="1:14" x14ac:dyDescent="0.2">
      <c r="A1" s="1" t="s">
        <v>0</v>
      </c>
    </row>
    <row r="3" spans="1:14" x14ac:dyDescent="0.2">
      <c r="A3" t="s">
        <v>1</v>
      </c>
    </row>
    <row r="5" spans="1:14" x14ac:dyDescent="0.2">
      <c r="A5" t="s">
        <v>2</v>
      </c>
      <c r="B5" t="s">
        <v>3</v>
      </c>
    </row>
    <row r="7" spans="1:14" x14ac:dyDescent="0.2">
      <c r="A7" s="4" t="s">
        <v>4</v>
      </c>
      <c r="B7" s="5"/>
      <c r="D7" s="4" t="s">
        <v>26</v>
      </c>
      <c r="E7" s="5"/>
      <c r="G7" s="4" t="s">
        <v>27</v>
      </c>
      <c r="H7" s="5"/>
      <c r="J7" s="4" t="s">
        <v>28</v>
      </c>
      <c r="K7" s="5"/>
      <c r="M7" s="4" t="s">
        <v>29</v>
      </c>
      <c r="N7" s="5"/>
    </row>
    <row r="8" spans="1:14" x14ac:dyDescent="0.2">
      <c r="A8" s="2"/>
      <c r="B8" s="3"/>
      <c r="D8" s="2"/>
      <c r="E8" s="3"/>
      <c r="G8" s="2"/>
      <c r="H8" s="3"/>
      <c r="J8" s="2"/>
      <c r="K8" s="3"/>
      <c r="M8" s="2"/>
      <c r="N8" s="3"/>
    </row>
    <row r="9" spans="1:14" x14ac:dyDescent="0.2">
      <c r="A9" s="2" t="s">
        <v>5</v>
      </c>
      <c r="B9" s="3">
        <v>200</v>
      </c>
      <c r="D9" s="2" t="s">
        <v>5</v>
      </c>
      <c r="E9" s="3">
        <v>11</v>
      </c>
      <c r="G9" s="2" t="s">
        <v>5</v>
      </c>
      <c r="H9" s="3">
        <v>1</v>
      </c>
      <c r="J9" s="2" t="s">
        <v>5</v>
      </c>
      <c r="K9" s="3">
        <v>51</v>
      </c>
      <c r="M9" s="2" t="s">
        <v>5</v>
      </c>
      <c r="N9" s="3">
        <v>102</v>
      </c>
    </row>
    <row r="10" spans="1:14" x14ac:dyDescent="0.2">
      <c r="A10" s="2" t="s">
        <v>6</v>
      </c>
      <c r="B10" s="3">
        <v>5</v>
      </c>
      <c r="D10" s="2" t="s">
        <v>6</v>
      </c>
      <c r="E10" s="3">
        <v>1</v>
      </c>
      <c r="G10" s="2" t="s">
        <v>6</v>
      </c>
      <c r="H10" s="3">
        <v>1</v>
      </c>
      <c r="J10" s="2" t="s">
        <v>6</v>
      </c>
      <c r="K10" s="3">
        <v>5</v>
      </c>
      <c r="M10" s="2" t="s">
        <v>6</v>
      </c>
      <c r="N10" s="3">
        <v>2</v>
      </c>
    </row>
    <row r="11" spans="1:14" x14ac:dyDescent="0.2">
      <c r="A11" s="2"/>
      <c r="B11" s="3"/>
      <c r="D11" s="2"/>
      <c r="E11" s="3"/>
      <c r="G11" s="2"/>
      <c r="H11" s="3"/>
      <c r="J11" s="2"/>
      <c r="K11" s="3"/>
      <c r="M11" s="2"/>
      <c r="N11" s="3"/>
    </row>
    <row r="12" spans="1:14" x14ac:dyDescent="0.2">
      <c r="A12" s="2" t="s">
        <v>7</v>
      </c>
      <c r="B12" s="3" t="s">
        <v>8</v>
      </c>
      <c r="D12" s="2" t="s">
        <v>7</v>
      </c>
      <c r="E12" s="3" t="s">
        <v>8</v>
      </c>
      <c r="G12" s="2" t="s">
        <v>7</v>
      </c>
      <c r="H12" s="3" t="s">
        <v>8</v>
      </c>
      <c r="J12" s="2" t="s">
        <v>7</v>
      </c>
      <c r="K12" s="3" t="s">
        <v>8</v>
      </c>
      <c r="M12" s="2" t="s">
        <v>7</v>
      </c>
      <c r="N12" s="3" t="s">
        <v>8</v>
      </c>
    </row>
    <row r="13" spans="1:14" x14ac:dyDescent="0.2">
      <c r="A13" s="2" t="s">
        <v>9</v>
      </c>
      <c r="B13" s="3">
        <f>IF(A13="2½W",2.5/dagenperweek1,IF(RIGHT(A13,1)="W",VALUE(LEFT(A13,LEN(A13)-1))/dagenperweek1,IF(RIGHT(A13,1)="J",VALUE(LEFT(A13,LEN(A13)-1))/dagenperjaar1,"handmatig!")))</f>
        <v>2</v>
      </c>
      <c r="D13" s="2" t="s">
        <v>11</v>
      </c>
      <c r="E13" s="3">
        <f>IF(D13="2½W",2.5/dagenperweek2,IF(RIGHT(D13,1)="W",VALUE(LEFT(D13,LEN(D13)-1))/dagenperweek2,IF(RIGHT(D13,1)="J",VALUE(LEFT(D13,LEN(D13)-1))/dagenperjaar2,"handmatig!")))</f>
        <v>5</v>
      </c>
      <c r="G13" s="2" t="s">
        <v>11</v>
      </c>
      <c r="H13" s="3">
        <f>IF(G13="2½W",2.5/dagenperweek3,IF(RIGHT(G13,1)="W",VALUE(LEFT(G13,LEN(G13)-1))/dagenperweek3,IF(RIGHT(G13,1)="J",VALUE(LEFT(G13,LEN(G13)-1))/dagenperjaar3,"handmatig!")))</f>
        <v>5</v>
      </c>
      <c r="J13" s="2" t="s">
        <v>11</v>
      </c>
      <c r="K13" s="3">
        <f>IF(J13="2½W",2.5/dagenperweek4,IF(RIGHT(J13,1)="W",VALUE(LEFT(J13,LEN(J13)-1))/dagenperweek4,IF(RIGHT(J13,1)="J",VALUE(LEFT(J13,LEN(J13)-1))/dagenperjaar4,"handmatig!")))</f>
        <v>1</v>
      </c>
      <c r="M13" s="2" t="s">
        <v>16</v>
      </c>
      <c r="N13" s="3">
        <f>IF(M13="2½W",2.5/dagenperweek5,IF(RIGHT(M13,1)="W",VALUE(LEFT(M13,LEN(M13)-1))/dagenperweek5,IF(RIGHT(M13,1)="J",VALUE(LEFT(M13,LEN(M13)-1))/dagenperjaar5,"handmatig!")))</f>
        <v>1</v>
      </c>
    </row>
    <row r="14" spans="1:14" x14ac:dyDescent="0.2">
      <c r="A14" s="2" t="s">
        <v>10</v>
      </c>
      <c r="B14" s="3">
        <f>IF(A14="2½W",2.5/dagenperweek1,IF(RIGHT(A14,1)="W",VALUE(LEFT(A14,LEN(A14)-1))/dagenperweek1,IF(RIGHT(A14,1)="J",VALUE(LEFT(A14,LEN(A14)-1))/dagenperjaar1,"handmatig!")))</f>
        <v>1.05</v>
      </c>
      <c r="D14" s="2" t="s">
        <v>13</v>
      </c>
      <c r="E14" s="3">
        <f>IF(D14="2½W",2.5/dagenperweek2,IF(RIGHT(D14,1)="W",VALUE(LEFT(D14,LEN(D14)-1))/dagenperweek2,IF(RIGHT(D14,1)="J",VALUE(LEFT(D14,LEN(D14)-1))/dagenperjaar2,"handmatig!")))</f>
        <v>4</v>
      </c>
      <c r="G14" s="2" t="s">
        <v>13</v>
      </c>
      <c r="H14" s="3">
        <f>IF(G14="2½W",2.5/dagenperweek3,IF(RIGHT(G14,1)="W",VALUE(LEFT(G14,LEN(G14)-1))/dagenperweek3,IF(RIGHT(G14,1)="J",VALUE(LEFT(G14,LEN(G14)-1))/dagenperjaar3,"handmatig!")))</f>
        <v>4</v>
      </c>
      <c r="J14" s="2" t="s">
        <v>13</v>
      </c>
      <c r="K14" s="3">
        <f>IF(J14="2½W",2.5/dagenperweek4,IF(RIGHT(J14,1)="W",VALUE(LEFT(J14,LEN(J14)-1))/dagenperweek4,IF(RIGHT(J14,1)="J",VALUE(LEFT(J14,LEN(J14)-1))/dagenperjaar4,"handmatig!")))</f>
        <v>0.8</v>
      </c>
      <c r="M14" s="2" t="s">
        <v>17</v>
      </c>
      <c r="N14" s="3">
        <f>IF(M14="2½W",2.5/dagenperweek5,IF(RIGHT(M14,1)="W",VALUE(LEFT(M14,LEN(M14)-1))/dagenperweek5,IF(RIGHT(M14,1)="J",VALUE(LEFT(M14,LEN(M14)-1))/dagenperjaar5,"handmatig!")))</f>
        <v>0.5</v>
      </c>
    </row>
    <row r="15" spans="1:14" x14ac:dyDescent="0.2">
      <c r="A15" s="2" t="s">
        <v>11</v>
      </c>
      <c r="B15" s="3">
        <f>IF(A15="2½W",2.5/dagenperweek1,IF(RIGHT(A15,1)="W",VALUE(LEFT(A15,LEN(A15)-1))/dagenperweek1,IF(RIGHT(A15,1)="J",VALUE(LEFT(A15,LEN(A15)-1))/dagenperjaar1,"handmatig!")))</f>
        <v>1</v>
      </c>
      <c r="D15" s="2" t="s">
        <v>14</v>
      </c>
      <c r="E15" s="3">
        <f>IF(D15="2½W",2.5/dagenperweek2,IF(RIGHT(D15,1)="W",VALUE(LEFT(D15,LEN(D15)-1))/dagenperweek2,IF(RIGHT(D15,1)="J",VALUE(LEFT(D15,LEN(D15)-1))/dagenperjaar2,"handmatig!")))</f>
        <v>3</v>
      </c>
      <c r="G15" s="2" t="s">
        <v>14</v>
      </c>
      <c r="H15" s="3">
        <f>IF(G15="2½W",2.5/dagenperweek3,IF(RIGHT(G15,1)="W",VALUE(LEFT(G15,LEN(G15)-1))/dagenperweek3,IF(RIGHT(G15,1)="J",VALUE(LEFT(G15,LEN(G15)-1))/dagenperjaar3,"handmatig!")))</f>
        <v>3</v>
      </c>
      <c r="J15" s="2" t="s">
        <v>14</v>
      </c>
      <c r="K15" s="3">
        <f>IF(J15="2½W",2.5/dagenperweek4,IF(RIGHT(J15,1)="W",VALUE(LEFT(J15,LEN(J15)-1))/dagenperweek4,IF(RIGHT(J15,1)="J",VALUE(LEFT(J15,LEN(J15)-1))/dagenperjaar4,"handmatig!")))</f>
        <v>0.6</v>
      </c>
      <c r="M15" s="6" t="s">
        <v>25</v>
      </c>
      <c r="N15" s="7">
        <f>IF(M15="2½W",2.5/dagenperweek5,IF(RIGHT(M15,1)="W",VALUE(LEFT(M15,LEN(M15)-1))/dagenperweek5,IF(RIGHT(M15,1)="J",VALUE(LEFT(M15,LEN(M15)-1))/dagenperjaar5,"handmatig!")))</f>
        <v>9.8039215686274508E-3</v>
      </c>
    </row>
    <row r="16" spans="1:14" x14ac:dyDescent="0.2">
      <c r="A16" s="2" t="s">
        <v>12</v>
      </c>
      <c r="B16" s="3">
        <f>IF(A16="2½W",2.5/dagenperweek1,IF(RIGHT(A16,1)="W",VALUE(LEFT(A16,LEN(A16)-1))/dagenperweek1,IF(RIGHT(A16,1)="J",VALUE(LEFT(A16,LEN(A16)-1))/dagenperjaar1,"handmatig!")))</f>
        <v>1</v>
      </c>
      <c r="D16" s="2" t="s">
        <v>16</v>
      </c>
      <c r="E16" s="3">
        <f>IF(D16="2½W",2.5/dagenperweek2,IF(RIGHT(D16,1)="W",VALUE(LEFT(D16,LEN(D16)-1))/dagenperweek2,IF(RIGHT(D16,1)="J",VALUE(LEFT(D16,LEN(D16)-1))/dagenperjaar2,"handmatig!")))</f>
        <v>2</v>
      </c>
      <c r="G16" s="2" t="s">
        <v>16</v>
      </c>
      <c r="H16" s="3">
        <f>IF(G16="2½W",2.5/dagenperweek3,IF(RIGHT(G16,1)="W",VALUE(LEFT(G16,LEN(G16)-1))/dagenperweek3,IF(RIGHT(G16,1)="J",VALUE(LEFT(G16,LEN(G16)-1))/dagenperjaar3,"handmatig!")))</f>
        <v>2</v>
      </c>
      <c r="J16" s="2" t="s">
        <v>16</v>
      </c>
      <c r="K16" s="3">
        <f>IF(J16="2½W",2.5/dagenperweek4,IF(RIGHT(J16,1)="W",VALUE(LEFT(J16,LEN(J16)-1))/dagenperweek4,IF(RIGHT(J16,1)="J",VALUE(LEFT(J16,LEN(J16)-1))/dagenperjaar4,"handmatig!")))</f>
        <v>0.4</v>
      </c>
    </row>
    <row r="17" spans="1:11" x14ac:dyDescent="0.2">
      <c r="A17" s="2" t="s">
        <v>13</v>
      </c>
      <c r="B17" s="3">
        <f>IF(A17="2½W",2.5/dagenperweek1,IF(RIGHT(A17,1)="W",VALUE(LEFT(A17,LEN(A17)-1))/dagenperweek1,IF(RIGHT(A17,1)="J",VALUE(LEFT(A17,LEN(A17)-1))/dagenperjaar1,"handmatig!")))</f>
        <v>0.8</v>
      </c>
      <c r="D17" s="2" t="s">
        <v>17</v>
      </c>
      <c r="E17" s="3">
        <f>IF(D17="2½W",2.5/dagenperweek2,IF(RIGHT(D17,1)="W",VALUE(LEFT(D17,LEN(D17)-1))/dagenperweek2,IF(RIGHT(D17,1)="J",VALUE(LEFT(D17,LEN(D17)-1))/dagenperjaar2,"handmatig!")))</f>
        <v>1</v>
      </c>
      <c r="G17" s="2" t="s">
        <v>17</v>
      </c>
      <c r="H17" s="3">
        <f>IF(G17="2½W",2.5/dagenperweek3,IF(RIGHT(G17,1)="W",VALUE(LEFT(G17,LEN(G17)-1))/dagenperweek3,IF(RIGHT(G17,1)="J",VALUE(LEFT(G17,LEN(G17)-1))/dagenperjaar3,"handmatig!")))</f>
        <v>1</v>
      </c>
      <c r="J17" s="2" t="s">
        <v>17</v>
      </c>
      <c r="K17" s="3">
        <f>IF(J17="2½W",2.5/dagenperweek4,IF(RIGHT(J17,1)="W",VALUE(LEFT(J17,LEN(J17)-1))/dagenperweek4,IF(RIGHT(J17,1)="J",VALUE(LEFT(J17,LEN(J17)-1))/dagenperjaar4,"handmatig!")))</f>
        <v>0.2</v>
      </c>
    </row>
    <row r="18" spans="1:11" x14ac:dyDescent="0.2">
      <c r="A18" s="2" t="s">
        <v>14</v>
      </c>
      <c r="B18" s="3">
        <f>IF(A18="2½W",2.5/dagenperweek1,IF(RIGHT(A18,1)="W",VALUE(LEFT(A18,LEN(A18)-1))/dagenperweek1,IF(RIGHT(A18,1)="J",VALUE(LEFT(A18,LEN(A18)-1))/dagenperjaar1,"handmatig!")))</f>
        <v>0.6</v>
      </c>
      <c r="D18" s="2" t="s">
        <v>18</v>
      </c>
      <c r="E18" s="3">
        <f>IF(D18="2½W",2.5/dagenperweek2,IF(RIGHT(D18,1)="W",VALUE(LEFT(D18,LEN(D18)-1))/dagenperweek2,IF(RIGHT(D18,1)="J",VALUE(LEFT(D18,LEN(D18)-1))/dagenperjaar2,"handmatig!")))</f>
        <v>2.3636363636363638</v>
      </c>
      <c r="G18" s="2" t="s">
        <v>18</v>
      </c>
      <c r="H18" s="3">
        <f>IF(G18="2½W",2.5/dagenperweek3,IF(RIGHT(G18,1)="W",VALUE(LEFT(G18,LEN(G18)-1))/dagenperweek3,IF(RIGHT(G18,1)="J",VALUE(LEFT(G18,LEN(G18)-1))/dagenperjaar3,"handmatig!")))</f>
        <v>26</v>
      </c>
      <c r="J18" s="2" t="s">
        <v>18</v>
      </c>
      <c r="K18" s="3">
        <f>IF(J18="2½W",2.5/dagenperweek4,IF(RIGHT(J18,1)="W",VALUE(LEFT(J18,LEN(J18)-1))/dagenperweek4,IF(RIGHT(J18,1)="J",VALUE(LEFT(J18,LEN(J18)-1))/dagenperjaar4,"handmatig!")))</f>
        <v>0.50980392156862742</v>
      </c>
    </row>
    <row r="19" spans="1:11" x14ac:dyDescent="0.2">
      <c r="A19" s="2" t="s">
        <v>15</v>
      </c>
      <c r="B19" s="3">
        <f>IF(A19="2½W",2.5/dagenperweek1,IF(RIGHT(A19,1)="W",VALUE(LEFT(A19,LEN(A19)-1))/dagenperweek1,IF(RIGHT(A19,1)="J",VALUE(LEFT(A19,LEN(A19)-1))/dagenperjaar1,"handmatig!")))</f>
        <v>0.5</v>
      </c>
      <c r="D19" s="2" t="s">
        <v>19</v>
      </c>
      <c r="E19" s="3">
        <f>IF(D19="2½W",2.5/dagenperweek2,IF(RIGHT(D19,1)="W",VALUE(LEFT(D19,LEN(D19)-1))/dagenperweek2,IF(RIGHT(D19,1)="J",VALUE(LEFT(D19,LEN(D19)-1))/dagenperjaar2,"handmatig!")))</f>
        <v>1.0909090909090908</v>
      </c>
      <c r="G19" s="2" t="s">
        <v>19</v>
      </c>
      <c r="H19" s="3">
        <f>IF(G19="2½W",2.5/dagenperweek3,IF(RIGHT(G19,1)="W",VALUE(LEFT(G19,LEN(G19)-1))/dagenperweek3,IF(RIGHT(G19,1)="J",VALUE(LEFT(G19,LEN(G19)-1))/dagenperjaar3,"handmatig!")))</f>
        <v>12</v>
      </c>
      <c r="J19" s="2" t="s">
        <v>19</v>
      </c>
      <c r="K19" s="3">
        <f>IF(J19="2½W",2.5/dagenperweek4,IF(RIGHT(J19,1)="W",VALUE(LEFT(J19,LEN(J19)-1))/dagenperweek4,IF(RIGHT(J19,1)="J",VALUE(LEFT(J19,LEN(J19)-1))/dagenperjaar4,"handmatig!")))</f>
        <v>0.23529411764705882</v>
      </c>
    </row>
    <row r="20" spans="1:11" x14ac:dyDescent="0.2">
      <c r="A20" s="2" t="s">
        <v>16</v>
      </c>
      <c r="B20" s="3">
        <f>IF(A20="2½W",2.5/dagenperweek1,IF(RIGHT(A20,1)="W",VALUE(LEFT(A20,LEN(A20)-1))/dagenperweek1,IF(RIGHT(A20,1)="J",VALUE(LEFT(A20,LEN(A20)-1))/dagenperjaar1,"handmatig!")))</f>
        <v>0.4</v>
      </c>
      <c r="D20" s="2" t="s">
        <v>21</v>
      </c>
      <c r="E20" s="3">
        <f>IF(D20="2½W",2.5/dagenperweek2,IF(RIGHT(D20,1)="W",VALUE(LEFT(D20,LEN(D20)-1))/dagenperweek2,IF(RIGHT(D20,1)="J",VALUE(LEFT(D20,LEN(D20)-1))/dagenperjaar2,"handmatig!")))</f>
        <v>0.54545454545454541</v>
      </c>
      <c r="G20" s="2" t="s">
        <v>21</v>
      </c>
      <c r="H20" s="3">
        <f>IF(G20="2½W",2.5/dagenperweek3,IF(RIGHT(G20,1)="W",VALUE(LEFT(G20,LEN(G20)-1))/dagenperweek3,IF(RIGHT(G20,1)="J",VALUE(LEFT(G20,LEN(G20)-1))/dagenperjaar3,"handmatig!")))</f>
        <v>6</v>
      </c>
      <c r="J20" s="2" t="s">
        <v>21</v>
      </c>
      <c r="K20" s="3">
        <f>IF(J20="2½W",2.5/dagenperweek4,IF(RIGHT(J20,1)="W",VALUE(LEFT(J20,LEN(J20)-1))/dagenperweek4,IF(RIGHT(J20,1)="J",VALUE(LEFT(J20,LEN(J20)-1))/dagenperjaar4,"handmatig!")))</f>
        <v>0.11764705882352941</v>
      </c>
    </row>
    <row r="21" spans="1:11" x14ac:dyDescent="0.2">
      <c r="A21" s="2" t="s">
        <v>17</v>
      </c>
      <c r="B21" s="3">
        <f>IF(A21="2½W",2.5/dagenperweek1,IF(RIGHT(A21,1)="W",VALUE(LEFT(A21,LEN(A21)-1))/dagenperweek1,IF(RIGHT(A21,1)="J",VALUE(LEFT(A21,LEN(A21)-1))/dagenperjaar1,"handmatig!")))</f>
        <v>0.2</v>
      </c>
      <c r="D21" s="2" t="s">
        <v>22</v>
      </c>
      <c r="E21" s="3">
        <f>IF(D21="2½W",2.5/dagenperweek2,IF(RIGHT(D21,1)="W",VALUE(LEFT(D21,LEN(D21)-1))/dagenperweek2,IF(RIGHT(D21,1)="J",VALUE(LEFT(D21,LEN(D21)-1))/dagenperjaar2,"handmatig!")))</f>
        <v>0.36363636363636365</v>
      </c>
      <c r="G21" s="2" t="s">
        <v>22</v>
      </c>
      <c r="H21" s="3">
        <f>IF(G21="2½W",2.5/dagenperweek3,IF(RIGHT(G21,1)="W",VALUE(LEFT(G21,LEN(G21)-1))/dagenperweek3,IF(RIGHT(G21,1)="J",VALUE(LEFT(G21,LEN(G21)-1))/dagenperjaar3,"handmatig!")))</f>
        <v>4</v>
      </c>
      <c r="J21" s="2" t="s">
        <v>22</v>
      </c>
      <c r="K21" s="3">
        <f>IF(J21="2½W",2.5/dagenperweek4,IF(RIGHT(J21,1)="W",VALUE(LEFT(J21,LEN(J21)-1))/dagenperweek4,IF(RIGHT(J21,1)="J",VALUE(LEFT(J21,LEN(J21)-1))/dagenperjaar4,"handmatig!")))</f>
        <v>7.8431372549019607E-2</v>
      </c>
    </row>
    <row r="22" spans="1:11" x14ac:dyDescent="0.2">
      <c r="A22" s="2" t="s">
        <v>18</v>
      </c>
      <c r="B22" s="3">
        <f>IF(A22="2½W",2.5/dagenperweek1,IF(RIGHT(A22,1)="W",VALUE(LEFT(A22,LEN(A22)-1))/dagenperweek1,IF(RIGHT(A22,1)="J",VALUE(LEFT(A22,LEN(A22)-1))/dagenperjaar1,"handmatig!")))</f>
        <v>0.13</v>
      </c>
      <c r="D22" s="2" t="s">
        <v>23</v>
      </c>
      <c r="E22" s="3">
        <f>IF(D22="2½W",2.5/dagenperweek2,IF(RIGHT(D22,1)="W",VALUE(LEFT(D22,LEN(D22)-1))/dagenperweek2,IF(RIGHT(D22,1)="J",VALUE(LEFT(D22,LEN(D22)-1))/dagenperjaar2,"handmatig!")))</f>
        <v>0.27272727272727271</v>
      </c>
      <c r="G22" s="2" t="s">
        <v>23</v>
      </c>
      <c r="H22" s="3">
        <f>IF(G22="2½W",2.5/dagenperweek3,IF(RIGHT(G22,1)="W",VALUE(LEFT(G22,LEN(G22)-1))/dagenperweek3,IF(RIGHT(G22,1)="J",VALUE(LEFT(G22,LEN(G22)-1))/dagenperjaar3,"handmatig!")))</f>
        <v>3</v>
      </c>
      <c r="J22" s="2" t="s">
        <v>23</v>
      </c>
      <c r="K22" s="3">
        <f>IF(J22="2½W",2.5/dagenperweek4,IF(RIGHT(J22,1)="W",VALUE(LEFT(J22,LEN(J22)-1))/dagenperweek4,IF(RIGHT(J22,1)="J",VALUE(LEFT(J22,LEN(J22)-1))/dagenperjaar4,"handmatig!")))</f>
        <v>5.8823529411764705E-2</v>
      </c>
    </row>
    <row r="23" spans="1:11" x14ac:dyDescent="0.2">
      <c r="A23" s="2" t="s">
        <v>19</v>
      </c>
      <c r="B23" s="3">
        <f>IF(A23="2½W",2.5/dagenperweek1,IF(RIGHT(A23,1)="W",VALUE(LEFT(A23,LEN(A23)-1))/dagenperweek1,IF(RIGHT(A23,1)="J",VALUE(LEFT(A23,LEN(A23)-1))/dagenperjaar1,"handmatig!")))</f>
        <v>0.06</v>
      </c>
      <c r="D23" s="2" t="s">
        <v>24</v>
      </c>
      <c r="E23" s="3">
        <f>IF(D23="2½W",2.5/dagenperweek2,IF(RIGHT(D23,1)="W",VALUE(LEFT(D23,LEN(D23)-1))/dagenperweek2,IF(RIGHT(D23,1)="J",VALUE(LEFT(D23,LEN(D23)-1))/dagenperjaar2,"handmatig!")))</f>
        <v>0.18181818181818182</v>
      </c>
      <c r="G23" s="2" t="s">
        <v>24</v>
      </c>
      <c r="H23" s="3">
        <f>IF(G23="2½W",2.5/dagenperweek3,IF(RIGHT(G23,1)="W",VALUE(LEFT(G23,LEN(G23)-1))/dagenperweek3,IF(RIGHT(G23,1)="J",VALUE(LEFT(G23,LEN(G23)-1))/dagenperjaar3,"handmatig!")))</f>
        <v>2</v>
      </c>
      <c r="J23" s="2" t="s">
        <v>24</v>
      </c>
      <c r="K23" s="3">
        <f>IF(J23="2½W",2.5/dagenperweek4,IF(RIGHT(J23,1)="W",VALUE(LEFT(J23,LEN(J23)-1))/dagenperweek4,IF(RIGHT(J23,1)="J",VALUE(LEFT(J23,LEN(J23)-1))/dagenperjaar4,"handmatig!")))</f>
        <v>3.9215686274509803E-2</v>
      </c>
    </row>
    <row r="24" spans="1:11" x14ac:dyDescent="0.2">
      <c r="A24" s="2" t="s">
        <v>20</v>
      </c>
      <c r="B24" s="3">
        <f>IF(A24="2½W",2.5/dagenperweek1,IF(RIGHT(A24,1)="W",VALUE(LEFT(A24,LEN(A24)-1))/dagenperweek1,IF(RIGHT(A24,1)="J",VALUE(LEFT(A24,LEN(A24)-1))/dagenperjaar1,"handmatig!")))</f>
        <v>0.05</v>
      </c>
      <c r="D24" s="6" t="s">
        <v>25</v>
      </c>
      <c r="E24" s="7">
        <f>IF(D24="2½W",2.5/dagenperweek2,IF(RIGHT(D24,1)="W",VALUE(LEFT(D24,LEN(D24)-1))/dagenperweek2,IF(RIGHT(D24,1)="J",VALUE(LEFT(D24,LEN(D24)-1))/dagenperjaar2,"handmatig!")))</f>
        <v>9.0909090909090912E-2</v>
      </c>
      <c r="G24" s="6" t="s">
        <v>25</v>
      </c>
      <c r="H24" s="7">
        <f>IF(G24="2½W",2.5/dagenperweek3,IF(RIGHT(G24,1)="W",VALUE(LEFT(G24,LEN(G24)-1))/dagenperweek3,IF(RIGHT(G24,1)="J",VALUE(LEFT(G24,LEN(G24)-1))/dagenperjaar3,"handmatig!")))</f>
        <v>1</v>
      </c>
      <c r="J24" s="6" t="s">
        <v>25</v>
      </c>
      <c r="K24" s="7">
        <f>IF(J24="2½W",2.5/dagenperweek4,IF(RIGHT(J24,1)="W",VALUE(LEFT(J24,LEN(J24)-1))/dagenperweek4,IF(RIGHT(J24,1)="J",VALUE(LEFT(J24,LEN(J24)-1))/dagenperjaar4,"handmatig!")))</f>
        <v>1.9607843137254902E-2</v>
      </c>
    </row>
    <row r="25" spans="1:11" x14ac:dyDescent="0.2">
      <c r="A25" s="2" t="s">
        <v>21</v>
      </c>
      <c r="B25" s="3">
        <f>IF(A25="2½W",2.5/dagenperweek1,IF(RIGHT(A25,1)="W",VALUE(LEFT(A25,LEN(A25)-1))/dagenperweek1,IF(RIGHT(A25,1)="J",VALUE(LEFT(A25,LEN(A25)-1))/dagenperjaar1,"handmatig!")))</f>
        <v>0.03</v>
      </c>
    </row>
    <row r="26" spans="1:11" x14ac:dyDescent="0.2">
      <c r="A26" s="2" t="s">
        <v>22</v>
      </c>
      <c r="B26" s="3">
        <f>IF(A26="2½W",2.5/dagenperweek1,IF(RIGHT(A26,1)="W",VALUE(LEFT(A26,LEN(A26)-1))/dagenperweek1,IF(RIGHT(A26,1)="J",VALUE(LEFT(A26,LEN(A26)-1))/dagenperjaar1,"handmatig!")))</f>
        <v>0.02</v>
      </c>
    </row>
    <row r="27" spans="1:11" x14ac:dyDescent="0.2">
      <c r="A27" s="2" t="s">
        <v>23</v>
      </c>
      <c r="B27" s="3">
        <f>IF(A27="2½W",2.5/dagenperweek1,IF(RIGHT(A27,1)="W",VALUE(LEFT(A27,LEN(A27)-1))/dagenperweek1,IF(RIGHT(A27,1)="J",VALUE(LEFT(A27,LEN(A27)-1))/dagenperjaar1,"handmatig!")))</f>
        <v>1.4999999999999999E-2</v>
      </c>
    </row>
    <row r="28" spans="1:11" x14ac:dyDescent="0.2">
      <c r="A28" s="2" t="s">
        <v>24</v>
      </c>
      <c r="B28" s="3">
        <f>IF(A28="2½W",2.5/dagenperweek1,IF(RIGHT(A28,1)="W",VALUE(LEFT(A28,LEN(A28)-1))/dagenperweek1,IF(RIGHT(A28,1)="J",VALUE(LEFT(A28,LEN(A28)-1))/dagenperjaar1,"handmatig!")))</f>
        <v>0.01</v>
      </c>
    </row>
    <row r="29" spans="1:11" x14ac:dyDescent="0.2">
      <c r="A29" s="6" t="s">
        <v>25</v>
      </c>
      <c r="B29" s="7">
        <f>IF(A29="2½W",2.5/dagenperweek1,IF(RIGHT(A29,1)="W",VALUE(LEFT(A29,LEN(A29)-1))/dagenperweek1,IF(RIGHT(A29,1)="J",VALUE(LEFT(A29,LEN(A29)-1))/dagenperjaar1,"handmatig!")))</f>
        <v>5.0000000000000001E-3</v>
      </c>
    </row>
  </sheetData>
  <sheetProtection algorithmName="SHA-512" hashValue="LqytdqE59kcC5ivRZ93Wmlgh6mifFV1xomJfBRCdDHC/fHwBLtReY4KsSMDMUCTPZnqDy3enbyHWQPyQYjqtSQ==" saltValue="8zRXnzdd793PJagHhp/wvw==" spinCount="100000" sheet="1" objects="1" scenarios="1" autoFilter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3A45F-5AFD-4FE3-896F-7FAA728EDD25}">
  <dimension ref="A1:E94"/>
  <sheetViews>
    <sheetView workbookViewId="0"/>
  </sheetViews>
  <sheetFormatPr defaultRowHeight="12.75" x14ac:dyDescent="0.2"/>
  <cols>
    <col min="1" max="1" width="7.625" customWidth="1"/>
    <col min="2" max="2" width="40.625" customWidth="1"/>
    <col min="3" max="3" width="18.625" customWidth="1"/>
    <col min="4" max="4" width="20.625" customWidth="1"/>
    <col min="5" max="5" width="15.625" customWidth="1"/>
  </cols>
  <sheetData>
    <row r="1" spans="1:5" x14ac:dyDescent="0.2">
      <c r="A1" s="1" t="str">
        <f>CONCATENATE("Bijlage G.4.7: ",tabeltype," afroep incidenteel")</f>
        <v>Bijlage G.4.7: Invultabel afroep incidenteel</v>
      </c>
    </row>
    <row r="3" spans="1:5" ht="38.25" x14ac:dyDescent="0.2">
      <c r="A3" s="50" t="s">
        <v>498</v>
      </c>
      <c r="B3" s="50" t="s">
        <v>96</v>
      </c>
      <c r="C3" s="50" t="s">
        <v>99</v>
      </c>
      <c r="D3" s="50" t="s">
        <v>511</v>
      </c>
      <c r="E3" s="50" t="s">
        <v>503</v>
      </c>
    </row>
    <row r="4" spans="1:5" x14ac:dyDescent="0.2">
      <c r="A4" s="51"/>
      <c r="B4" s="52"/>
      <c r="C4" s="52"/>
      <c r="D4" s="52"/>
      <c r="E4" s="53"/>
    </row>
    <row r="5" spans="1:5" x14ac:dyDescent="0.2">
      <c r="A5" s="54" t="s">
        <v>101</v>
      </c>
      <c r="B5" s="55"/>
      <c r="C5" s="55"/>
      <c r="D5" s="55"/>
      <c r="E5" s="56"/>
    </row>
    <row r="6" spans="1:5" x14ac:dyDescent="0.2">
      <c r="A6" s="57" t="s">
        <v>512</v>
      </c>
      <c r="B6" s="57" t="s">
        <v>513</v>
      </c>
      <c r="C6" s="57" t="s">
        <v>514</v>
      </c>
      <c r="D6" s="57" t="s">
        <v>515</v>
      </c>
      <c r="E6" s="61"/>
    </row>
    <row r="7" spans="1:5" x14ac:dyDescent="0.2">
      <c r="A7" s="62" t="s">
        <v>516</v>
      </c>
      <c r="B7" s="62" t="s">
        <v>513</v>
      </c>
      <c r="C7" s="62" t="s">
        <v>514</v>
      </c>
      <c r="D7" s="62" t="s">
        <v>517</v>
      </c>
      <c r="E7" s="66"/>
    </row>
    <row r="8" spans="1:5" x14ac:dyDescent="0.2">
      <c r="A8" s="62" t="s">
        <v>518</v>
      </c>
      <c r="B8" s="62" t="s">
        <v>513</v>
      </c>
      <c r="C8" s="62" t="s">
        <v>514</v>
      </c>
      <c r="D8" s="62" t="s">
        <v>519</v>
      </c>
      <c r="E8" s="66"/>
    </row>
    <row r="9" spans="1:5" x14ac:dyDescent="0.2">
      <c r="A9" s="62" t="s">
        <v>520</v>
      </c>
      <c r="B9" s="62" t="s">
        <v>513</v>
      </c>
      <c r="C9" s="62" t="s">
        <v>514</v>
      </c>
      <c r="D9" s="62" t="s">
        <v>521</v>
      </c>
      <c r="E9" s="66"/>
    </row>
    <row r="10" spans="1:5" x14ac:dyDescent="0.2">
      <c r="A10" s="62" t="s">
        <v>522</v>
      </c>
      <c r="B10" s="62" t="s">
        <v>523</v>
      </c>
      <c r="C10" s="62" t="s">
        <v>514</v>
      </c>
      <c r="D10" s="62" t="s">
        <v>515</v>
      </c>
      <c r="E10" s="66"/>
    </row>
    <row r="11" spans="1:5" x14ac:dyDescent="0.2">
      <c r="A11" s="62" t="s">
        <v>524</v>
      </c>
      <c r="B11" s="62" t="s">
        <v>523</v>
      </c>
      <c r="C11" s="62" t="s">
        <v>514</v>
      </c>
      <c r="D11" s="62" t="s">
        <v>517</v>
      </c>
      <c r="E11" s="66"/>
    </row>
    <row r="12" spans="1:5" x14ac:dyDescent="0.2">
      <c r="A12" s="62" t="s">
        <v>525</v>
      </c>
      <c r="B12" s="62" t="s">
        <v>523</v>
      </c>
      <c r="C12" s="62" t="s">
        <v>514</v>
      </c>
      <c r="D12" s="62" t="s">
        <v>519</v>
      </c>
      <c r="E12" s="66"/>
    </row>
    <row r="13" spans="1:5" x14ac:dyDescent="0.2">
      <c r="A13" s="62" t="s">
        <v>526</v>
      </c>
      <c r="B13" s="62" t="s">
        <v>523</v>
      </c>
      <c r="C13" s="62" t="s">
        <v>514</v>
      </c>
      <c r="D13" s="62" t="s">
        <v>521</v>
      </c>
      <c r="E13" s="66"/>
    </row>
    <row r="14" spans="1:5" x14ac:dyDescent="0.2">
      <c r="A14" s="62" t="s">
        <v>527</v>
      </c>
      <c r="B14" s="62" t="s">
        <v>528</v>
      </c>
      <c r="C14" s="62" t="s">
        <v>514</v>
      </c>
      <c r="D14" s="62" t="s">
        <v>515</v>
      </c>
      <c r="E14" s="66"/>
    </row>
    <row r="15" spans="1:5" x14ac:dyDescent="0.2">
      <c r="A15" s="62" t="s">
        <v>529</v>
      </c>
      <c r="B15" s="62" t="s">
        <v>528</v>
      </c>
      <c r="C15" s="62" t="s">
        <v>514</v>
      </c>
      <c r="D15" s="62" t="s">
        <v>517</v>
      </c>
      <c r="E15" s="66"/>
    </row>
    <row r="16" spans="1:5" x14ac:dyDescent="0.2">
      <c r="A16" s="62" t="s">
        <v>530</v>
      </c>
      <c r="B16" s="62" t="s">
        <v>528</v>
      </c>
      <c r="C16" s="62" t="s">
        <v>514</v>
      </c>
      <c r="D16" s="62" t="s">
        <v>519</v>
      </c>
      <c r="E16" s="66"/>
    </row>
    <row r="17" spans="1:5" x14ac:dyDescent="0.2">
      <c r="A17" s="62" t="s">
        <v>531</v>
      </c>
      <c r="B17" s="62" t="s">
        <v>528</v>
      </c>
      <c r="C17" s="62" t="s">
        <v>514</v>
      </c>
      <c r="D17" s="62" t="s">
        <v>521</v>
      </c>
      <c r="E17" s="66"/>
    </row>
    <row r="18" spans="1:5" x14ac:dyDescent="0.2">
      <c r="A18" s="62" t="s">
        <v>532</v>
      </c>
      <c r="B18" s="62" t="s">
        <v>533</v>
      </c>
      <c r="C18" s="62" t="s">
        <v>534</v>
      </c>
      <c r="D18" s="62" t="s">
        <v>535</v>
      </c>
      <c r="E18" s="66"/>
    </row>
    <row r="19" spans="1:5" x14ac:dyDescent="0.2">
      <c r="A19" s="62" t="s">
        <v>536</v>
      </c>
      <c r="B19" s="62" t="s">
        <v>533</v>
      </c>
      <c r="C19" s="62" t="s">
        <v>534</v>
      </c>
      <c r="D19" s="62" t="s">
        <v>537</v>
      </c>
      <c r="E19" s="66"/>
    </row>
    <row r="20" spans="1:5" x14ac:dyDescent="0.2">
      <c r="A20" s="62" t="s">
        <v>538</v>
      </c>
      <c r="B20" s="62" t="s">
        <v>533</v>
      </c>
      <c r="C20" s="62" t="s">
        <v>534</v>
      </c>
      <c r="D20" s="62" t="s">
        <v>539</v>
      </c>
      <c r="E20" s="66"/>
    </row>
    <row r="21" spans="1:5" x14ac:dyDescent="0.2">
      <c r="A21" s="62" t="s">
        <v>540</v>
      </c>
      <c r="B21" s="62" t="s">
        <v>533</v>
      </c>
      <c r="C21" s="62" t="s">
        <v>534</v>
      </c>
      <c r="D21" s="62" t="s">
        <v>541</v>
      </c>
      <c r="E21" s="66"/>
    </row>
    <row r="22" spans="1:5" x14ac:dyDescent="0.2">
      <c r="A22" s="62" t="s">
        <v>542</v>
      </c>
      <c r="B22" s="62" t="s">
        <v>543</v>
      </c>
      <c r="C22" s="62" t="s">
        <v>534</v>
      </c>
      <c r="D22" s="62" t="s">
        <v>535</v>
      </c>
      <c r="E22" s="66"/>
    </row>
    <row r="23" spans="1:5" x14ac:dyDescent="0.2">
      <c r="A23" s="62" t="s">
        <v>544</v>
      </c>
      <c r="B23" s="62" t="s">
        <v>543</v>
      </c>
      <c r="C23" s="62" t="s">
        <v>534</v>
      </c>
      <c r="D23" s="62" t="s">
        <v>537</v>
      </c>
      <c r="E23" s="66"/>
    </row>
    <row r="24" spans="1:5" x14ac:dyDescent="0.2">
      <c r="A24" s="62" t="s">
        <v>545</v>
      </c>
      <c r="B24" s="62" t="s">
        <v>543</v>
      </c>
      <c r="C24" s="62" t="s">
        <v>534</v>
      </c>
      <c r="D24" s="62" t="s">
        <v>539</v>
      </c>
      <c r="E24" s="66"/>
    </row>
    <row r="25" spans="1:5" x14ac:dyDescent="0.2">
      <c r="A25" s="62" t="s">
        <v>546</v>
      </c>
      <c r="B25" s="62" t="s">
        <v>543</v>
      </c>
      <c r="C25" s="62" t="s">
        <v>534</v>
      </c>
      <c r="D25" s="62" t="s">
        <v>541</v>
      </c>
      <c r="E25" s="66"/>
    </row>
    <row r="26" spans="1:5" x14ac:dyDescent="0.2">
      <c r="A26" s="62" t="s">
        <v>547</v>
      </c>
      <c r="B26" s="62" t="s">
        <v>548</v>
      </c>
      <c r="C26" s="62" t="s">
        <v>534</v>
      </c>
      <c r="D26" s="62" t="s">
        <v>535</v>
      </c>
      <c r="E26" s="66"/>
    </row>
    <row r="27" spans="1:5" x14ac:dyDescent="0.2">
      <c r="A27" s="62" t="s">
        <v>549</v>
      </c>
      <c r="B27" s="62" t="s">
        <v>548</v>
      </c>
      <c r="C27" s="62" t="s">
        <v>534</v>
      </c>
      <c r="D27" s="62" t="s">
        <v>537</v>
      </c>
      <c r="E27" s="66"/>
    </row>
    <row r="28" spans="1:5" x14ac:dyDescent="0.2">
      <c r="A28" s="62" t="s">
        <v>550</v>
      </c>
      <c r="B28" s="62" t="s">
        <v>548</v>
      </c>
      <c r="C28" s="62" t="s">
        <v>534</v>
      </c>
      <c r="D28" s="62" t="s">
        <v>539</v>
      </c>
      <c r="E28" s="66"/>
    </row>
    <row r="29" spans="1:5" x14ac:dyDescent="0.2">
      <c r="A29" s="62" t="s">
        <v>551</v>
      </c>
      <c r="B29" s="62" t="s">
        <v>548</v>
      </c>
      <c r="C29" s="62" t="s">
        <v>534</v>
      </c>
      <c r="D29" s="62" t="s">
        <v>541</v>
      </c>
      <c r="E29" s="66"/>
    </row>
    <row r="30" spans="1:5" x14ac:dyDescent="0.2">
      <c r="A30" s="62" t="s">
        <v>552</v>
      </c>
      <c r="B30" s="62" t="s">
        <v>553</v>
      </c>
      <c r="C30" s="62" t="s">
        <v>534</v>
      </c>
      <c r="D30" s="62" t="s">
        <v>535</v>
      </c>
      <c r="E30" s="66"/>
    </row>
    <row r="31" spans="1:5" x14ac:dyDescent="0.2">
      <c r="A31" s="62" t="s">
        <v>554</v>
      </c>
      <c r="B31" s="62" t="s">
        <v>553</v>
      </c>
      <c r="C31" s="62" t="s">
        <v>534</v>
      </c>
      <c r="D31" s="62" t="s">
        <v>537</v>
      </c>
      <c r="E31" s="66"/>
    </row>
    <row r="32" spans="1:5" x14ac:dyDescent="0.2">
      <c r="A32" s="62" t="s">
        <v>555</v>
      </c>
      <c r="B32" s="62" t="s">
        <v>553</v>
      </c>
      <c r="C32" s="62" t="s">
        <v>534</v>
      </c>
      <c r="D32" s="62" t="s">
        <v>539</v>
      </c>
      <c r="E32" s="66"/>
    </row>
    <row r="33" spans="1:5" x14ac:dyDescent="0.2">
      <c r="A33" s="62" t="s">
        <v>556</v>
      </c>
      <c r="B33" s="62" t="s">
        <v>553</v>
      </c>
      <c r="C33" s="62" t="s">
        <v>534</v>
      </c>
      <c r="D33" s="62" t="s">
        <v>541</v>
      </c>
      <c r="E33" s="66"/>
    </row>
    <row r="34" spans="1:5" x14ac:dyDescent="0.2">
      <c r="A34" s="62" t="s">
        <v>557</v>
      </c>
      <c r="B34" s="62" t="s">
        <v>558</v>
      </c>
      <c r="C34" s="62" t="s">
        <v>534</v>
      </c>
      <c r="D34" s="62" t="s">
        <v>535</v>
      </c>
      <c r="E34" s="66"/>
    </row>
    <row r="35" spans="1:5" x14ac:dyDescent="0.2">
      <c r="A35" s="62" t="s">
        <v>559</v>
      </c>
      <c r="B35" s="62" t="s">
        <v>558</v>
      </c>
      <c r="C35" s="62" t="s">
        <v>534</v>
      </c>
      <c r="D35" s="62" t="s">
        <v>537</v>
      </c>
      <c r="E35" s="66"/>
    </row>
    <row r="36" spans="1:5" x14ac:dyDescent="0.2">
      <c r="A36" s="62" t="s">
        <v>560</v>
      </c>
      <c r="B36" s="62" t="s">
        <v>558</v>
      </c>
      <c r="C36" s="62" t="s">
        <v>534</v>
      </c>
      <c r="D36" s="62" t="s">
        <v>539</v>
      </c>
      <c r="E36" s="66"/>
    </row>
    <row r="37" spans="1:5" x14ac:dyDescent="0.2">
      <c r="A37" s="62" t="s">
        <v>561</v>
      </c>
      <c r="B37" s="62" t="s">
        <v>558</v>
      </c>
      <c r="C37" s="62" t="s">
        <v>534</v>
      </c>
      <c r="D37" s="62" t="s">
        <v>541</v>
      </c>
      <c r="E37" s="66"/>
    </row>
    <row r="38" spans="1:5" x14ac:dyDescent="0.2">
      <c r="A38" s="62" t="s">
        <v>562</v>
      </c>
      <c r="B38" s="62" t="s">
        <v>563</v>
      </c>
      <c r="C38" s="62" t="s">
        <v>534</v>
      </c>
      <c r="D38" s="62" t="s">
        <v>535</v>
      </c>
      <c r="E38" s="66"/>
    </row>
    <row r="39" spans="1:5" x14ac:dyDescent="0.2">
      <c r="A39" s="62" t="s">
        <v>564</v>
      </c>
      <c r="B39" s="62" t="s">
        <v>563</v>
      </c>
      <c r="C39" s="62" t="s">
        <v>534</v>
      </c>
      <c r="D39" s="62" t="s">
        <v>537</v>
      </c>
      <c r="E39" s="66"/>
    </row>
    <row r="40" spans="1:5" x14ac:dyDescent="0.2">
      <c r="A40" s="62" t="s">
        <v>565</v>
      </c>
      <c r="B40" s="62" t="s">
        <v>563</v>
      </c>
      <c r="C40" s="62" t="s">
        <v>534</v>
      </c>
      <c r="D40" s="62" t="s">
        <v>539</v>
      </c>
      <c r="E40" s="66"/>
    </row>
    <row r="41" spans="1:5" x14ac:dyDescent="0.2">
      <c r="A41" s="62" t="s">
        <v>566</v>
      </c>
      <c r="B41" s="62" t="s">
        <v>563</v>
      </c>
      <c r="C41" s="62" t="s">
        <v>534</v>
      </c>
      <c r="D41" s="62" t="s">
        <v>541</v>
      </c>
      <c r="E41" s="66"/>
    </row>
    <row r="42" spans="1:5" x14ac:dyDescent="0.2">
      <c r="A42" s="62" t="s">
        <v>567</v>
      </c>
      <c r="B42" s="62" t="s">
        <v>568</v>
      </c>
      <c r="C42" s="62" t="s">
        <v>534</v>
      </c>
      <c r="D42" s="62" t="s">
        <v>535</v>
      </c>
      <c r="E42" s="66"/>
    </row>
    <row r="43" spans="1:5" x14ac:dyDescent="0.2">
      <c r="A43" s="62" t="s">
        <v>569</v>
      </c>
      <c r="B43" s="62" t="s">
        <v>568</v>
      </c>
      <c r="C43" s="62" t="s">
        <v>534</v>
      </c>
      <c r="D43" s="62" t="s">
        <v>537</v>
      </c>
      <c r="E43" s="66"/>
    </row>
    <row r="44" spans="1:5" x14ac:dyDescent="0.2">
      <c r="A44" s="62" t="s">
        <v>570</v>
      </c>
      <c r="B44" s="62" t="s">
        <v>568</v>
      </c>
      <c r="C44" s="62" t="s">
        <v>534</v>
      </c>
      <c r="D44" s="62" t="s">
        <v>539</v>
      </c>
      <c r="E44" s="66"/>
    </row>
    <row r="45" spans="1:5" x14ac:dyDescent="0.2">
      <c r="A45" s="62" t="s">
        <v>571</v>
      </c>
      <c r="B45" s="62" t="s">
        <v>568</v>
      </c>
      <c r="C45" s="62" t="s">
        <v>534</v>
      </c>
      <c r="D45" s="62" t="s">
        <v>541</v>
      </c>
      <c r="E45" s="66"/>
    </row>
    <row r="46" spans="1:5" x14ac:dyDescent="0.2">
      <c r="A46" s="62" t="s">
        <v>572</v>
      </c>
      <c r="B46" s="62" t="s">
        <v>573</v>
      </c>
      <c r="C46" s="62" t="s">
        <v>534</v>
      </c>
      <c r="D46" s="62" t="s">
        <v>43</v>
      </c>
      <c r="E46" s="66"/>
    </row>
    <row r="47" spans="1:5" x14ac:dyDescent="0.2">
      <c r="A47" s="62" t="s">
        <v>574</v>
      </c>
      <c r="B47" s="62" t="s">
        <v>575</v>
      </c>
      <c r="C47" s="62" t="s">
        <v>507</v>
      </c>
      <c r="D47" s="62" t="s">
        <v>43</v>
      </c>
      <c r="E47" s="66"/>
    </row>
    <row r="48" spans="1:5" x14ac:dyDescent="0.2">
      <c r="A48" s="62" t="s">
        <v>576</v>
      </c>
      <c r="B48" s="62" t="s">
        <v>577</v>
      </c>
      <c r="C48" s="62" t="s">
        <v>534</v>
      </c>
      <c r="D48" s="62" t="s">
        <v>578</v>
      </c>
      <c r="E48" s="66"/>
    </row>
    <row r="49" spans="1:5" x14ac:dyDescent="0.2">
      <c r="A49" s="62" t="s">
        <v>579</v>
      </c>
      <c r="B49" s="62" t="s">
        <v>577</v>
      </c>
      <c r="C49" s="62" t="s">
        <v>534</v>
      </c>
      <c r="D49" s="62" t="s">
        <v>580</v>
      </c>
      <c r="E49" s="66"/>
    </row>
    <row r="50" spans="1:5" x14ac:dyDescent="0.2">
      <c r="A50" s="62" t="s">
        <v>581</v>
      </c>
      <c r="B50" s="62" t="s">
        <v>577</v>
      </c>
      <c r="C50" s="62" t="s">
        <v>534</v>
      </c>
      <c r="D50" s="62" t="s">
        <v>582</v>
      </c>
      <c r="E50" s="66"/>
    </row>
    <row r="51" spans="1:5" x14ac:dyDescent="0.2">
      <c r="A51" s="62" t="s">
        <v>583</v>
      </c>
      <c r="B51" s="62" t="s">
        <v>577</v>
      </c>
      <c r="C51" s="62" t="s">
        <v>534</v>
      </c>
      <c r="D51" s="62" t="s">
        <v>584</v>
      </c>
      <c r="E51" s="66"/>
    </row>
    <row r="52" spans="1:5" x14ac:dyDescent="0.2">
      <c r="A52" s="62" t="s">
        <v>585</v>
      </c>
      <c r="B52" s="62" t="s">
        <v>586</v>
      </c>
      <c r="C52" s="62" t="s">
        <v>534</v>
      </c>
      <c r="D52" s="62" t="s">
        <v>578</v>
      </c>
      <c r="E52" s="66"/>
    </row>
    <row r="53" spans="1:5" x14ac:dyDescent="0.2">
      <c r="A53" s="62" t="s">
        <v>587</v>
      </c>
      <c r="B53" s="62" t="s">
        <v>586</v>
      </c>
      <c r="C53" s="62" t="s">
        <v>534</v>
      </c>
      <c r="D53" s="62" t="s">
        <v>580</v>
      </c>
      <c r="E53" s="66"/>
    </row>
    <row r="54" spans="1:5" x14ac:dyDescent="0.2">
      <c r="A54" s="62" t="s">
        <v>588</v>
      </c>
      <c r="B54" s="62" t="s">
        <v>586</v>
      </c>
      <c r="C54" s="62" t="s">
        <v>534</v>
      </c>
      <c r="D54" s="62" t="s">
        <v>582</v>
      </c>
      <c r="E54" s="66"/>
    </row>
    <row r="55" spans="1:5" x14ac:dyDescent="0.2">
      <c r="A55" s="62" t="s">
        <v>589</v>
      </c>
      <c r="B55" s="62" t="s">
        <v>586</v>
      </c>
      <c r="C55" s="62" t="s">
        <v>534</v>
      </c>
      <c r="D55" s="62" t="s">
        <v>584</v>
      </c>
      <c r="E55" s="66"/>
    </row>
    <row r="56" spans="1:5" x14ac:dyDescent="0.2">
      <c r="A56" s="62" t="s">
        <v>590</v>
      </c>
      <c r="B56" s="62" t="s">
        <v>591</v>
      </c>
      <c r="C56" s="62" t="s">
        <v>534</v>
      </c>
      <c r="D56" s="62" t="s">
        <v>578</v>
      </c>
      <c r="E56" s="66"/>
    </row>
    <row r="57" spans="1:5" x14ac:dyDescent="0.2">
      <c r="A57" s="62" t="s">
        <v>592</v>
      </c>
      <c r="B57" s="62" t="s">
        <v>591</v>
      </c>
      <c r="C57" s="62" t="s">
        <v>534</v>
      </c>
      <c r="D57" s="62" t="s">
        <v>580</v>
      </c>
      <c r="E57" s="66"/>
    </row>
    <row r="58" spans="1:5" x14ac:dyDescent="0.2">
      <c r="A58" s="62" t="s">
        <v>593</v>
      </c>
      <c r="B58" s="62" t="s">
        <v>591</v>
      </c>
      <c r="C58" s="62" t="s">
        <v>534</v>
      </c>
      <c r="D58" s="62" t="s">
        <v>582</v>
      </c>
      <c r="E58" s="66"/>
    </row>
    <row r="59" spans="1:5" x14ac:dyDescent="0.2">
      <c r="A59" s="62" t="s">
        <v>594</v>
      </c>
      <c r="B59" s="62" t="s">
        <v>591</v>
      </c>
      <c r="C59" s="62" t="s">
        <v>534</v>
      </c>
      <c r="D59" s="62" t="s">
        <v>584</v>
      </c>
      <c r="E59" s="66"/>
    </row>
    <row r="60" spans="1:5" x14ac:dyDescent="0.2">
      <c r="A60" s="62" t="s">
        <v>595</v>
      </c>
      <c r="B60" s="62" t="s">
        <v>596</v>
      </c>
      <c r="C60" s="62" t="s">
        <v>534</v>
      </c>
      <c r="D60" s="62" t="s">
        <v>578</v>
      </c>
      <c r="E60" s="66"/>
    </row>
    <row r="61" spans="1:5" x14ac:dyDescent="0.2">
      <c r="A61" s="62" t="s">
        <v>597</v>
      </c>
      <c r="B61" s="62" t="s">
        <v>596</v>
      </c>
      <c r="C61" s="62" t="s">
        <v>534</v>
      </c>
      <c r="D61" s="62" t="s">
        <v>580</v>
      </c>
      <c r="E61" s="66"/>
    </row>
    <row r="62" spans="1:5" x14ac:dyDescent="0.2">
      <c r="A62" s="62" t="s">
        <v>598</v>
      </c>
      <c r="B62" s="62" t="s">
        <v>596</v>
      </c>
      <c r="C62" s="62" t="s">
        <v>534</v>
      </c>
      <c r="D62" s="62" t="s">
        <v>582</v>
      </c>
      <c r="E62" s="66"/>
    </row>
    <row r="63" spans="1:5" x14ac:dyDescent="0.2">
      <c r="A63" s="62" t="s">
        <v>599</v>
      </c>
      <c r="B63" s="62" t="s">
        <v>596</v>
      </c>
      <c r="C63" s="62" t="s">
        <v>534</v>
      </c>
      <c r="D63" s="62" t="s">
        <v>584</v>
      </c>
      <c r="E63" s="66"/>
    </row>
    <row r="64" spans="1:5" x14ac:dyDescent="0.2">
      <c r="A64" s="62" t="s">
        <v>600</v>
      </c>
      <c r="B64" s="62" t="s">
        <v>601</v>
      </c>
      <c r="C64" s="62" t="s">
        <v>534</v>
      </c>
      <c r="D64" s="62" t="s">
        <v>578</v>
      </c>
      <c r="E64" s="66"/>
    </row>
    <row r="65" spans="1:5" x14ac:dyDescent="0.2">
      <c r="A65" s="62" t="s">
        <v>602</v>
      </c>
      <c r="B65" s="62" t="s">
        <v>601</v>
      </c>
      <c r="C65" s="62" t="s">
        <v>534</v>
      </c>
      <c r="D65" s="62" t="s">
        <v>580</v>
      </c>
      <c r="E65" s="66"/>
    </row>
    <row r="66" spans="1:5" x14ac:dyDescent="0.2">
      <c r="A66" s="62" t="s">
        <v>603</v>
      </c>
      <c r="B66" s="62" t="s">
        <v>601</v>
      </c>
      <c r="C66" s="62" t="s">
        <v>534</v>
      </c>
      <c r="D66" s="62" t="s">
        <v>582</v>
      </c>
      <c r="E66" s="66"/>
    </row>
    <row r="67" spans="1:5" x14ac:dyDescent="0.2">
      <c r="A67" s="62" t="s">
        <v>604</v>
      </c>
      <c r="B67" s="62" t="s">
        <v>601</v>
      </c>
      <c r="C67" s="62" t="s">
        <v>534</v>
      </c>
      <c r="D67" s="62" t="s">
        <v>584</v>
      </c>
      <c r="E67" s="66"/>
    </row>
    <row r="68" spans="1:5" x14ac:dyDescent="0.2">
      <c r="A68" s="62" t="s">
        <v>605</v>
      </c>
      <c r="B68" s="62" t="s">
        <v>606</v>
      </c>
      <c r="C68" s="62" t="s">
        <v>534</v>
      </c>
      <c r="D68" s="62" t="s">
        <v>578</v>
      </c>
      <c r="E68" s="66"/>
    </row>
    <row r="69" spans="1:5" x14ac:dyDescent="0.2">
      <c r="A69" s="62" t="s">
        <v>607</v>
      </c>
      <c r="B69" s="62" t="s">
        <v>606</v>
      </c>
      <c r="C69" s="62" t="s">
        <v>534</v>
      </c>
      <c r="D69" s="62" t="s">
        <v>580</v>
      </c>
      <c r="E69" s="66"/>
    </row>
    <row r="70" spans="1:5" x14ac:dyDescent="0.2">
      <c r="A70" s="62" t="s">
        <v>608</v>
      </c>
      <c r="B70" s="62" t="s">
        <v>606</v>
      </c>
      <c r="C70" s="62" t="s">
        <v>534</v>
      </c>
      <c r="D70" s="62" t="s">
        <v>582</v>
      </c>
      <c r="E70" s="66"/>
    </row>
    <row r="71" spans="1:5" x14ac:dyDescent="0.2">
      <c r="A71" s="62" t="s">
        <v>609</v>
      </c>
      <c r="B71" s="62" t="s">
        <v>606</v>
      </c>
      <c r="C71" s="62" t="s">
        <v>534</v>
      </c>
      <c r="D71" s="62" t="s">
        <v>584</v>
      </c>
      <c r="E71" s="66"/>
    </row>
    <row r="72" spans="1:5" x14ac:dyDescent="0.2">
      <c r="A72" s="62" t="s">
        <v>610</v>
      </c>
      <c r="B72" s="62" t="s">
        <v>611</v>
      </c>
      <c r="C72" s="62" t="s">
        <v>534</v>
      </c>
      <c r="D72" s="62" t="s">
        <v>578</v>
      </c>
      <c r="E72" s="66"/>
    </row>
    <row r="73" spans="1:5" x14ac:dyDescent="0.2">
      <c r="A73" s="62" t="s">
        <v>612</v>
      </c>
      <c r="B73" s="62" t="s">
        <v>611</v>
      </c>
      <c r="C73" s="62" t="s">
        <v>534</v>
      </c>
      <c r="D73" s="62" t="s">
        <v>580</v>
      </c>
      <c r="E73" s="66"/>
    </row>
    <row r="74" spans="1:5" x14ac:dyDescent="0.2">
      <c r="A74" s="62" t="s">
        <v>613</v>
      </c>
      <c r="B74" s="62" t="s">
        <v>611</v>
      </c>
      <c r="C74" s="62" t="s">
        <v>534</v>
      </c>
      <c r="D74" s="62" t="s">
        <v>582</v>
      </c>
      <c r="E74" s="66"/>
    </row>
    <row r="75" spans="1:5" x14ac:dyDescent="0.2">
      <c r="A75" s="62" t="s">
        <v>614</v>
      </c>
      <c r="B75" s="62" t="s">
        <v>611</v>
      </c>
      <c r="C75" s="62" t="s">
        <v>534</v>
      </c>
      <c r="D75" s="62" t="s">
        <v>584</v>
      </c>
      <c r="E75" s="66"/>
    </row>
    <row r="76" spans="1:5" x14ac:dyDescent="0.2">
      <c r="A76" s="62" t="s">
        <v>615</v>
      </c>
      <c r="B76" s="62" t="s">
        <v>616</v>
      </c>
      <c r="C76" s="62" t="s">
        <v>534</v>
      </c>
      <c r="D76" s="62" t="s">
        <v>578</v>
      </c>
      <c r="E76" s="66"/>
    </row>
    <row r="77" spans="1:5" x14ac:dyDescent="0.2">
      <c r="A77" s="62" t="s">
        <v>617</v>
      </c>
      <c r="B77" s="62" t="s">
        <v>616</v>
      </c>
      <c r="C77" s="62" t="s">
        <v>534</v>
      </c>
      <c r="D77" s="62" t="s">
        <v>580</v>
      </c>
      <c r="E77" s="66"/>
    </row>
    <row r="78" spans="1:5" x14ac:dyDescent="0.2">
      <c r="A78" s="62" t="s">
        <v>618</v>
      </c>
      <c r="B78" s="62" t="s">
        <v>616</v>
      </c>
      <c r="C78" s="62" t="s">
        <v>534</v>
      </c>
      <c r="D78" s="62" t="s">
        <v>582</v>
      </c>
      <c r="E78" s="66"/>
    </row>
    <row r="79" spans="1:5" x14ac:dyDescent="0.2">
      <c r="A79" s="62" t="s">
        <v>619</v>
      </c>
      <c r="B79" s="62" t="s">
        <v>616</v>
      </c>
      <c r="C79" s="62" t="s">
        <v>534</v>
      </c>
      <c r="D79" s="62" t="s">
        <v>584</v>
      </c>
      <c r="E79" s="66"/>
    </row>
    <row r="80" spans="1:5" x14ac:dyDescent="0.2">
      <c r="A80" s="62" t="s">
        <v>620</v>
      </c>
      <c r="B80" s="62" t="s">
        <v>621</v>
      </c>
      <c r="C80" s="62" t="s">
        <v>534</v>
      </c>
      <c r="D80" s="62" t="s">
        <v>578</v>
      </c>
      <c r="E80" s="66"/>
    </row>
    <row r="81" spans="1:5" x14ac:dyDescent="0.2">
      <c r="A81" s="62" t="s">
        <v>622</v>
      </c>
      <c r="B81" s="62" t="s">
        <v>621</v>
      </c>
      <c r="C81" s="62" t="s">
        <v>534</v>
      </c>
      <c r="D81" s="62" t="s">
        <v>580</v>
      </c>
      <c r="E81" s="66"/>
    </row>
    <row r="82" spans="1:5" x14ac:dyDescent="0.2">
      <c r="A82" s="62" t="s">
        <v>623</v>
      </c>
      <c r="B82" s="62" t="s">
        <v>621</v>
      </c>
      <c r="C82" s="62" t="s">
        <v>534</v>
      </c>
      <c r="D82" s="62" t="s">
        <v>582</v>
      </c>
      <c r="E82" s="66"/>
    </row>
    <row r="83" spans="1:5" x14ac:dyDescent="0.2">
      <c r="A83" s="62" t="s">
        <v>624</v>
      </c>
      <c r="B83" s="62" t="s">
        <v>621</v>
      </c>
      <c r="C83" s="62" t="s">
        <v>534</v>
      </c>
      <c r="D83" s="62" t="s">
        <v>584</v>
      </c>
      <c r="E83" s="66"/>
    </row>
    <row r="84" spans="1:5" x14ac:dyDescent="0.2">
      <c r="A84" s="62" t="s">
        <v>625</v>
      </c>
      <c r="B84" s="62" t="s">
        <v>626</v>
      </c>
      <c r="C84" s="62" t="s">
        <v>534</v>
      </c>
      <c r="D84" s="62" t="s">
        <v>578</v>
      </c>
      <c r="E84" s="66"/>
    </row>
    <row r="85" spans="1:5" x14ac:dyDescent="0.2">
      <c r="A85" s="62" t="s">
        <v>627</v>
      </c>
      <c r="B85" s="62" t="s">
        <v>626</v>
      </c>
      <c r="C85" s="62" t="s">
        <v>534</v>
      </c>
      <c r="D85" s="62" t="s">
        <v>580</v>
      </c>
      <c r="E85" s="66"/>
    </row>
    <row r="86" spans="1:5" x14ac:dyDescent="0.2">
      <c r="A86" s="62" t="s">
        <v>628</v>
      </c>
      <c r="B86" s="62" t="s">
        <v>626</v>
      </c>
      <c r="C86" s="62" t="s">
        <v>534</v>
      </c>
      <c r="D86" s="62" t="s">
        <v>582</v>
      </c>
      <c r="E86" s="66"/>
    </row>
    <row r="87" spans="1:5" x14ac:dyDescent="0.2">
      <c r="A87" s="62" t="s">
        <v>629</v>
      </c>
      <c r="B87" s="62" t="s">
        <v>626</v>
      </c>
      <c r="C87" s="62" t="s">
        <v>534</v>
      </c>
      <c r="D87" s="62" t="s">
        <v>584</v>
      </c>
      <c r="E87" s="66"/>
    </row>
    <row r="88" spans="1:5" x14ac:dyDescent="0.2">
      <c r="A88" s="62" t="s">
        <v>630</v>
      </c>
      <c r="B88" s="62" t="s">
        <v>631</v>
      </c>
      <c r="C88" s="62" t="s">
        <v>514</v>
      </c>
      <c r="D88" s="62" t="s">
        <v>515</v>
      </c>
      <c r="E88" s="66"/>
    </row>
    <row r="89" spans="1:5" x14ac:dyDescent="0.2">
      <c r="A89" s="62" t="s">
        <v>632</v>
      </c>
      <c r="B89" s="62" t="s">
        <v>631</v>
      </c>
      <c r="C89" s="62" t="s">
        <v>514</v>
      </c>
      <c r="D89" s="62" t="s">
        <v>517</v>
      </c>
      <c r="E89" s="66"/>
    </row>
    <row r="90" spans="1:5" x14ac:dyDescent="0.2">
      <c r="A90" s="62" t="s">
        <v>633</v>
      </c>
      <c r="B90" s="62" t="s">
        <v>631</v>
      </c>
      <c r="C90" s="62" t="s">
        <v>514</v>
      </c>
      <c r="D90" s="62" t="s">
        <v>519</v>
      </c>
      <c r="E90" s="66"/>
    </row>
    <row r="91" spans="1:5" x14ac:dyDescent="0.2">
      <c r="A91" s="67" t="s">
        <v>634</v>
      </c>
      <c r="B91" s="67" t="s">
        <v>631</v>
      </c>
      <c r="C91" s="67" t="s">
        <v>514</v>
      </c>
      <c r="D91" s="67" t="s">
        <v>521</v>
      </c>
      <c r="E91" s="71"/>
    </row>
    <row r="92" spans="1:5" x14ac:dyDescent="0.2">
      <c r="A92" s="84" t="s">
        <v>230</v>
      </c>
      <c r="B92" s="85"/>
      <c r="C92" s="85"/>
      <c r="D92" s="85"/>
      <c r="E92" s="134"/>
    </row>
    <row r="94" spans="1:5" x14ac:dyDescent="0.2">
      <c r="A94" s="84" t="s">
        <v>635</v>
      </c>
      <c r="B94" s="85"/>
      <c r="C94" s="85"/>
      <c r="D94" s="85"/>
      <c r="E94" s="134"/>
    </row>
  </sheetData>
  <sheetProtection algorithmName="SHA-512" hashValue="q8ulf+zb6IrmCuq82ZJHiU8E/5+I8NZJkOkSRhNLfW4qzYm417nFIRohs3Va11xs4j33oZDHZWX3sE9cEW32eg==" saltValue="vGac6O/XWrX5XwZWg0ONCQ==" spinCount="100000" sheet="1" objects="1" scenarios="1" autoFilter="0"/>
  <pageMargins left="0.7" right="0.7" top="0.75" bottom="0.75" header="0.3" footer="0.3"/>
  <pageSetup paperSize="9" scale="65" orientation="landscape" horizontalDpi="4294967295" verticalDpi="4294967295" r:id="rId1"/>
  <headerFooter>
    <oddFooter>&amp;LStichting VO Haaglanden EA 2025                             &amp;ROpmaakdatum: 28-05-2025
Intexso - Plantageweg 23E - Leusden
+31 (33) 2778485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476F8-D5D8-4E39-A5EE-6E209FEF2EF7}">
  <dimension ref="A1:L15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 x14ac:dyDescent="0.2">
      <c r="A1" s="1" t="str">
        <f>CONCATENATE("Bijlage G.4.8: ",tabeltype," glas")</f>
        <v>Bijlage G.4.8: Invultabel glas</v>
      </c>
    </row>
    <row r="3" spans="1:12" ht="38.25" x14ac:dyDescent="0.2">
      <c r="A3" s="50" t="s">
        <v>498</v>
      </c>
      <c r="B3" s="50" t="s">
        <v>7</v>
      </c>
      <c r="C3" s="50" t="s">
        <v>499</v>
      </c>
      <c r="D3" s="50" t="s">
        <v>96</v>
      </c>
      <c r="E3" s="50" t="s">
        <v>99</v>
      </c>
      <c r="F3" s="50" t="s">
        <v>500</v>
      </c>
      <c r="G3" s="50" t="s">
        <v>501</v>
      </c>
      <c r="H3" s="50" t="s">
        <v>502</v>
      </c>
      <c r="I3" s="50" t="s">
        <v>503</v>
      </c>
      <c r="J3" s="50" t="s">
        <v>504</v>
      </c>
      <c r="K3" s="50" t="s">
        <v>181</v>
      </c>
      <c r="L3" s="50" t="s">
        <v>489</v>
      </c>
    </row>
    <row r="4" spans="1:12" x14ac:dyDescent="0.2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3"/>
    </row>
    <row r="5" spans="1:12" x14ac:dyDescent="0.2">
      <c r="A5" s="54" t="s">
        <v>101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6"/>
    </row>
    <row r="6" spans="1:12" x14ac:dyDescent="0.2">
      <c r="A6" s="57" t="s">
        <v>636</v>
      </c>
      <c r="B6" s="57" t="s">
        <v>24</v>
      </c>
      <c r="C6" s="58">
        <f>IF(ISBLANK(B6),0,IF(ISERROR(VALUE(B6)),VLOOKUP(B6,dagsoorttabel1,2,FALSE)*dagenperjaar1,VALUE(B6)))</f>
        <v>2</v>
      </c>
      <c r="D6" s="57" t="s">
        <v>637</v>
      </c>
      <c r="E6" s="57" t="s">
        <v>534</v>
      </c>
      <c r="F6" s="135"/>
      <c r="G6" s="61"/>
      <c r="H6" s="128"/>
      <c r="I6" s="61"/>
      <c r="J6" s="75">
        <f>IF(ISBLANK(F6),0,F6)*ROUND(I6,2)</f>
        <v>0</v>
      </c>
      <c r="K6" s="75">
        <f>C6*J6</f>
        <v>0</v>
      </c>
      <c r="L6" s="75">
        <f>K6/12</f>
        <v>0</v>
      </c>
    </row>
    <row r="7" spans="1:12" x14ac:dyDescent="0.2">
      <c r="A7" s="62" t="s">
        <v>638</v>
      </c>
      <c r="B7" s="62" t="s">
        <v>24</v>
      </c>
      <c r="C7" s="63">
        <f>IF(ISBLANK(B7),0,IF(ISERROR(VALUE(B7)),VLOOKUP(B7,dagsoorttabel1,2,FALSE)*dagenperjaar1,VALUE(B7)))</f>
        <v>2</v>
      </c>
      <c r="D7" s="62" t="s">
        <v>639</v>
      </c>
      <c r="E7" s="62" t="s">
        <v>534</v>
      </c>
      <c r="F7" s="136">
        <v>1517</v>
      </c>
      <c r="G7" s="66"/>
      <c r="H7" s="137"/>
      <c r="I7" s="66"/>
      <c r="J7" s="79">
        <f>IF(ISBLANK(F7),0,F7)*ROUND(I7,2)</f>
        <v>0</v>
      </c>
      <c r="K7" s="79">
        <f>C7*J7</f>
        <v>0</v>
      </c>
      <c r="L7" s="79">
        <f>K7/12</f>
        <v>0</v>
      </c>
    </row>
    <row r="8" spans="1:12" x14ac:dyDescent="0.2">
      <c r="A8" s="62" t="s">
        <v>640</v>
      </c>
      <c r="B8" s="62" t="s">
        <v>24</v>
      </c>
      <c r="C8" s="63">
        <f>IF(ISBLANK(B8),0,IF(ISERROR(VALUE(B8)),VLOOKUP(B8,dagsoorttabel1,2,FALSE)*dagenperjaar1,VALUE(B8)))</f>
        <v>2</v>
      </c>
      <c r="D8" s="62" t="s">
        <v>641</v>
      </c>
      <c r="E8" s="62" t="s">
        <v>534</v>
      </c>
      <c r="F8" s="136">
        <v>1738</v>
      </c>
      <c r="G8" s="66"/>
      <c r="H8" s="137"/>
      <c r="I8" s="66"/>
      <c r="J8" s="79">
        <f>IF(ISBLANK(F8),0,F8)*ROUND(I8,2)</f>
        <v>0</v>
      </c>
      <c r="K8" s="79">
        <f>C8*J8</f>
        <v>0</v>
      </c>
      <c r="L8" s="79">
        <f>K8/12</f>
        <v>0</v>
      </c>
    </row>
    <row r="9" spans="1:12" x14ac:dyDescent="0.2">
      <c r="A9" s="62" t="s">
        <v>642</v>
      </c>
      <c r="B9" s="62" t="s">
        <v>24</v>
      </c>
      <c r="C9" s="63">
        <f>IF(ISBLANK(B9),0,IF(ISERROR(VALUE(B9)),VLOOKUP(B9,dagsoorttabel1,2,FALSE)*dagenperjaar1,VALUE(B9)))</f>
        <v>2</v>
      </c>
      <c r="D9" s="62" t="s">
        <v>643</v>
      </c>
      <c r="E9" s="62" t="s">
        <v>534</v>
      </c>
      <c r="F9" s="138"/>
      <c r="G9" s="66"/>
      <c r="H9" s="137"/>
      <c r="I9" s="66"/>
      <c r="J9" s="79">
        <f>IF(ISBLANK(F9),0,F9)*ROUND(I9,2)</f>
        <v>0</v>
      </c>
      <c r="K9" s="79">
        <f>C9*J9</f>
        <v>0</v>
      </c>
      <c r="L9" s="79">
        <f>K9/12</f>
        <v>0</v>
      </c>
    </row>
    <row r="10" spans="1:12" x14ac:dyDescent="0.2">
      <c r="A10" s="62" t="s">
        <v>644</v>
      </c>
      <c r="B10" s="62" t="s">
        <v>24</v>
      </c>
      <c r="C10" s="63">
        <f>IF(ISBLANK(B10),0,IF(ISERROR(VALUE(B10)),VLOOKUP(B10,dagsoorttabel1,2,FALSE)*dagenperjaar1,VALUE(B10)))</f>
        <v>2</v>
      </c>
      <c r="D10" s="62" t="s">
        <v>645</v>
      </c>
      <c r="E10" s="62" t="s">
        <v>534</v>
      </c>
      <c r="F10" s="136">
        <v>350</v>
      </c>
      <c r="G10" s="66"/>
      <c r="H10" s="137"/>
      <c r="I10" s="66"/>
      <c r="J10" s="79">
        <f>IF(ISBLANK(F10),0,F10)*ROUND(I10,2)</f>
        <v>0</v>
      </c>
      <c r="K10" s="79">
        <f>C10*J10</f>
        <v>0</v>
      </c>
      <c r="L10" s="79">
        <f>K10/12</f>
        <v>0</v>
      </c>
    </row>
    <row r="11" spans="1:12" x14ac:dyDescent="0.2">
      <c r="A11" s="62" t="s">
        <v>646</v>
      </c>
      <c r="B11" s="62" t="s">
        <v>24</v>
      </c>
      <c r="C11" s="63">
        <f>IF(ISBLANK(B11),0,IF(ISERROR(VALUE(B11)),VLOOKUP(B11,dagsoorttabel1,2,FALSE)*dagenperjaar1,VALUE(B11)))</f>
        <v>2</v>
      </c>
      <c r="D11" s="62" t="s">
        <v>647</v>
      </c>
      <c r="E11" s="62" t="s">
        <v>648</v>
      </c>
      <c r="F11" s="138"/>
      <c r="G11" s="66"/>
      <c r="H11" s="137"/>
      <c r="I11" s="66"/>
      <c r="J11" s="79">
        <f>IF(ISBLANK(F11),0,F11)*ROUND(I11,2)</f>
        <v>0</v>
      </c>
      <c r="K11" s="79">
        <f>C11*J11</f>
        <v>0</v>
      </c>
      <c r="L11" s="79">
        <f>K11/12</f>
        <v>0</v>
      </c>
    </row>
    <row r="12" spans="1:12" x14ac:dyDescent="0.2">
      <c r="A12" s="67" t="s">
        <v>649</v>
      </c>
      <c r="B12" s="67" t="s">
        <v>24</v>
      </c>
      <c r="C12" s="68">
        <f>IF(ISBLANK(B12),0,IF(ISERROR(VALUE(B12)),VLOOKUP(B12,dagsoorttabel1,2,FALSE)*dagenperjaar1,VALUE(B12)))</f>
        <v>2</v>
      </c>
      <c r="D12" s="67" t="s">
        <v>650</v>
      </c>
      <c r="E12" s="67" t="s">
        <v>648</v>
      </c>
      <c r="F12" s="139"/>
      <c r="G12" s="71"/>
      <c r="H12" s="131"/>
      <c r="I12" s="71"/>
      <c r="J12" s="82">
        <f>IF(ISBLANK(F12),0,F12)*ROUND(I12,2)</f>
        <v>0</v>
      </c>
      <c r="K12" s="82">
        <f>C12*J12</f>
        <v>0</v>
      </c>
      <c r="L12" s="82">
        <f>K12/12</f>
        <v>0</v>
      </c>
    </row>
    <row r="13" spans="1:12" x14ac:dyDescent="0.2">
      <c r="A13" s="84" t="s">
        <v>230</v>
      </c>
      <c r="B13" s="85"/>
      <c r="C13" s="85"/>
      <c r="D13" s="85"/>
      <c r="E13" s="85"/>
      <c r="F13" s="85"/>
      <c r="G13" s="85"/>
      <c r="H13" s="85"/>
      <c r="I13" s="85"/>
      <c r="J13" s="85"/>
      <c r="K13" s="87">
        <f>SUM(K6:K12)</f>
        <v>0</v>
      </c>
      <c r="L13" s="133">
        <f>K13/12</f>
        <v>0</v>
      </c>
    </row>
    <row r="15" spans="1:12" x14ac:dyDescent="0.2">
      <c r="A15" s="84" t="s">
        <v>651</v>
      </c>
      <c r="B15" s="85"/>
      <c r="C15" s="85"/>
      <c r="D15" s="85"/>
      <c r="E15" s="85"/>
      <c r="F15" s="85"/>
      <c r="G15" s="85"/>
      <c r="H15" s="85"/>
      <c r="I15" s="85"/>
      <c r="J15" s="85"/>
      <c r="K15" s="87">
        <f>prijsjaarglas1</f>
        <v>0</v>
      </c>
      <c r="L15" s="133">
        <f>K15/12</f>
        <v>0</v>
      </c>
    </row>
  </sheetData>
  <sheetProtection algorithmName="SHA-512" hashValue="j3X7fWvIeMSnmT2jqFrM/eKuoiP4E5iw5l/Sqz6VgdTm1WqyJ26znpFfXjYJfYuIjhWvyPyqSvjg7NFI5T7dGw==" saltValue="7e5mOGUCggog/FT/gwVCYw==" spinCount="100000" sheet="1" objects="1" scenarios="1" autoFilter="0"/>
  <pageMargins left="0.7" right="0.7" top="0.75" bottom="0.75" header="0.3" footer="0.3"/>
  <pageSetup paperSize="9" scale="65" orientation="landscape" horizontalDpi="4294967295" verticalDpi="4294967295" r:id="rId1"/>
  <headerFooter>
    <oddFooter>&amp;LStichting VO Haaglanden EA 2025                             &amp;ROpmaakdatum: 28-05-2025
Intexso - Plantageweg 23E - Leusden
+31 (33) 2778485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574C5-AEA2-47F2-B9C1-D2F3E258EE48}">
  <dimension ref="A1:M9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11.625" customWidth="1"/>
    <col min="5" max="5" width="50.625" customWidth="1"/>
    <col min="6" max="7" width="14.625" customWidth="1"/>
    <col min="8" max="10" width="11.625" customWidth="1"/>
    <col min="11" max="11" width="12.625" customWidth="1"/>
    <col min="12" max="12" width="14.625" customWidth="1"/>
    <col min="13" max="13" width="13.625" customWidth="1"/>
  </cols>
  <sheetData>
    <row r="1" spans="1:13" x14ac:dyDescent="0.2">
      <c r="A1" s="1" t="str">
        <f>CONCATENATE("Bijlage G.4.9: ",tabeltype," glas per locatie")</f>
        <v>Bijlage G.4.9: Invultabel glas per locatie</v>
      </c>
    </row>
    <row r="3" spans="1:13" ht="38.25" x14ac:dyDescent="0.2">
      <c r="A3" s="50" t="s">
        <v>498</v>
      </c>
      <c r="B3" s="50" t="s">
        <v>7</v>
      </c>
      <c r="C3" s="50" t="s">
        <v>499</v>
      </c>
      <c r="D3" s="50" t="s">
        <v>467</v>
      </c>
      <c r="E3" s="50" t="s">
        <v>96</v>
      </c>
      <c r="F3" s="50" t="s">
        <v>99</v>
      </c>
      <c r="G3" s="50" t="s">
        <v>500</v>
      </c>
      <c r="H3" s="50" t="s">
        <v>501</v>
      </c>
      <c r="I3" s="50" t="s">
        <v>502</v>
      </c>
      <c r="J3" s="50" t="s">
        <v>503</v>
      </c>
      <c r="K3" s="50" t="s">
        <v>504</v>
      </c>
      <c r="L3" s="50" t="s">
        <v>181</v>
      </c>
      <c r="M3" s="50" t="s">
        <v>489</v>
      </c>
    </row>
    <row r="5" spans="1:13" x14ac:dyDescent="0.2">
      <c r="A5" s="140" t="s">
        <v>242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134"/>
    </row>
    <row r="6" spans="1:13" x14ac:dyDescent="0.2">
      <c r="A6" s="57" t="s">
        <v>638</v>
      </c>
      <c r="B6" s="57" t="s">
        <v>24</v>
      </c>
      <c r="C6" s="58">
        <f>IF(ISBLANK(B6),0,IF(ISERROR(VALUE(B6)),VLOOKUP(B6,dagsoorttabel1,2,FALSE)*dagenperjaar1,VALUE(B6)))</f>
        <v>2</v>
      </c>
      <c r="D6" s="57" t="s">
        <v>475</v>
      </c>
      <c r="E6" s="57" t="s">
        <v>639</v>
      </c>
      <c r="F6" s="57" t="s">
        <v>534</v>
      </c>
      <c r="G6" s="127">
        <v>1517</v>
      </c>
      <c r="H6" s="129">
        <f>Glas!G7</f>
        <v>0</v>
      </c>
      <c r="I6" s="128"/>
      <c r="J6" s="129">
        <f>Glas!I7</f>
        <v>0</v>
      </c>
      <c r="K6" s="75">
        <f>IF(ISBLANK(G6),0,G6)*ROUND(J6,2)</f>
        <v>0</v>
      </c>
      <c r="L6" s="75">
        <f>C6*K6</f>
        <v>0</v>
      </c>
      <c r="M6" s="75">
        <f>L6/12</f>
        <v>0</v>
      </c>
    </row>
    <row r="7" spans="1:13" x14ac:dyDescent="0.2">
      <c r="A7" s="62" t="s">
        <v>640</v>
      </c>
      <c r="B7" s="62" t="s">
        <v>24</v>
      </c>
      <c r="C7" s="63">
        <f>IF(ISBLANK(B7),0,IF(ISERROR(VALUE(B7)),VLOOKUP(B7,dagsoorttabel1,2,FALSE)*dagenperjaar1,VALUE(B7)))</f>
        <v>2</v>
      </c>
      <c r="D7" s="62" t="s">
        <v>475</v>
      </c>
      <c r="E7" s="62" t="s">
        <v>641</v>
      </c>
      <c r="F7" s="62" t="s">
        <v>534</v>
      </c>
      <c r="G7" s="136">
        <v>1738</v>
      </c>
      <c r="H7" s="141">
        <f>Glas!G8</f>
        <v>0</v>
      </c>
      <c r="I7" s="137"/>
      <c r="J7" s="141">
        <f>Glas!I8</f>
        <v>0</v>
      </c>
      <c r="K7" s="79">
        <f>IF(ISBLANK(G7),0,G7)*ROUND(J7,2)</f>
        <v>0</v>
      </c>
      <c r="L7" s="79">
        <f>C7*K7</f>
        <v>0</v>
      </c>
      <c r="M7" s="79">
        <f>L7/12</f>
        <v>0</v>
      </c>
    </row>
    <row r="8" spans="1:13" x14ac:dyDescent="0.2">
      <c r="A8" s="67" t="s">
        <v>644</v>
      </c>
      <c r="B8" s="67" t="s">
        <v>24</v>
      </c>
      <c r="C8" s="68">
        <f>IF(ISBLANK(B8),0,IF(ISERROR(VALUE(B8)),VLOOKUP(B8,dagsoorttabel1,2,FALSE)*dagenperjaar1,VALUE(B8)))</f>
        <v>2</v>
      </c>
      <c r="D8" s="67" t="s">
        <v>475</v>
      </c>
      <c r="E8" s="67" t="s">
        <v>645</v>
      </c>
      <c r="F8" s="67" t="s">
        <v>534</v>
      </c>
      <c r="G8" s="130">
        <v>350</v>
      </c>
      <c r="H8" s="132">
        <f>Glas!G10</f>
        <v>0</v>
      </c>
      <c r="I8" s="131"/>
      <c r="J8" s="132">
        <f>Glas!I10</f>
        <v>0</v>
      </c>
      <c r="K8" s="82">
        <f>IF(ISBLANK(G8),0,G8)*ROUND(J8,2)</f>
        <v>0</v>
      </c>
      <c r="L8" s="82">
        <f>C8*K8</f>
        <v>0</v>
      </c>
      <c r="M8" s="82">
        <f>L8/12</f>
        <v>0</v>
      </c>
    </row>
    <row r="9" spans="1:13" x14ac:dyDescent="0.2">
      <c r="A9" s="142" t="s">
        <v>652</v>
      </c>
      <c r="B9" s="85"/>
      <c r="C9" s="85"/>
      <c r="D9" s="85"/>
      <c r="E9" s="85"/>
      <c r="F9" s="85"/>
      <c r="G9" s="85"/>
      <c r="H9" s="85"/>
      <c r="I9" s="85"/>
      <c r="J9" s="85"/>
      <c r="K9" s="87">
        <f>SUM(K6:K8)</f>
        <v>0</v>
      </c>
      <c r="L9" s="87">
        <f>SUM(L6:L8)</f>
        <v>0</v>
      </c>
      <c r="M9" s="133">
        <f>L9/12</f>
        <v>0</v>
      </c>
    </row>
  </sheetData>
  <sheetProtection algorithmName="SHA-512" hashValue="NuxO60HDcj7ZjSYOOyI6SBVk1trpxZI3lqUSeavMkOOU4yPXFt3FfFZB6iS3cKnILdCgJIL1/t8N4ugj0ZF7Cw==" saltValue="C3rhrwP+5bXb/pGlEgQb3A==" spinCount="100000" sheet="1" objects="1" scenarios="1" autoFilter="0"/>
  <pageMargins left="0.7" right="0.7" top="0.75" bottom="0.75" header="0.3" footer="0.3"/>
  <pageSetup paperSize="9" scale="65" orientation="landscape" horizontalDpi="4294967295" verticalDpi="4294967295" r:id="rId1"/>
  <headerFooter>
    <oddFooter>&amp;LStichting VO Haaglanden EA 2025                             &amp;ROpmaakdatum: 28-05-2025
Intexso - Plantageweg 23E - Leusden
+31 (33) 2778485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6DCA-40F5-4639-B258-49E7F50772D1}">
  <dimension ref="A1:E19"/>
  <sheetViews>
    <sheetView tabSelected="1" workbookViewId="0">
      <selection activeCell="E16" sqref="E15:E16"/>
    </sheetView>
  </sheetViews>
  <sheetFormatPr defaultRowHeight="12.75" x14ac:dyDescent="0.2"/>
  <cols>
    <col min="1" max="1" width="30.625" customWidth="1"/>
    <col min="2" max="5" width="20.625" customWidth="1"/>
  </cols>
  <sheetData>
    <row r="1" spans="1:5" x14ac:dyDescent="0.2">
      <c r="A1" s="1" t="str">
        <f>CONCATENATE("Bijlage G.4.10: ",tabeltype," totaalblad schoonmaakwerk")</f>
        <v>Bijlage G.4.10: Invultabel totaalblad schoonmaakwerk</v>
      </c>
    </row>
    <row r="3" spans="1:5" ht="25.5" x14ac:dyDescent="0.2">
      <c r="A3" s="50" t="s">
        <v>653</v>
      </c>
      <c r="B3" s="50" t="s">
        <v>654</v>
      </c>
      <c r="C3" s="50" t="s">
        <v>655</v>
      </c>
      <c r="D3" s="50" t="s">
        <v>656</v>
      </c>
      <c r="E3" s="50" t="s">
        <v>657</v>
      </c>
    </row>
    <row r="4" spans="1:5" x14ac:dyDescent="0.2">
      <c r="A4" s="143" t="s">
        <v>658</v>
      </c>
      <c r="B4" s="72">
        <f>urenjaartotaaloverzicht</f>
        <v>0</v>
      </c>
      <c r="C4" s="72">
        <f>urenjaartotaaloverzichthf</f>
        <v>0</v>
      </c>
      <c r="D4" s="75">
        <f>prijsjaartotaaloverzicht</f>
        <v>0</v>
      </c>
      <c r="E4" s="75">
        <f>D4*1.21</f>
        <v>0</v>
      </c>
    </row>
    <row r="5" spans="1:5" ht="25.5" x14ac:dyDescent="0.2">
      <c r="A5" s="144" t="s">
        <v>659</v>
      </c>
      <c r="B5" s="145"/>
      <c r="C5" s="145"/>
      <c r="D5" s="79">
        <f>prijsjaarafroep</f>
        <v>0</v>
      </c>
      <c r="E5" s="79">
        <f>D5*1.21</f>
        <v>0</v>
      </c>
    </row>
    <row r="6" spans="1:5" x14ac:dyDescent="0.2">
      <c r="A6" s="146" t="s">
        <v>660</v>
      </c>
      <c r="B6" s="147"/>
      <c r="C6" s="147"/>
      <c r="D6" s="82">
        <f>prijsjaarglas</f>
        <v>0</v>
      </c>
      <c r="E6" s="82">
        <f>D6*1.21</f>
        <v>0</v>
      </c>
    </row>
    <row r="8" spans="1:5" x14ac:dyDescent="0.2">
      <c r="A8" s="50" t="s">
        <v>661</v>
      </c>
      <c r="B8" s="86">
        <f>SUM(B4:B6)</f>
        <v>0</v>
      </c>
      <c r="C8" s="86">
        <f>SUM(C4:C6)</f>
        <v>0</v>
      </c>
      <c r="D8" s="87">
        <f>SUM(D4:D6)</f>
        <v>0</v>
      </c>
      <c r="E8" s="87">
        <f>D8*1.21</f>
        <v>0</v>
      </c>
    </row>
    <row r="17" spans="1:5" ht="15" x14ac:dyDescent="0.25">
      <c r="A17" s="150" t="s">
        <v>662</v>
      </c>
      <c r="B17" s="151"/>
      <c r="C17" s="151"/>
      <c r="D17" s="152"/>
      <c r="E17" s="153">
        <f>D4</f>
        <v>0</v>
      </c>
    </row>
    <row r="18" spans="1:5" ht="15" x14ac:dyDescent="0.25">
      <c r="A18" s="158"/>
      <c r="B18" s="148"/>
      <c r="C18" s="148"/>
      <c r="D18" s="148"/>
      <c r="E18" s="149"/>
    </row>
    <row r="19" spans="1:5" ht="15" x14ac:dyDescent="0.25">
      <c r="A19" s="154" t="s">
        <v>663</v>
      </c>
      <c r="B19" s="155"/>
      <c r="C19" s="155"/>
      <c r="D19" s="156"/>
      <c r="E19" s="157">
        <f>D5+D6</f>
        <v>0</v>
      </c>
    </row>
  </sheetData>
  <sheetProtection algorithmName="SHA-512" hashValue="Fn0HUDcbNNH5PFFv/D5EJ9bAyfY8Cjq5YypUDYDn7tLqE1MLFZeHhgeePy5Jm+An5PO3VP2uqT5xbD/i6sCENA==" saltValue="7cICulS3qbFGtMi/35fIjw==" spinCount="100000" sheet="1" objects="1" scenarios="1" autoFilter="0"/>
  <pageMargins left="0.7" right="0.7" top="0.75" bottom="0.75" header="0.3" footer="0.3"/>
  <pageSetup paperSize="9" scale="70" orientation="landscape" horizontalDpi="4294967295" verticalDpi="4294967295" r:id="rId1"/>
  <headerFooter>
    <oddFooter>&amp;LStichting VO Haaglanden EA 2025                             &amp;ROpmaakdatum: 28-05-2025
Intexso - Plantageweg 23E - Leusden
+31 (33) 2778485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DE740-B9AA-4728-BBF2-28E8603BBB95}">
  <dimension ref="A1:Q61"/>
  <sheetViews>
    <sheetView workbookViewId="0"/>
  </sheetViews>
  <sheetFormatPr defaultRowHeight="12.75" x14ac:dyDescent="0.2"/>
  <cols>
    <col min="1" max="1" width="40.625" customWidth="1"/>
    <col min="2" max="2" width="8.125" customWidth="1"/>
    <col min="3" max="3" width="10.625" customWidth="1"/>
    <col min="4" max="4" width="8.125" customWidth="1"/>
    <col min="5" max="5" width="10.625" customWidth="1"/>
    <col min="6" max="6" width="8.125" customWidth="1"/>
    <col min="7" max="7" width="10.625" customWidth="1"/>
    <col min="8" max="8" width="8.125" customWidth="1"/>
    <col min="9" max="9" width="10.625" customWidth="1"/>
    <col min="10" max="10" width="8.125" customWidth="1"/>
    <col min="11" max="11" width="10.625" customWidth="1"/>
    <col min="12" max="12" width="8.125" customWidth="1"/>
    <col min="13" max="13" width="10.625" customWidth="1"/>
    <col min="14" max="14" width="8.125" customWidth="1"/>
    <col min="15" max="15" width="10.625" customWidth="1"/>
    <col min="16" max="16" width="8.125" customWidth="1"/>
    <col min="17" max="17" width="10.625" customWidth="1"/>
  </cols>
  <sheetData>
    <row r="1" spans="1:17" x14ac:dyDescent="0.2">
      <c r="A1" s="1" t="s">
        <v>30</v>
      </c>
    </row>
    <row r="3" spans="1:17" x14ac:dyDescent="0.2">
      <c r="A3" s="8"/>
      <c r="B3" s="9" t="s">
        <v>31</v>
      </c>
      <c r="C3" s="9"/>
      <c r="D3" s="9" t="s">
        <v>31</v>
      </c>
      <c r="E3" s="9"/>
      <c r="F3" s="9" t="s">
        <v>31</v>
      </c>
      <c r="G3" s="9"/>
      <c r="H3" s="9" t="s">
        <v>31</v>
      </c>
      <c r="I3" s="9"/>
      <c r="J3" s="9" t="s">
        <v>31</v>
      </c>
      <c r="K3" s="9"/>
      <c r="L3" s="9" t="s">
        <v>32</v>
      </c>
      <c r="M3" s="9"/>
      <c r="N3" s="9" t="s">
        <v>32</v>
      </c>
      <c r="O3" s="9"/>
      <c r="P3" s="9" t="s">
        <v>32</v>
      </c>
      <c r="Q3" s="10"/>
    </row>
    <row r="4" spans="1:17" x14ac:dyDescent="0.2">
      <c r="A4" s="11"/>
      <c r="B4" s="12" t="s">
        <v>33</v>
      </c>
      <c r="C4" s="12"/>
      <c r="D4" s="12" t="s">
        <v>33</v>
      </c>
      <c r="E4" s="12"/>
      <c r="F4" s="12" t="s">
        <v>33</v>
      </c>
      <c r="G4" s="12"/>
      <c r="H4" s="12" t="s">
        <v>34</v>
      </c>
      <c r="I4" s="12"/>
      <c r="J4" s="12" t="s">
        <v>34</v>
      </c>
      <c r="K4" s="12"/>
      <c r="L4" s="12" t="s">
        <v>33</v>
      </c>
      <c r="M4" s="12"/>
      <c r="N4" s="12" t="s">
        <v>33</v>
      </c>
      <c r="O4" s="12"/>
      <c r="P4" s="12" t="s">
        <v>34</v>
      </c>
      <c r="Q4" s="13"/>
    </row>
    <row r="5" spans="1:17" ht="25.5" customHeight="1" x14ac:dyDescent="0.2">
      <c r="A5" s="14" t="s">
        <v>35</v>
      </c>
      <c r="B5" s="15" t="s">
        <v>36</v>
      </c>
      <c r="C5" s="15"/>
      <c r="D5" s="15" t="s">
        <v>36</v>
      </c>
      <c r="E5" s="15"/>
      <c r="F5" s="15" t="s">
        <v>37</v>
      </c>
      <c r="G5" s="15"/>
      <c r="H5" s="15" t="s">
        <v>38</v>
      </c>
      <c r="I5" s="15"/>
      <c r="J5" s="15" t="s">
        <v>38</v>
      </c>
      <c r="K5" s="15"/>
      <c r="L5" s="15" t="s">
        <v>39</v>
      </c>
      <c r="M5" s="15"/>
      <c r="N5" s="15" t="s">
        <v>39</v>
      </c>
      <c r="O5" s="15"/>
      <c r="P5" s="15" t="s">
        <v>40</v>
      </c>
      <c r="Q5" s="16"/>
    </row>
    <row r="6" spans="1:17" ht="38.25" customHeight="1" x14ac:dyDescent="0.2">
      <c r="A6" s="17" t="s">
        <v>41</v>
      </c>
      <c r="B6" s="15" t="s">
        <v>42</v>
      </c>
      <c r="C6" s="15"/>
      <c r="D6" s="18" t="s">
        <v>43</v>
      </c>
      <c r="E6" s="18"/>
      <c r="F6" s="15" t="s">
        <v>44</v>
      </c>
      <c r="G6" s="15"/>
      <c r="H6" s="15" t="s">
        <v>44</v>
      </c>
      <c r="I6" s="15"/>
      <c r="J6" s="15" t="s">
        <v>45</v>
      </c>
      <c r="K6" s="15"/>
      <c r="L6" s="18" t="s">
        <v>43</v>
      </c>
      <c r="M6" s="18"/>
      <c r="N6" s="15" t="s">
        <v>46</v>
      </c>
      <c r="O6" s="15"/>
      <c r="P6" s="18" t="s">
        <v>43</v>
      </c>
      <c r="Q6" s="19"/>
    </row>
    <row r="7" spans="1:17" x14ac:dyDescent="0.2">
      <c r="A7" s="20" t="s">
        <v>47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2"/>
    </row>
    <row r="8" spans="1:17" x14ac:dyDescent="0.2">
      <c r="A8" s="20" t="s">
        <v>48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</row>
    <row r="9" spans="1:17" x14ac:dyDescent="0.2">
      <c r="A9" s="11" t="s">
        <v>49</v>
      </c>
      <c r="B9" s="23">
        <f>SUM(B7:B8)</f>
        <v>0</v>
      </c>
      <c r="C9" s="23"/>
      <c r="D9" s="23">
        <f>SUM(D7:D8)</f>
        <v>0</v>
      </c>
      <c r="E9" s="23"/>
      <c r="F9" s="23">
        <f>SUM(F7:F8)</f>
        <v>0</v>
      </c>
      <c r="G9" s="23"/>
      <c r="H9" s="23">
        <f>SUM(H7:H8)</f>
        <v>0</v>
      </c>
      <c r="I9" s="23"/>
      <c r="J9" s="23">
        <f>SUM(J7:J8)</f>
        <v>0</v>
      </c>
      <c r="K9" s="23"/>
      <c r="L9" s="23">
        <f>SUM(L7:L8)</f>
        <v>0</v>
      </c>
      <c r="M9" s="23"/>
      <c r="N9" s="23">
        <f>SUM(N7:N8)</f>
        <v>0</v>
      </c>
      <c r="O9" s="23"/>
      <c r="P9" s="23">
        <f>SUM(P7:P8)</f>
        <v>0</v>
      </c>
      <c r="Q9" s="24"/>
    </row>
    <row r="10" spans="1:17" x14ac:dyDescent="0.2">
      <c r="A10" s="20" t="s">
        <v>50</v>
      </c>
      <c r="B10" s="25"/>
      <c r="C10" s="26">
        <f>TariefOpbouwBasisloon1*B10</f>
        <v>0</v>
      </c>
      <c r="D10" s="25"/>
      <c r="E10" s="26">
        <f>TariefOpbouwBasisloon2*D10</f>
        <v>0</v>
      </c>
      <c r="F10" s="25"/>
      <c r="G10" s="26">
        <f>TariefOpbouwBasisloon3*F10</f>
        <v>0</v>
      </c>
      <c r="H10" s="25"/>
      <c r="I10" s="26">
        <f>TariefOpbouwBasisloon4*H10</f>
        <v>0</v>
      </c>
      <c r="J10" s="25"/>
      <c r="K10" s="26">
        <f>TariefOpbouwBasisloon5*J10</f>
        <v>0</v>
      </c>
      <c r="L10" s="25"/>
      <c r="M10" s="26">
        <f>TariefOpbouwBasisloon6*L10</f>
        <v>0</v>
      </c>
      <c r="N10" s="25"/>
      <c r="O10" s="26">
        <f>TariefOpbouwBasisloon7*N10</f>
        <v>0</v>
      </c>
      <c r="P10" s="25"/>
      <c r="Q10" s="27">
        <f>TariefOpbouwBasisloon8*P10</f>
        <v>0</v>
      </c>
    </row>
    <row r="11" spans="1:17" x14ac:dyDescent="0.2">
      <c r="A11" s="20" t="s">
        <v>51</v>
      </c>
      <c r="B11" s="25"/>
      <c r="C11" s="26">
        <f>TariefOpbouwBasisloon1*B11</f>
        <v>0</v>
      </c>
      <c r="D11" s="25"/>
      <c r="E11" s="26">
        <f>TariefOpbouwBasisloon2*D11</f>
        <v>0</v>
      </c>
      <c r="F11" s="25"/>
      <c r="G11" s="26">
        <f>TariefOpbouwBasisloon3*F11</f>
        <v>0</v>
      </c>
      <c r="H11" s="25"/>
      <c r="I11" s="26">
        <f>TariefOpbouwBasisloon4*H11</f>
        <v>0</v>
      </c>
      <c r="J11" s="25"/>
      <c r="K11" s="26">
        <f>TariefOpbouwBasisloon5*J11</f>
        <v>0</v>
      </c>
      <c r="L11" s="25"/>
      <c r="M11" s="26">
        <f>TariefOpbouwBasisloon6*L11</f>
        <v>0</v>
      </c>
      <c r="N11" s="25"/>
      <c r="O11" s="26">
        <f>TariefOpbouwBasisloon7*N11</f>
        <v>0</v>
      </c>
      <c r="P11" s="25"/>
      <c r="Q11" s="27">
        <f>TariefOpbouwBasisloon8*P11</f>
        <v>0</v>
      </c>
    </row>
    <row r="12" spans="1:17" x14ac:dyDescent="0.2">
      <c r="A12" s="11" t="s">
        <v>52</v>
      </c>
      <c r="B12" s="23">
        <f>SUM(TariefOpbouwBasisloon1,C10:C11)</f>
        <v>0</v>
      </c>
      <c r="C12" s="23"/>
      <c r="D12" s="23">
        <f>SUM(TariefOpbouwBasisloon2,E10:E11)</f>
        <v>0</v>
      </c>
      <c r="E12" s="23"/>
      <c r="F12" s="23">
        <f>SUM(TariefOpbouwBasisloon3,G10:G11)</f>
        <v>0</v>
      </c>
      <c r="G12" s="23"/>
      <c r="H12" s="23">
        <f>SUM(TariefOpbouwBasisloon4,I10:I11)</f>
        <v>0</v>
      </c>
      <c r="I12" s="23"/>
      <c r="J12" s="23">
        <f>SUM(TariefOpbouwBasisloon5,K10:K11)</f>
        <v>0</v>
      </c>
      <c r="K12" s="23"/>
      <c r="L12" s="23">
        <f>SUM(TariefOpbouwBasisloon6,M10:M11)</f>
        <v>0</v>
      </c>
      <c r="M12" s="23"/>
      <c r="N12" s="23">
        <f>SUM(TariefOpbouwBasisloon7,O10:O11)</f>
        <v>0</v>
      </c>
      <c r="O12" s="23"/>
      <c r="P12" s="23">
        <f>SUM(TariefOpbouwBasisloon8,Q10:Q11)</f>
        <v>0</v>
      </c>
      <c r="Q12" s="24"/>
    </row>
    <row r="13" spans="1:17" x14ac:dyDescent="0.2">
      <c r="A13" s="20" t="s">
        <v>53</v>
      </c>
      <c r="B13" s="25"/>
      <c r="C13" s="26">
        <f>TariefOpbouwUurloon1*B13</f>
        <v>0</v>
      </c>
      <c r="D13" s="25"/>
      <c r="E13" s="26">
        <f>TariefOpbouwUurloon2*D13</f>
        <v>0</v>
      </c>
      <c r="F13" s="25"/>
      <c r="G13" s="26">
        <f>TariefOpbouwUurloon3*F13</f>
        <v>0</v>
      </c>
      <c r="H13" s="25"/>
      <c r="I13" s="26">
        <f>TariefOpbouwUurloon4*H13</f>
        <v>0</v>
      </c>
      <c r="J13" s="25"/>
      <c r="K13" s="26">
        <f>TariefOpbouwUurloon5*J13</f>
        <v>0</v>
      </c>
      <c r="L13" s="25"/>
      <c r="M13" s="26">
        <f>TariefOpbouwUurloon6*L13</f>
        <v>0</v>
      </c>
      <c r="N13" s="25"/>
      <c r="O13" s="26">
        <f>TariefOpbouwUurloon7*N13</f>
        <v>0</v>
      </c>
      <c r="P13" s="25"/>
      <c r="Q13" s="27">
        <f>TariefOpbouwUurloon8*P13</f>
        <v>0</v>
      </c>
    </row>
    <row r="14" spans="1:17" x14ac:dyDescent="0.2">
      <c r="A14" s="11" t="s">
        <v>54</v>
      </c>
      <c r="B14" s="23">
        <f>SUM(TariefOpbouwUurloon1,C13:C13)</f>
        <v>0</v>
      </c>
      <c r="C14" s="23"/>
      <c r="D14" s="23">
        <f>SUM(TariefOpbouwUurloon2,E13:E13)</f>
        <v>0</v>
      </c>
      <c r="E14" s="23"/>
      <c r="F14" s="23">
        <f>SUM(TariefOpbouwUurloon3,G13:G13)</f>
        <v>0</v>
      </c>
      <c r="G14" s="23"/>
      <c r="H14" s="23">
        <f>SUM(TariefOpbouwUurloon4,I13:I13)</f>
        <v>0</v>
      </c>
      <c r="I14" s="23"/>
      <c r="J14" s="23">
        <f>SUM(TariefOpbouwUurloon5,K13:K13)</f>
        <v>0</v>
      </c>
      <c r="K14" s="23"/>
      <c r="L14" s="23">
        <f>SUM(TariefOpbouwUurloon6,M13:M13)</f>
        <v>0</v>
      </c>
      <c r="M14" s="23"/>
      <c r="N14" s="23">
        <f>SUM(TariefOpbouwUurloon7,O13:O13)</f>
        <v>0</v>
      </c>
      <c r="O14" s="23"/>
      <c r="P14" s="23">
        <f>SUM(TariefOpbouwUurloon8,Q13:Q13)</f>
        <v>0</v>
      </c>
      <c r="Q14" s="24"/>
    </row>
    <row r="15" spans="1:17" x14ac:dyDescent="0.2">
      <c r="A15" s="20" t="s">
        <v>55</v>
      </c>
      <c r="B15" s="25"/>
      <c r="C15" s="26">
        <f>TariefOpbouwUurloonkosten1*B15</f>
        <v>0</v>
      </c>
      <c r="D15" s="25"/>
      <c r="E15" s="26">
        <f>TariefOpbouwUurloonkosten2*D15</f>
        <v>0</v>
      </c>
      <c r="F15" s="25"/>
      <c r="G15" s="26">
        <f>TariefOpbouwUurloonkosten3*F15</f>
        <v>0</v>
      </c>
      <c r="H15" s="25"/>
      <c r="I15" s="26">
        <f>TariefOpbouwUurloonkosten4*H15</f>
        <v>0</v>
      </c>
      <c r="J15" s="25"/>
      <c r="K15" s="26">
        <f>TariefOpbouwUurloonkosten5*J15</f>
        <v>0</v>
      </c>
      <c r="L15" s="25"/>
      <c r="M15" s="26">
        <f>TariefOpbouwUurloonkosten6*L15</f>
        <v>0</v>
      </c>
      <c r="N15" s="25"/>
      <c r="O15" s="26">
        <f>TariefOpbouwUurloonkosten7*N15</f>
        <v>0</v>
      </c>
      <c r="P15" s="25"/>
      <c r="Q15" s="27">
        <f>TariefOpbouwUurloonkosten8*P15</f>
        <v>0</v>
      </c>
    </row>
    <row r="16" spans="1:17" x14ac:dyDescent="0.2">
      <c r="A16" s="20" t="s">
        <v>56</v>
      </c>
      <c r="B16" s="25"/>
      <c r="C16" s="26">
        <f>TariefOpbouwUurloonkosten1*B16</f>
        <v>0</v>
      </c>
      <c r="D16" s="25"/>
      <c r="E16" s="26">
        <f>TariefOpbouwUurloonkosten2*D16</f>
        <v>0</v>
      </c>
      <c r="F16" s="25"/>
      <c r="G16" s="26">
        <f>TariefOpbouwUurloonkosten3*F16</f>
        <v>0</v>
      </c>
      <c r="H16" s="25"/>
      <c r="I16" s="26">
        <f>TariefOpbouwUurloonkosten4*H16</f>
        <v>0</v>
      </c>
      <c r="J16" s="25"/>
      <c r="K16" s="26">
        <f>TariefOpbouwUurloonkosten5*J16</f>
        <v>0</v>
      </c>
      <c r="L16" s="25"/>
      <c r="M16" s="26">
        <f>TariefOpbouwUurloonkosten6*L16</f>
        <v>0</v>
      </c>
      <c r="N16" s="25"/>
      <c r="O16" s="26">
        <f>TariefOpbouwUurloonkosten7*N16</f>
        <v>0</v>
      </c>
      <c r="P16" s="25"/>
      <c r="Q16" s="27">
        <f>TariefOpbouwUurloonkosten8*P16</f>
        <v>0</v>
      </c>
    </row>
    <row r="17" spans="1:17" x14ac:dyDescent="0.2">
      <c r="A17" s="20" t="s">
        <v>57</v>
      </c>
      <c r="B17" s="25"/>
      <c r="C17" s="26">
        <f>TariefOpbouwUurloonkosten1*B17</f>
        <v>0</v>
      </c>
      <c r="D17" s="25"/>
      <c r="E17" s="26">
        <f>TariefOpbouwUurloonkosten2*D17</f>
        <v>0</v>
      </c>
      <c r="F17" s="25"/>
      <c r="G17" s="26">
        <f>TariefOpbouwUurloonkosten3*F17</f>
        <v>0</v>
      </c>
      <c r="H17" s="25"/>
      <c r="I17" s="26">
        <f>TariefOpbouwUurloonkosten4*H17</f>
        <v>0</v>
      </c>
      <c r="J17" s="25"/>
      <c r="K17" s="26">
        <f>TariefOpbouwUurloonkosten5*J17</f>
        <v>0</v>
      </c>
      <c r="L17" s="25"/>
      <c r="M17" s="26">
        <f>TariefOpbouwUurloonkosten6*L17</f>
        <v>0</v>
      </c>
      <c r="N17" s="25"/>
      <c r="O17" s="26">
        <f>TariefOpbouwUurloonkosten7*N17</f>
        <v>0</v>
      </c>
      <c r="P17" s="25"/>
      <c r="Q17" s="27">
        <f>TariefOpbouwUurloonkosten8*P17</f>
        <v>0</v>
      </c>
    </row>
    <row r="18" spans="1:17" x14ac:dyDescent="0.2">
      <c r="A18" s="20" t="s">
        <v>58</v>
      </c>
      <c r="B18" s="25"/>
      <c r="C18" s="26">
        <f>TariefOpbouwUurloonkosten1*B18</f>
        <v>0</v>
      </c>
      <c r="D18" s="25"/>
      <c r="E18" s="26">
        <f>TariefOpbouwUurloonkosten2*D18</f>
        <v>0</v>
      </c>
      <c r="F18" s="25"/>
      <c r="G18" s="26">
        <f>TariefOpbouwUurloonkosten3*F18</f>
        <v>0</v>
      </c>
      <c r="H18" s="25"/>
      <c r="I18" s="26">
        <f>TariefOpbouwUurloonkosten4*H18</f>
        <v>0</v>
      </c>
      <c r="J18" s="25"/>
      <c r="K18" s="26">
        <f>TariefOpbouwUurloonkosten5*J18</f>
        <v>0</v>
      </c>
      <c r="L18" s="25"/>
      <c r="M18" s="26">
        <f>TariefOpbouwUurloonkosten6*L18</f>
        <v>0</v>
      </c>
      <c r="N18" s="25"/>
      <c r="O18" s="26">
        <f>TariefOpbouwUurloonkosten7*N18</f>
        <v>0</v>
      </c>
      <c r="P18" s="25"/>
      <c r="Q18" s="27">
        <f>TariefOpbouwUurloonkosten8*P18</f>
        <v>0</v>
      </c>
    </row>
    <row r="19" spans="1:17" x14ac:dyDescent="0.2">
      <c r="A19" s="11" t="s">
        <v>59</v>
      </c>
      <c r="B19" s="23">
        <f>SUM(TariefOpbouwUurloonkosten1,C15:C18)</f>
        <v>0</v>
      </c>
      <c r="C19" s="23"/>
      <c r="D19" s="23">
        <f>SUM(TariefOpbouwUurloonkosten2,E15:E18)</f>
        <v>0</v>
      </c>
      <c r="E19" s="23"/>
      <c r="F19" s="23">
        <f>SUM(TariefOpbouwUurloonkosten3,G15:G18)</f>
        <v>0</v>
      </c>
      <c r="G19" s="23"/>
      <c r="H19" s="23">
        <f>SUM(TariefOpbouwUurloonkosten4,I15:I18)</f>
        <v>0</v>
      </c>
      <c r="I19" s="23"/>
      <c r="J19" s="23">
        <f>SUM(TariefOpbouwUurloonkosten5,K15:K18)</f>
        <v>0</v>
      </c>
      <c r="K19" s="23"/>
      <c r="L19" s="23">
        <f>SUM(TariefOpbouwUurloonkosten6,M15:M18)</f>
        <v>0</v>
      </c>
      <c r="M19" s="23"/>
      <c r="N19" s="23">
        <f>SUM(TariefOpbouwUurloonkosten7,O15:O18)</f>
        <v>0</v>
      </c>
      <c r="O19" s="23"/>
      <c r="P19" s="23">
        <f>SUM(TariefOpbouwUurloonkosten8,Q15:Q18)</f>
        <v>0</v>
      </c>
      <c r="Q19" s="24"/>
    </row>
    <row r="20" spans="1:17" x14ac:dyDescent="0.2">
      <c r="A20" s="20" t="s">
        <v>60</v>
      </c>
      <c r="B20" s="25"/>
      <c r="C20" s="26">
        <f>TariefOpbouwTotaalLoonkosten1*B20</f>
        <v>0</v>
      </c>
      <c r="D20" s="25"/>
      <c r="E20" s="26">
        <f>TariefOpbouwTotaalLoonkosten2*D20</f>
        <v>0</v>
      </c>
      <c r="F20" s="25"/>
      <c r="G20" s="26">
        <f>TariefOpbouwTotaalLoonkosten3*F20</f>
        <v>0</v>
      </c>
      <c r="H20" s="25"/>
      <c r="I20" s="26">
        <f>TariefOpbouwTotaalLoonkosten4*H20</f>
        <v>0</v>
      </c>
      <c r="J20" s="25"/>
      <c r="K20" s="26">
        <f>TariefOpbouwTotaalLoonkosten5*J20</f>
        <v>0</v>
      </c>
      <c r="L20" s="25"/>
      <c r="M20" s="26">
        <f>TariefOpbouwTotaalLoonkosten6*L20</f>
        <v>0</v>
      </c>
      <c r="N20" s="25"/>
      <c r="O20" s="26">
        <f>TariefOpbouwTotaalLoonkosten7*N20</f>
        <v>0</v>
      </c>
      <c r="P20" s="25"/>
      <c r="Q20" s="27">
        <f>TariefOpbouwTotaalLoonkosten8*P20</f>
        <v>0</v>
      </c>
    </row>
    <row r="21" spans="1:17" x14ac:dyDescent="0.2">
      <c r="A21" s="20" t="s">
        <v>61</v>
      </c>
      <c r="B21" s="25"/>
      <c r="C21" s="26">
        <f>TariefOpbouwTotaalLoonkosten1*B21</f>
        <v>0</v>
      </c>
      <c r="D21" s="25"/>
      <c r="E21" s="26">
        <f>TariefOpbouwTotaalLoonkosten2*D21</f>
        <v>0</v>
      </c>
      <c r="F21" s="25"/>
      <c r="G21" s="26">
        <f>TariefOpbouwTotaalLoonkosten3*F21</f>
        <v>0</v>
      </c>
      <c r="H21" s="25"/>
      <c r="I21" s="26">
        <f>TariefOpbouwTotaalLoonkosten4*H21</f>
        <v>0</v>
      </c>
      <c r="J21" s="25"/>
      <c r="K21" s="26">
        <f>TariefOpbouwTotaalLoonkosten5*J21</f>
        <v>0</v>
      </c>
      <c r="L21" s="25"/>
      <c r="M21" s="26">
        <f>TariefOpbouwTotaalLoonkosten6*L21</f>
        <v>0</v>
      </c>
      <c r="N21" s="25"/>
      <c r="O21" s="26">
        <f>TariefOpbouwTotaalLoonkosten7*N21</f>
        <v>0</v>
      </c>
      <c r="P21" s="25"/>
      <c r="Q21" s="27">
        <f>TariefOpbouwTotaalLoonkosten8*P21</f>
        <v>0</v>
      </c>
    </row>
    <row r="22" spans="1:17" x14ac:dyDescent="0.2">
      <c r="A22" s="20" t="s">
        <v>62</v>
      </c>
      <c r="B22" s="25"/>
      <c r="C22" s="26">
        <f>TariefOpbouwTotaalLoonkosten1*B22</f>
        <v>0</v>
      </c>
      <c r="D22" s="25"/>
      <c r="E22" s="26">
        <f>TariefOpbouwTotaalLoonkosten2*D22</f>
        <v>0</v>
      </c>
      <c r="F22" s="25"/>
      <c r="G22" s="26">
        <f>TariefOpbouwTotaalLoonkosten3*F22</f>
        <v>0</v>
      </c>
      <c r="H22" s="25"/>
      <c r="I22" s="26">
        <f>TariefOpbouwTotaalLoonkosten4*H22</f>
        <v>0</v>
      </c>
      <c r="J22" s="25"/>
      <c r="K22" s="26">
        <f>TariefOpbouwTotaalLoonkosten5*J22</f>
        <v>0</v>
      </c>
      <c r="L22" s="25"/>
      <c r="M22" s="26">
        <f>TariefOpbouwTotaalLoonkosten6*L22</f>
        <v>0</v>
      </c>
      <c r="N22" s="25"/>
      <c r="O22" s="26">
        <f>TariefOpbouwTotaalLoonkosten7*N22</f>
        <v>0</v>
      </c>
      <c r="P22" s="25"/>
      <c r="Q22" s="27">
        <f>TariefOpbouwTotaalLoonkosten8*P22</f>
        <v>0</v>
      </c>
    </row>
    <row r="23" spans="1:17" x14ac:dyDescent="0.2">
      <c r="A23" s="20" t="s">
        <v>63</v>
      </c>
      <c r="B23" s="25"/>
      <c r="C23" s="26">
        <f>TariefOpbouwTotaalLoonkosten1*B23</f>
        <v>0</v>
      </c>
      <c r="D23" s="25"/>
      <c r="E23" s="26">
        <f>TariefOpbouwTotaalLoonkosten2*D23</f>
        <v>0</v>
      </c>
      <c r="F23" s="25"/>
      <c r="G23" s="26">
        <f>TariefOpbouwTotaalLoonkosten3*F23</f>
        <v>0</v>
      </c>
      <c r="H23" s="25"/>
      <c r="I23" s="26">
        <f>TariefOpbouwTotaalLoonkosten4*H23</f>
        <v>0</v>
      </c>
      <c r="J23" s="25"/>
      <c r="K23" s="26">
        <f>TariefOpbouwTotaalLoonkosten5*J23</f>
        <v>0</v>
      </c>
      <c r="L23" s="25"/>
      <c r="M23" s="26">
        <f>TariefOpbouwTotaalLoonkosten6*L23</f>
        <v>0</v>
      </c>
      <c r="N23" s="25"/>
      <c r="O23" s="26">
        <f>TariefOpbouwTotaalLoonkosten7*N23</f>
        <v>0</v>
      </c>
      <c r="P23" s="25"/>
      <c r="Q23" s="27">
        <f>TariefOpbouwTotaalLoonkosten8*P23</f>
        <v>0</v>
      </c>
    </row>
    <row r="24" spans="1:17" x14ac:dyDescent="0.2">
      <c r="A24" s="20" t="s">
        <v>64</v>
      </c>
      <c r="B24" s="25"/>
      <c r="C24" s="26">
        <f>TariefOpbouwTotaalLoonkosten1*B24</f>
        <v>0</v>
      </c>
      <c r="D24" s="25"/>
      <c r="E24" s="26">
        <f>TariefOpbouwTotaalLoonkosten2*D24</f>
        <v>0</v>
      </c>
      <c r="F24" s="25"/>
      <c r="G24" s="26">
        <f>TariefOpbouwTotaalLoonkosten3*F24</f>
        <v>0</v>
      </c>
      <c r="H24" s="25"/>
      <c r="I24" s="26">
        <f>TariefOpbouwTotaalLoonkosten4*H24</f>
        <v>0</v>
      </c>
      <c r="J24" s="25"/>
      <c r="K24" s="26">
        <f>TariefOpbouwTotaalLoonkosten5*J24</f>
        <v>0</v>
      </c>
      <c r="L24" s="25"/>
      <c r="M24" s="26">
        <f>TariefOpbouwTotaalLoonkosten6*L24</f>
        <v>0</v>
      </c>
      <c r="N24" s="25"/>
      <c r="O24" s="26">
        <f>TariefOpbouwTotaalLoonkosten7*N24</f>
        <v>0</v>
      </c>
      <c r="P24" s="25"/>
      <c r="Q24" s="27">
        <f>TariefOpbouwTotaalLoonkosten8*P24</f>
        <v>0</v>
      </c>
    </row>
    <row r="25" spans="1:17" x14ac:dyDescent="0.2">
      <c r="A25" s="20" t="s">
        <v>65</v>
      </c>
      <c r="B25" s="25"/>
      <c r="C25" s="26">
        <f>TariefOpbouwTotaalLoonkosten1*B25</f>
        <v>0</v>
      </c>
      <c r="D25" s="25"/>
      <c r="E25" s="26">
        <f>TariefOpbouwTotaalLoonkosten2*D25</f>
        <v>0</v>
      </c>
      <c r="F25" s="25"/>
      <c r="G25" s="26">
        <f>TariefOpbouwTotaalLoonkosten3*F25</f>
        <v>0</v>
      </c>
      <c r="H25" s="25"/>
      <c r="I25" s="26">
        <f>TariefOpbouwTotaalLoonkosten4*H25</f>
        <v>0</v>
      </c>
      <c r="J25" s="25"/>
      <c r="K25" s="26">
        <f>TariefOpbouwTotaalLoonkosten5*J25</f>
        <v>0</v>
      </c>
      <c r="L25" s="25"/>
      <c r="M25" s="26">
        <f>TariefOpbouwTotaalLoonkosten6*L25</f>
        <v>0</v>
      </c>
      <c r="N25" s="25"/>
      <c r="O25" s="26">
        <f>TariefOpbouwTotaalLoonkosten7*N25</f>
        <v>0</v>
      </c>
      <c r="P25" s="25"/>
      <c r="Q25" s="27">
        <f>TariefOpbouwTotaalLoonkosten8*P25</f>
        <v>0</v>
      </c>
    </row>
    <row r="26" spans="1:17" x14ac:dyDescent="0.2">
      <c r="A26" s="11" t="s">
        <v>66</v>
      </c>
      <c r="B26" s="23">
        <f>SUM(TariefOpbouwTotaalLoonkosten1,C20:C25)</f>
        <v>0</v>
      </c>
      <c r="C26" s="23"/>
      <c r="D26" s="23">
        <f>SUM(TariefOpbouwTotaalLoonkosten2,E20:E25)</f>
        <v>0</v>
      </c>
      <c r="E26" s="23"/>
      <c r="F26" s="23">
        <f>SUM(TariefOpbouwTotaalLoonkosten3,G20:G25)</f>
        <v>0</v>
      </c>
      <c r="G26" s="23"/>
      <c r="H26" s="23">
        <f>SUM(TariefOpbouwTotaalLoonkosten4,I20:I25)</f>
        <v>0</v>
      </c>
      <c r="I26" s="23"/>
      <c r="J26" s="23">
        <f>SUM(TariefOpbouwTotaalLoonkosten5,K20:K25)</f>
        <v>0</v>
      </c>
      <c r="K26" s="23"/>
      <c r="L26" s="23">
        <f>SUM(TariefOpbouwTotaalLoonkosten6,M20:M25)</f>
        <v>0</v>
      </c>
      <c r="M26" s="23"/>
      <c r="N26" s="23">
        <f>SUM(TariefOpbouwTotaalLoonkosten7,O20:O25)</f>
        <v>0</v>
      </c>
      <c r="O26" s="23"/>
      <c r="P26" s="23">
        <f>SUM(TariefOpbouwTotaalLoonkosten8,Q20:Q25)</f>
        <v>0</v>
      </c>
      <c r="Q26" s="24"/>
    </row>
    <row r="27" spans="1:17" x14ac:dyDescent="0.2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30"/>
    </row>
    <row r="28" spans="1:17" x14ac:dyDescent="0.2">
      <c r="A28" s="20" t="s">
        <v>67</v>
      </c>
      <c r="B28" s="25"/>
      <c r="C28" s="26">
        <f>TariefOpbouwDirecteKosten1*B28</f>
        <v>0</v>
      </c>
      <c r="D28" s="25"/>
      <c r="E28" s="26">
        <f>TariefOpbouwDirecteKosten2*D28</f>
        <v>0</v>
      </c>
      <c r="F28" s="25"/>
      <c r="G28" s="26">
        <f>TariefOpbouwDirecteKosten3*F28</f>
        <v>0</v>
      </c>
      <c r="H28" s="25"/>
      <c r="I28" s="26">
        <f>TariefOpbouwDirecteKosten4*H28</f>
        <v>0</v>
      </c>
      <c r="J28" s="25"/>
      <c r="K28" s="26">
        <f>TariefOpbouwDirecteKosten5*J28</f>
        <v>0</v>
      </c>
      <c r="L28" s="25"/>
      <c r="M28" s="26">
        <f>TariefOpbouwDirecteKosten6*L28</f>
        <v>0</v>
      </c>
      <c r="N28" s="25"/>
      <c r="O28" s="26">
        <f>TariefOpbouwDirecteKosten7*N28</f>
        <v>0</v>
      </c>
      <c r="P28" s="25"/>
      <c r="Q28" s="27">
        <f>TariefOpbouwDirecteKosten8*P28</f>
        <v>0</v>
      </c>
    </row>
    <row r="29" spans="1:17" x14ac:dyDescent="0.2">
      <c r="A29" s="20" t="s">
        <v>68</v>
      </c>
      <c r="B29" s="25"/>
      <c r="C29" s="26">
        <f>TariefOpbouwDirecteKosten1*B29</f>
        <v>0</v>
      </c>
      <c r="D29" s="25"/>
      <c r="E29" s="26">
        <f>TariefOpbouwDirecteKosten2*D29</f>
        <v>0</v>
      </c>
      <c r="F29" s="25"/>
      <c r="G29" s="26">
        <f>TariefOpbouwDirecteKosten3*F29</f>
        <v>0</v>
      </c>
      <c r="H29" s="25"/>
      <c r="I29" s="26">
        <f>TariefOpbouwDirecteKosten4*H29</f>
        <v>0</v>
      </c>
      <c r="J29" s="25"/>
      <c r="K29" s="26">
        <f>TariefOpbouwDirecteKosten5*J29</f>
        <v>0</v>
      </c>
      <c r="L29" s="25"/>
      <c r="M29" s="26">
        <f>TariefOpbouwDirecteKosten6*L29</f>
        <v>0</v>
      </c>
      <c r="N29" s="25"/>
      <c r="O29" s="26">
        <f>TariefOpbouwDirecteKosten7*N29</f>
        <v>0</v>
      </c>
      <c r="P29" s="25"/>
      <c r="Q29" s="27">
        <f>TariefOpbouwDirecteKosten8*P29</f>
        <v>0</v>
      </c>
    </row>
    <row r="30" spans="1:17" x14ac:dyDescent="0.2">
      <c r="A30" s="20" t="s">
        <v>69</v>
      </c>
      <c r="B30" s="25"/>
      <c r="C30" s="26">
        <f>TariefOpbouwDirecteKosten1*B30</f>
        <v>0</v>
      </c>
      <c r="D30" s="25"/>
      <c r="E30" s="26">
        <f>TariefOpbouwDirecteKosten2*D30</f>
        <v>0</v>
      </c>
      <c r="F30" s="25"/>
      <c r="G30" s="26">
        <f>TariefOpbouwDirecteKosten3*F30</f>
        <v>0</v>
      </c>
      <c r="H30" s="25"/>
      <c r="I30" s="26">
        <f>TariefOpbouwDirecteKosten4*H30</f>
        <v>0</v>
      </c>
      <c r="J30" s="25"/>
      <c r="K30" s="26">
        <f>TariefOpbouwDirecteKosten5*J30</f>
        <v>0</v>
      </c>
      <c r="L30" s="25"/>
      <c r="M30" s="26">
        <f>TariefOpbouwDirecteKosten6*L30</f>
        <v>0</v>
      </c>
      <c r="N30" s="25"/>
      <c r="O30" s="26">
        <f>TariefOpbouwDirecteKosten7*N30</f>
        <v>0</v>
      </c>
      <c r="P30" s="25"/>
      <c r="Q30" s="27">
        <f>TariefOpbouwDirecteKosten8*P30</f>
        <v>0</v>
      </c>
    </row>
    <row r="31" spans="1:17" x14ac:dyDescent="0.2">
      <c r="A31" s="20" t="s">
        <v>70</v>
      </c>
      <c r="B31" s="25"/>
      <c r="C31" s="26">
        <f>TariefOpbouwDirecteKosten1*B31</f>
        <v>0</v>
      </c>
      <c r="D31" s="25"/>
      <c r="E31" s="26">
        <f>TariefOpbouwDirecteKosten2*D31</f>
        <v>0</v>
      </c>
      <c r="F31" s="25"/>
      <c r="G31" s="26">
        <f>TariefOpbouwDirecteKosten3*F31</f>
        <v>0</v>
      </c>
      <c r="H31" s="25"/>
      <c r="I31" s="26">
        <f>TariefOpbouwDirecteKosten4*H31</f>
        <v>0</v>
      </c>
      <c r="J31" s="25"/>
      <c r="K31" s="26">
        <f>TariefOpbouwDirecteKosten5*J31</f>
        <v>0</v>
      </c>
      <c r="L31" s="25"/>
      <c r="M31" s="26">
        <f>TariefOpbouwDirecteKosten6*L31</f>
        <v>0</v>
      </c>
      <c r="N31" s="25"/>
      <c r="O31" s="26">
        <f>TariefOpbouwDirecteKosten7*N31</f>
        <v>0</v>
      </c>
      <c r="P31" s="25"/>
      <c r="Q31" s="27">
        <f>TariefOpbouwDirecteKosten8*P31</f>
        <v>0</v>
      </c>
    </row>
    <row r="32" spans="1:17" x14ac:dyDescent="0.2">
      <c r="A32" s="20" t="s">
        <v>71</v>
      </c>
      <c r="B32" s="25"/>
      <c r="C32" s="26">
        <f>TariefOpbouwDirecteKosten1*B32</f>
        <v>0</v>
      </c>
      <c r="D32" s="25"/>
      <c r="E32" s="26">
        <f>TariefOpbouwDirecteKosten2*D32</f>
        <v>0</v>
      </c>
      <c r="F32" s="25"/>
      <c r="G32" s="26">
        <f>TariefOpbouwDirecteKosten3*F32</f>
        <v>0</v>
      </c>
      <c r="H32" s="25"/>
      <c r="I32" s="26">
        <f>TariefOpbouwDirecteKosten4*H32</f>
        <v>0</v>
      </c>
      <c r="J32" s="25"/>
      <c r="K32" s="26">
        <f>TariefOpbouwDirecteKosten5*J32</f>
        <v>0</v>
      </c>
      <c r="L32" s="25"/>
      <c r="M32" s="26">
        <f>TariefOpbouwDirecteKosten6*L32</f>
        <v>0</v>
      </c>
      <c r="N32" s="25"/>
      <c r="O32" s="26">
        <f>TariefOpbouwDirecteKosten7*N32</f>
        <v>0</v>
      </c>
      <c r="P32" s="25"/>
      <c r="Q32" s="27">
        <f>TariefOpbouwDirecteKosten8*P32</f>
        <v>0</v>
      </c>
    </row>
    <row r="33" spans="1:17" x14ac:dyDescent="0.2">
      <c r="A33" s="20" t="s">
        <v>72</v>
      </c>
      <c r="B33" s="25"/>
      <c r="C33" s="26">
        <f>TariefOpbouwDirecteKosten1*B33</f>
        <v>0</v>
      </c>
      <c r="D33" s="25"/>
      <c r="E33" s="26">
        <f>TariefOpbouwDirecteKosten2*D33</f>
        <v>0</v>
      </c>
      <c r="F33" s="25"/>
      <c r="G33" s="26">
        <f>TariefOpbouwDirecteKosten3*F33</f>
        <v>0</v>
      </c>
      <c r="H33" s="25"/>
      <c r="I33" s="26">
        <f>TariefOpbouwDirecteKosten4*H33</f>
        <v>0</v>
      </c>
      <c r="J33" s="25"/>
      <c r="K33" s="26">
        <f>TariefOpbouwDirecteKosten5*J33</f>
        <v>0</v>
      </c>
      <c r="L33" s="25"/>
      <c r="M33" s="26">
        <f>TariefOpbouwDirecteKosten6*L33</f>
        <v>0</v>
      </c>
      <c r="N33" s="25"/>
      <c r="O33" s="26">
        <f>TariefOpbouwDirecteKosten7*N33</f>
        <v>0</v>
      </c>
      <c r="P33" s="25"/>
      <c r="Q33" s="27">
        <f>TariefOpbouwDirecteKosten8*P33</f>
        <v>0</v>
      </c>
    </row>
    <row r="34" spans="1:17" x14ac:dyDescent="0.2">
      <c r="A34" s="20" t="s">
        <v>73</v>
      </c>
      <c r="B34" s="25"/>
      <c r="C34" s="26">
        <f>TariefOpbouwDirecteKosten1*B34</f>
        <v>0</v>
      </c>
      <c r="D34" s="25"/>
      <c r="E34" s="26">
        <f>TariefOpbouwDirecteKosten2*D34</f>
        <v>0</v>
      </c>
      <c r="F34" s="25"/>
      <c r="G34" s="26">
        <f>TariefOpbouwDirecteKosten3*F34</f>
        <v>0</v>
      </c>
      <c r="H34" s="25"/>
      <c r="I34" s="26">
        <f>TariefOpbouwDirecteKosten4*H34</f>
        <v>0</v>
      </c>
      <c r="J34" s="25"/>
      <c r="K34" s="26">
        <f>TariefOpbouwDirecteKosten5*J34</f>
        <v>0</v>
      </c>
      <c r="L34" s="25"/>
      <c r="M34" s="26">
        <f>TariefOpbouwDirecteKosten6*L34</f>
        <v>0</v>
      </c>
      <c r="N34" s="25"/>
      <c r="O34" s="26">
        <f>TariefOpbouwDirecteKosten7*N34</f>
        <v>0</v>
      </c>
      <c r="P34" s="25"/>
      <c r="Q34" s="27">
        <f>TariefOpbouwDirecteKosten8*P34</f>
        <v>0</v>
      </c>
    </row>
    <row r="35" spans="1:17" x14ac:dyDescent="0.2">
      <c r="A35" s="11" t="s">
        <v>74</v>
      </c>
      <c r="B35" s="23">
        <f>SUM(C28:C34)</f>
        <v>0</v>
      </c>
      <c r="C35" s="23"/>
      <c r="D35" s="23">
        <f>SUM(E28:E34)</f>
        <v>0</v>
      </c>
      <c r="E35" s="23"/>
      <c r="F35" s="23">
        <f>SUM(G28:G34)</f>
        <v>0</v>
      </c>
      <c r="G35" s="23"/>
      <c r="H35" s="23">
        <f>SUM(I28:I34)</f>
        <v>0</v>
      </c>
      <c r="I35" s="23"/>
      <c r="J35" s="23">
        <f>SUM(K28:K34)</f>
        <v>0</v>
      </c>
      <c r="K35" s="23"/>
      <c r="L35" s="23">
        <f>SUM(M28:M34)</f>
        <v>0</v>
      </c>
      <c r="M35" s="23"/>
      <c r="N35" s="23">
        <f>SUM(O28:O34)</f>
        <v>0</v>
      </c>
      <c r="O35" s="23"/>
      <c r="P35" s="23">
        <f>SUM(Q28:Q34)</f>
        <v>0</v>
      </c>
      <c r="Q35" s="24"/>
    </row>
    <row r="36" spans="1:17" x14ac:dyDescent="0.2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30"/>
    </row>
    <row r="37" spans="1:17" x14ac:dyDescent="0.2">
      <c r="A37" s="11" t="s">
        <v>75</v>
      </c>
      <c r="B37" s="25"/>
      <c r="C37" s="26">
        <f>(TariefOpbouwDirecteKosten1+TariefOpbouwIndirecteKosten1)*B37</f>
        <v>0</v>
      </c>
      <c r="D37" s="25"/>
      <c r="E37" s="26">
        <f>(TariefOpbouwDirecteKosten2+TariefOpbouwIndirecteKosten2)*D37</f>
        <v>0</v>
      </c>
      <c r="F37" s="25"/>
      <c r="G37" s="26">
        <f>(TariefOpbouwDirecteKosten3+TariefOpbouwIndirecteKosten3)*F37</f>
        <v>0</v>
      </c>
      <c r="H37" s="25"/>
      <c r="I37" s="26">
        <f>(TariefOpbouwDirecteKosten4+TariefOpbouwIndirecteKosten4)*H37</f>
        <v>0</v>
      </c>
      <c r="J37" s="25"/>
      <c r="K37" s="26">
        <f>(TariefOpbouwDirecteKosten5+TariefOpbouwIndirecteKosten5)*J37</f>
        <v>0</v>
      </c>
      <c r="L37" s="25"/>
      <c r="M37" s="26">
        <f>(TariefOpbouwDirecteKosten6+TariefOpbouwIndirecteKosten6)*L37</f>
        <v>0</v>
      </c>
      <c r="N37" s="25"/>
      <c r="O37" s="26">
        <f>(TariefOpbouwDirecteKosten7+TariefOpbouwIndirecteKosten7)*N37</f>
        <v>0</v>
      </c>
      <c r="P37" s="25"/>
      <c r="Q37" s="27">
        <f>(TariefOpbouwDirecteKosten8+TariefOpbouwIndirecteKosten8)*P37</f>
        <v>0</v>
      </c>
    </row>
    <row r="38" spans="1:17" x14ac:dyDescent="0.2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30"/>
    </row>
    <row r="39" spans="1:17" x14ac:dyDescent="0.2">
      <c r="A39" s="11" t="s">
        <v>76</v>
      </c>
      <c r="B39" s="23">
        <f>TariefOpbouwDirecteKosten1+TariefOpbouwIndirecteKosten1+TariefOpbouwRisicoWinst1</f>
        <v>0</v>
      </c>
      <c r="C39" s="23"/>
      <c r="D39" s="23">
        <f>TariefOpbouwDirecteKosten2+TariefOpbouwIndirecteKosten2+TariefOpbouwRisicoWinst2</f>
        <v>0</v>
      </c>
      <c r="E39" s="23"/>
      <c r="F39" s="23">
        <f>TariefOpbouwDirecteKosten3+TariefOpbouwIndirecteKosten3+TariefOpbouwRisicoWinst3</f>
        <v>0</v>
      </c>
      <c r="G39" s="23"/>
      <c r="H39" s="23">
        <f>TariefOpbouwDirecteKosten4+TariefOpbouwIndirecteKosten4+TariefOpbouwRisicoWinst4</f>
        <v>0</v>
      </c>
      <c r="I39" s="23"/>
      <c r="J39" s="23">
        <f>TariefOpbouwDirecteKosten5+TariefOpbouwIndirecteKosten5+TariefOpbouwRisicoWinst5</f>
        <v>0</v>
      </c>
      <c r="K39" s="23"/>
      <c r="L39" s="23">
        <f>TariefOpbouwDirecteKosten6+TariefOpbouwIndirecteKosten6+TariefOpbouwRisicoWinst6</f>
        <v>0</v>
      </c>
      <c r="M39" s="23"/>
      <c r="N39" s="23">
        <f>TariefOpbouwDirecteKosten7+TariefOpbouwIndirecteKosten7+TariefOpbouwRisicoWinst7</f>
        <v>0</v>
      </c>
      <c r="O39" s="23"/>
      <c r="P39" s="23">
        <f>TariefOpbouwDirecteKosten8+TariefOpbouwIndirecteKosten8+TariefOpbouwRisicoWinst8</f>
        <v>0</v>
      </c>
      <c r="Q39" s="24"/>
    </row>
    <row r="40" spans="1:17" x14ac:dyDescent="0.2">
      <c r="A40" s="11" t="s">
        <v>77</v>
      </c>
      <c r="B40" s="31" t="s">
        <v>78</v>
      </c>
      <c r="C40" s="31" t="s">
        <v>79</v>
      </c>
      <c r="D40" s="31" t="s">
        <v>78</v>
      </c>
      <c r="E40" s="31" t="s">
        <v>79</v>
      </c>
      <c r="F40" s="31" t="s">
        <v>78</v>
      </c>
      <c r="G40" s="31" t="s">
        <v>79</v>
      </c>
      <c r="H40" s="31" t="s">
        <v>78</v>
      </c>
      <c r="I40" s="31" t="s">
        <v>79</v>
      </c>
      <c r="J40" s="31" t="s">
        <v>78</v>
      </c>
      <c r="K40" s="31" t="s">
        <v>79</v>
      </c>
      <c r="L40" s="31" t="s">
        <v>78</v>
      </c>
      <c r="M40" s="31" t="s">
        <v>79</v>
      </c>
      <c r="N40" s="31" t="s">
        <v>78</v>
      </c>
      <c r="O40" s="31" t="s">
        <v>79</v>
      </c>
      <c r="P40" s="31" t="s">
        <v>78</v>
      </c>
      <c r="Q40" s="32" t="s">
        <v>79</v>
      </c>
    </row>
    <row r="41" spans="1:17" x14ac:dyDescent="0.2">
      <c r="A41" s="11" t="s">
        <v>80</v>
      </c>
      <c r="B41" s="33">
        <v>0.3</v>
      </c>
      <c r="C41" s="26">
        <f>((1+B41)*TariefOpbouwTotaalLoonkosten1+TariefOpbouwDirecteKosten1-TariefOpbouwTotaalLoonkosten1+TariefOpbouwIndirecteKosten1)*(1+TariefOpbouwRisicoWinstPercentage1)</f>
        <v>0</v>
      </c>
      <c r="D41" s="33">
        <v>0.3</v>
      </c>
      <c r="E41" s="26">
        <f>((1+D41)*TariefOpbouwTotaalLoonkosten2+TariefOpbouwDirecteKosten2-TariefOpbouwTotaalLoonkosten2+TariefOpbouwIndirecteKosten2)*(1+TariefOpbouwRisicoWinstPercentage2)</f>
        <v>0</v>
      </c>
      <c r="F41" s="33">
        <v>0.3</v>
      </c>
      <c r="G41" s="26">
        <f>((1+F41)*TariefOpbouwTotaalLoonkosten3+TariefOpbouwDirecteKosten3-TariefOpbouwTotaalLoonkosten3+TariefOpbouwIndirecteKosten3)*(1+TariefOpbouwRisicoWinstPercentage3)</f>
        <v>0</v>
      </c>
      <c r="H41" s="33">
        <v>0.3</v>
      </c>
      <c r="I41" s="26">
        <f>((1+H41)*TariefOpbouwTotaalLoonkosten4+TariefOpbouwDirecteKosten4-TariefOpbouwTotaalLoonkosten4+TariefOpbouwIndirecteKosten4)*(1+TariefOpbouwRisicoWinstPercentage4)</f>
        <v>0</v>
      </c>
      <c r="J41" s="33">
        <v>0.3</v>
      </c>
      <c r="K41" s="26">
        <f>((1+J41)*TariefOpbouwTotaalLoonkosten5+TariefOpbouwDirecteKosten5-TariefOpbouwTotaalLoonkosten5+TariefOpbouwIndirecteKosten5)*(1+TariefOpbouwRisicoWinstPercentage5)</f>
        <v>0</v>
      </c>
      <c r="L41" s="33">
        <v>0.3</v>
      </c>
      <c r="M41" s="26">
        <f>((1+L41)*TariefOpbouwTotaalLoonkosten6+TariefOpbouwDirecteKosten6-TariefOpbouwTotaalLoonkosten6+TariefOpbouwIndirecteKosten6)*(1+TariefOpbouwRisicoWinstPercentage6)</f>
        <v>0</v>
      </c>
      <c r="N41" s="33">
        <v>0.3</v>
      </c>
      <c r="O41" s="26">
        <f>((1+N41)*TariefOpbouwTotaalLoonkosten7+TariefOpbouwDirecteKosten7-TariefOpbouwTotaalLoonkosten7+TariefOpbouwIndirecteKosten7)*(1+TariefOpbouwRisicoWinstPercentage7)</f>
        <v>0</v>
      </c>
      <c r="P41" s="33">
        <v>0.3</v>
      </c>
      <c r="Q41" s="27">
        <f>((1+P41)*TariefOpbouwTotaalLoonkosten8+TariefOpbouwDirecteKosten8-TariefOpbouwTotaalLoonkosten8+TariefOpbouwIndirecteKosten8)*(1+TariefOpbouwRisicoWinstPercentage8)</f>
        <v>0</v>
      </c>
    </row>
    <row r="42" spans="1:17" x14ac:dyDescent="0.2">
      <c r="A42" s="11" t="s">
        <v>81</v>
      </c>
      <c r="B42" s="33">
        <v>0.5</v>
      </c>
      <c r="C42" s="26">
        <f>((1+B42)*TariefOpbouwTotaalLoonkosten1+TariefOpbouwDirecteKosten1-TariefOpbouwTotaalLoonkosten1+TariefOpbouwIndirecteKosten1)*(1+TariefOpbouwRisicoWinstPercentage1)</f>
        <v>0</v>
      </c>
      <c r="D42" s="33">
        <v>0.5</v>
      </c>
      <c r="E42" s="26">
        <f>((1+D42)*TariefOpbouwTotaalLoonkosten2+TariefOpbouwDirecteKosten2-TariefOpbouwTotaalLoonkosten2+TariefOpbouwIndirecteKosten2)*(1+TariefOpbouwRisicoWinstPercentage2)</f>
        <v>0</v>
      </c>
      <c r="F42" s="33">
        <v>0.5</v>
      </c>
      <c r="G42" s="26">
        <f>((1+F42)*TariefOpbouwTotaalLoonkosten3+TariefOpbouwDirecteKosten3-TariefOpbouwTotaalLoonkosten3+TariefOpbouwIndirecteKosten3)*(1+TariefOpbouwRisicoWinstPercentage3)</f>
        <v>0</v>
      </c>
      <c r="H42" s="33">
        <v>0.5</v>
      </c>
      <c r="I42" s="26">
        <f>((1+H42)*TariefOpbouwTotaalLoonkosten4+TariefOpbouwDirecteKosten4-TariefOpbouwTotaalLoonkosten4+TariefOpbouwIndirecteKosten4)*(1+TariefOpbouwRisicoWinstPercentage4)</f>
        <v>0</v>
      </c>
      <c r="J42" s="33">
        <v>0.5</v>
      </c>
      <c r="K42" s="26">
        <f>((1+J42)*TariefOpbouwTotaalLoonkosten5+TariefOpbouwDirecteKosten5-TariefOpbouwTotaalLoonkosten5+TariefOpbouwIndirecteKosten5)*(1+TariefOpbouwRisicoWinstPercentage5)</f>
        <v>0</v>
      </c>
      <c r="L42" s="33">
        <v>0.5</v>
      </c>
      <c r="M42" s="26">
        <f>((1+L42)*TariefOpbouwTotaalLoonkosten6+TariefOpbouwDirecteKosten6-TariefOpbouwTotaalLoonkosten6+TariefOpbouwIndirecteKosten6)*(1+TariefOpbouwRisicoWinstPercentage6)</f>
        <v>0</v>
      </c>
      <c r="N42" s="33">
        <v>0.5</v>
      </c>
      <c r="O42" s="26">
        <f>((1+N42)*TariefOpbouwTotaalLoonkosten7+TariefOpbouwDirecteKosten7-TariefOpbouwTotaalLoonkosten7+TariefOpbouwIndirecteKosten7)*(1+TariefOpbouwRisicoWinstPercentage7)</f>
        <v>0</v>
      </c>
      <c r="P42" s="33">
        <v>0.5</v>
      </c>
      <c r="Q42" s="27">
        <f>((1+P42)*TariefOpbouwTotaalLoonkosten8+TariefOpbouwDirecteKosten8-TariefOpbouwTotaalLoonkosten8+TariefOpbouwIndirecteKosten8)*(1+TariefOpbouwRisicoWinstPercentage8)</f>
        <v>0</v>
      </c>
    </row>
    <row r="43" spans="1:17" x14ac:dyDescent="0.2">
      <c r="A43" s="34" t="s">
        <v>82</v>
      </c>
      <c r="B43" s="35">
        <v>1.5</v>
      </c>
      <c r="C43" s="36">
        <f>((1+B43)*TariefOpbouwTotaalLoonkosten1+TariefOpbouwDirecteKosten1-TariefOpbouwTotaalLoonkosten1+TariefOpbouwIndirecteKosten1)*(1+TariefOpbouwRisicoWinstPercentage1)</f>
        <v>0</v>
      </c>
      <c r="D43" s="35">
        <v>1.5</v>
      </c>
      <c r="E43" s="36">
        <f>((1+D43)*TariefOpbouwTotaalLoonkosten2+TariefOpbouwDirecteKosten2-TariefOpbouwTotaalLoonkosten2+TariefOpbouwIndirecteKosten2)*(1+TariefOpbouwRisicoWinstPercentage2)</f>
        <v>0</v>
      </c>
      <c r="F43" s="35">
        <v>1.5</v>
      </c>
      <c r="G43" s="36">
        <f>((1+F43)*TariefOpbouwTotaalLoonkosten3+TariefOpbouwDirecteKosten3-TariefOpbouwTotaalLoonkosten3+TariefOpbouwIndirecteKosten3)*(1+TariefOpbouwRisicoWinstPercentage3)</f>
        <v>0</v>
      </c>
      <c r="H43" s="35">
        <v>1.5</v>
      </c>
      <c r="I43" s="36">
        <f>((1+H43)*TariefOpbouwTotaalLoonkosten4+TariefOpbouwDirecteKosten4-TariefOpbouwTotaalLoonkosten4+TariefOpbouwIndirecteKosten4)*(1+TariefOpbouwRisicoWinstPercentage4)</f>
        <v>0</v>
      </c>
      <c r="J43" s="35">
        <v>1.5</v>
      </c>
      <c r="K43" s="36">
        <f>((1+J43)*TariefOpbouwTotaalLoonkosten5+TariefOpbouwDirecteKosten5-TariefOpbouwTotaalLoonkosten5+TariefOpbouwIndirecteKosten5)*(1+TariefOpbouwRisicoWinstPercentage5)</f>
        <v>0</v>
      </c>
      <c r="L43" s="35">
        <v>1.5</v>
      </c>
      <c r="M43" s="36">
        <f>((1+L43)*TariefOpbouwTotaalLoonkosten6+TariefOpbouwDirecteKosten6-TariefOpbouwTotaalLoonkosten6+TariefOpbouwIndirecteKosten6)*(1+TariefOpbouwRisicoWinstPercentage6)</f>
        <v>0</v>
      </c>
      <c r="N43" s="35">
        <v>1.5</v>
      </c>
      <c r="O43" s="36">
        <f>((1+N43)*TariefOpbouwTotaalLoonkosten7+TariefOpbouwDirecteKosten7-TariefOpbouwTotaalLoonkosten7+TariefOpbouwIndirecteKosten7)*(1+TariefOpbouwRisicoWinstPercentage7)</f>
        <v>0</v>
      </c>
      <c r="P43" s="35">
        <v>1.5</v>
      </c>
      <c r="Q43" s="37">
        <f>((1+P43)*TariefOpbouwTotaalLoonkosten8+TariefOpbouwDirecteKosten8-TariefOpbouwTotaalLoonkosten8+TariefOpbouwIndirecteKosten8)*(1+TariefOpbouwRisicoWinstPercentage8)</f>
        <v>0</v>
      </c>
    </row>
    <row r="45" spans="1:17" ht="25.5" customHeight="1" x14ac:dyDescent="0.2">
      <c r="A45" s="8" t="s">
        <v>83</v>
      </c>
      <c r="B45" s="38" t="s">
        <v>84</v>
      </c>
      <c r="C45" s="38"/>
      <c r="D45" s="38" t="s">
        <v>85</v>
      </c>
      <c r="E45" s="38"/>
      <c r="F45" s="38" t="s">
        <v>86</v>
      </c>
      <c r="G45" s="39"/>
    </row>
    <row r="46" spans="1:17" x14ac:dyDescent="0.2">
      <c r="A46" s="28"/>
      <c r="B46" s="31" t="s">
        <v>87</v>
      </c>
      <c r="C46" s="31" t="s">
        <v>88</v>
      </c>
      <c r="D46" s="31" t="s">
        <v>87</v>
      </c>
      <c r="E46" s="31" t="s">
        <v>88</v>
      </c>
      <c r="F46" s="31" t="s">
        <v>87</v>
      </c>
      <c r="G46" s="32" t="s">
        <v>88</v>
      </c>
    </row>
    <row r="47" spans="1:17" x14ac:dyDescent="0.2">
      <c r="A47" s="40" t="str">
        <f>TariefOpbouwNaam1&amp;" "&amp;TariefOpbouwErvaring1</f>
        <v>Vakvolwassene &gt;3 dienstjaren</v>
      </c>
      <c r="B47" s="25"/>
      <c r="C47" s="26">
        <f>TariefOpbouwTarief1</f>
        <v>0</v>
      </c>
      <c r="D47" s="25"/>
      <c r="E47" s="26">
        <f>TariefOpbouwTarief1W</f>
        <v>0</v>
      </c>
      <c r="F47" s="25"/>
      <c r="G47" s="27">
        <f>TariefOpbouwTarief1X</f>
        <v>0</v>
      </c>
    </row>
    <row r="48" spans="1:17" x14ac:dyDescent="0.2">
      <c r="A48" s="40" t="str">
        <f>TariefOpbouwNaam2&amp;" "&amp;TariefOpbouwErvaring2</f>
        <v xml:space="preserve">Vakvolwassene </v>
      </c>
      <c r="B48" s="25"/>
      <c r="C48" s="26">
        <f>TariefOpbouwTarief2</f>
        <v>0</v>
      </c>
      <c r="D48" s="25"/>
      <c r="E48" s="26">
        <f>TariefOpbouwTarief2W</f>
        <v>0</v>
      </c>
      <c r="F48" s="25"/>
      <c r="G48" s="27">
        <f>TariefOpbouwTarief2X</f>
        <v>0</v>
      </c>
    </row>
    <row r="49" spans="1:7" x14ac:dyDescent="0.2">
      <c r="A49" s="40" t="str">
        <f>TariefOpbouwNaam3&amp;" "&amp;TariefOpbouwErvaring3</f>
        <v>Leiding (meewerkend) voorman/vrouw</v>
      </c>
      <c r="B49" s="25"/>
      <c r="C49" s="26">
        <f>TariefOpbouwTarief3</f>
        <v>0</v>
      </c>
      <c r="D49" s="25"/>
      <c r="E49" s="26">
        <f>TariefOpbouwTarief3W</f>
        <v>0</v>
      </c>
      <c r="F49" s="25"/>
      <c r="G49" s="27">
        <f>TariefOpbouwTarief3X</f>
        <v>0</v>
      </c>
    </row>
    <row r="50" spans="1:7" x14ac:dyDescent="0.2">
      <c r="A50" s="11" t="s">
        <v>89</v>
      </c>
      <c r="B50" s="41" t="str">
        <f>IF(SUM(B47:B49)=1,SUM(B47:B49),"ongeldig")</f>
        <v>ongeldig</v>
      </c>
      <c r="C50" s="26">
        <f>SUMPRODUCT(B47:B49,C47:C49)</f>
        <v>0</v>
      </c>
      <c r="D50" s="41" t="str">
        <f>IF(SUM(D47:D49)=1,SUM(D47:D49),"ongeldig")</f>
        <v>ongeldig</v>
      </c>
      <c r="E50" s="26">
        <f>SUMPRODUCT(D47:D49,E47:E49)</f>
        <v>0</v>
      </c>
      <c r="F50" s="41" t="str">
        <f>IF(SUM(F47:F49)=1,SUM(F47:F49),"ongeldig")</f>
        <v>ongeldig</v>
      </c>
      <c r="G50" s="27">
        <f>SUMPRODUCT(F47:F49,G47:G49)</f>
        <v>0</v>
      </c>
    </row>
    <row r="51" spans="1:7" x14ac:dyDescent="0.2">
      <c r="A51" s="40" t="str">
        <f>TariefOpbouwNaam4&amp;" "&amp;TariefOpbouwErvaring4</f>
        <v>Leiding (niet-meewerkend) voorman/vrouw</v>
      </c>
      <c r="B51" s="25"/>
      <c r="C51" s="26">
        <f>TariefOpbouwTarief4</f>
        <v>0</v>
      </c>
      <c r="D51" s="25"/>
      <c r="E51" s="26">
        <f>TariefOpbouwTarief4W</f>
        <v>0</v>
      </c>
      <c r="F51" s="25"/>
      <c r="G51" s="27">
        <f>TariefOpbouwTarief4X</f>
        <v>0</v>
      </c>
    </row>
    <row r="52" spans="1:7" x14ac:dyDescent="0.2">
      <c r="A52" s="40" t="str">
        <f>TariefOpbouwNaam5&amp;" "&amp;TariefOpbouwErvaring5</f>
        <v>Leiding (niet-meewerkend) objectleider</v>
      </c>
      <c r="B52" s="25"/>
      <c r="C52" s="26">
        <f>TariefOpbouwTarief5</f>
        <v>0</v>
      </c>
      <c r="D52" s="25"/>
      <c r="E52" s="26">
        <f>TariefOpbouwTarief5W</f>
        <v>0</v>
      </c>
      <c r="F52" s="25"/>
      <c r="G52" s="27">
        <f>TariefOpbouwTarief5X</f>
        <v>0</v>
      </c>
    </row>
    <row r="53" spans="1:7" x14ac:dyDescent="0.2">
      <c r="A53" s="34" t="s">
        <v>90</v>
      </c>
      <c r="B53" s="42">
        <f>TariefUitvoering1+IF(SUM(B51:B52)&gt;0,SUMPRODUCT(B51:B52,C51:C52))</f>
        <v>0</v>
      </c>
      <c r="C53" s="42"/>
      <c r="D53" s="42">
        <f>TariefUitvoering2+IF(SUM(D51:D52)&gt;0,SUMPRODUCT(D51:D52,E51:E52))</f>
        <v>0</v>
      </c>
      <c r="E53" s="42"/>
      <c r="F53" s="42">
        <f>TariefUitvoering3+IF(SUM(F51:F52)&gt;0,SUMPRODUCT(F51:F52,G51:G52))</f>
        <v>0</v>
      </c>
      <c r="G53" s="43"/>
    </row>
    <row r="55" spans="1:7" x14ac:dyDescent="0.2">
      <c r="A55" s="45" t="s">
        <v>91</v>
      </c>
    </row>
    <row r="56" spans="1:7" x14ac:dyDescent="0.2">
      <c r="A56" s="46"/>
    </row>
    <row r="57" spans="1:7" x14ac:dyDescent="0.2">
      <c r="A57" s="47" t="str">
        <f>TariefOpbouwNaam6&amp;" "&amp;TariefOpbouwErvaring6</f>
        <v xml:space="preserve">Vakvolwassene regie </v>
      </c>
    </row>
    <row r="58" spans="1:7" x14ac:dyDescent="0.2">
      <c r="A58" s="47" t="str">
        <f>TariefOpbouwNaam7&amp;" "&amp;TariefOpbouwErvaring7</f>
        <v>Vakvolwassene regie specialist</v>
      </c>
    </row>
    <row r="59" spans="1:7" x14ac:dyDescent="0.2">
      <c r="A59" s="48" t="s">
        <v>89</v>
      </c>
    </row>
    <row r="60" spans="1:7" x14ac:dyDescent="0.2">
      <c r="A60" s="47" t="str">
        <f>TariefOpbouwNaam8&amp;" "&amp;TariefOpbouwErvaring8</f>
        <v xml:space="preserve">Leiding regie </v>
      </c>
    </row>
    <row r="61" spans="1:7" x14ac:dyDescent="0.2">
      <c r="A61" s="49" t="s">
        <v>92</v>
      </c>
    </row>
  </sheetData>
  <sheetProtection algorithmName="SHA-512" hashValue="YtO445IFqeU3tB2Axi9B12xAlBDA3Bb9tRdlGcqFsS0W8c84e4dBiEL/tDULLCx+TXkgBUXkOx8qIF6bdCyYyg==" saltValue="/+uGcf9tmhUVO3uYvY3VUg==" spinCount="100000" sheet="1" objects="1" scenarios="1" autoFilter="0"/>
  <mergeCells count="110">
    <mergeCell ref="N39:O39"/>
    <mergeCell ref="P39:Q39"/>
    <mergeCell ref="B45:C45"/>
    <mergeCell ref="D45:E45"/>
    <mergeCell ref="F45:G45"/>
    <mergeCell ref="B53:C53"/>
    <mergeCell ref="D53:E53"/>
    <mergeCell ref="F53:G53"/>
    <mergeCell ref="B39:C39"/>
    <mergeCell ref="D39:E39"/>
    <mergeCell ref="F39:G39"/>
    <mergeCell ref="H39:I39"/>
    <mergeCell ref="J39:K39"/>
    <mergeCell ref="L39:M39"/>
    <mergeCell ref="N26:O26"/>
    <mergeCell ref="P26:Q26"/>
    <mergeCell ref="B35:C35"/>
    <mergeCell ref="D35:E35"/>
    <mergeCell ref="F35:G35"/>
    <mergeCell ref="H35:I35"/>
    <mergeCell ref="J35:K35"/>
    <mergeCell ref="L35:M35"/>
    <mergeCell ref="N35:O35"/>
    <mergeCell ref="P35:Q35"/>
    <mergeCell ref="B26:C26"/>
    <mergeCell ref="D26:E26"/>
    <mergeCell ref="F26:G26"/>
    <mergeCell ref="H26:I26"/>
    <mergeCell ref="J26:K26"/>
    <mergeCell ref="L26:M26"/>
    <mergeCell ref="N14:O14"/>
    <mergeCell ref="P14:Q14"/>
    <mergeCell ref="B19:C19"/>
    <mergeCell ref="D19:E19"/>
    <mergeCell ref="F19:G19"/>
    <mergeCell ref="H19:I19"/>
    <mergeCell ref="J19:K19"/>
    <mergeCell ref="L19:M19"/>
    <mergeCell ref="N19:O19"/>
    <mergeCell ref="P19:Q19"/>
    <mergeCell ref="B14:C14"/>
    <mergeCell ref="D14:E14"/>
    <mergeCell ref="F14:G14"/>
    <mergeCell ref="H14:I14"/>
    <mergeCell ref="J14:K14"/>
    <mergeCell ref="L14:M14"/>
    <mergeCell ref="N9:O9"/>
    <mergeCell ref="P9:Q9"/>
    <mergeCell ref="B12:C12"/>
    <mergeCell ref="D12:E12"/>
    <mergeCell ref="F12:G12"/>
    <mergeCell ref="H12:I12"/>
    <mergeCell ref="J12:K12"/>
    <mergeCell ref="L12:M12"/>
    <mergeCell ref="N12:O12"/>
    <mergeCell ref="P12:Q12"/>
    <mergeCell ref="B9:C9"/>
    <mergeCell ref="D9:E9"/>
    <mergeCell ref="F9:G9"/>
    <mergeCell ref="H9:I9"/>
    <mergeCell ref="J9:K9"/>
    <mergeCell ref="L9:M9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7:C7"/>
    <mergeCell ref="D7:E7"/>
    <mergeCell ref="F7:G7"/>
    <mergeCell ref="H7:I7"/>
    <mergeCell ref="J7:K7"/>
    <mergeCell ref="L7:M7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5:C5"/>
    <mergeCell ref="D5:E5"/>
    <mergeCell ref="F5:G5"/>
    <mergeCell ref="H5:I5"/>
    <mergeCell ref="J5:K5"/>
    <mergeCell ref="L5:M5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65" orientation="landscape" horizontalDpi="4294967295" verticalDpi="4294967295" r:id="rId1"/>
  <headerFooter>
    <oddFooter>&amp;LStichting VO Haaglanden EA 2025                             &amp;ROpmaakdatum: 28-05-2025
Intexso - Plantageweg 23E - Leusden
+31 (33) 2778485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1E161-68F2-4CA5-9DEA-F9F14E50E6F7}">
  <dimension ref="A1:H40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4.625" customWidth="1"/>
    <col min="4" max="4" width="50.625" customWidth="1"/>
    <col min="5" max="6" width="11.625" customWidth="1"/>
    <col min="7" max="7" width="9.625" customWidth="1"/>
    <col min="8" max="8" width="11.625" customWidth="1"/>
  </cols>
  <sheetData>
    <row r="1" spans="1:8" x14ac:dyDescent="0.2">
      <c r="A1" s="1" t="str">
        <f>CONCATENATE("Bijlage G.4.1: ",tabeltype," categorienormen")</f>
        <v>Bijlage G.4.1: Invultabel categorienormen</v>
      </c>
    </row>
    <row r="3" spans="1:8" ht="38.25" x14ac:dyDescent="0.2">
      <c r="A3" s="50" t="s">
        <v>93</v>
      </c>
      <c r="B3" s="50" t="s">
        <v>94</v>
      </c>
      <c r="C3" s="50" t="s">
        <v>95</v>
      </c>
      <c r="D3" s="50" t="s">
        <v>96</v>
      </c>
      <c r="E3" s="50" t="s">
        <v>97</v>
      </c>
      <c r="F3" s="50" t="s">
        <v>98</v>
      </c>
      <c r="G3" s="50" t="s">
        <v>99</v>
      </c>
      <c r="H3" s="50" t="s">
        <v>100</v>
      </c>
    </row>
    <row r="4" spans="1:8" x14ac:dyDescent="0.2">
      <c r="A4" s="51"/>
      <c r="B4" s="52"/>
      <c r="C4" s="52"/>
      <c r="D4" s="52"/>
      <c r="E4" s="52"/>
      <c r="F4" s="52"/>
      <c r="G4" s="52"/>
      <c r="H4" s="53"/>
    </row>
    <row r="5" spans="1:8" x14ac:dyDescent="0.2">
      <c r="A5" s="54" t="s">
        <v>101</v>
      </c>
      <c r="B5" s="55"/>
      <c r="C5" s="55"/>
      <c r="D5" s="55"/>
      <c r="E5" s="55"/>
      <c r="F5" s="55"/>
      <c r="G5" s="55"/>
      <c r="H5" s="56"/>
    </row>
    <row r="6" spans="1:8" x14ac:dyDescent="0.2">
      <c r="A6" s="57" t="s">
        <v>102</v>
      </c>
      <c r="B6" s="58" t="s">
        <v>103</v>
      </c>
      <c r="C6" s="57">
        <v>1</v>
      </c>
      <c r="D6" s="57" t="s">
        <v>104</v>
      </c>
      <c r="E6" s="59"/>
      <c r="F6" s="60"/>
      <c r="G6" s="57" t="s">
        <v>105</v>
      </c>
      <c r="H6" s="61"/>
    </row>
    <row r="7" spans="1:8" x14ac:dyDescent="0.2">
      <c r="A7" s="62" t="s">
        <v>106</v>
      </c>
      <c r="B7" s="63" t="s">
        <v>103</v>
      </c>
      <c r="C7" s="62">
        <v>1</v>
      </c>
      <c r="D7" s="62" t="s">
        <v>107</v>
      </c>
      <c r="E7" s="64"/>
      <c r="F7" s="65"/>
      <c r="G7" s="62" t="s">
        <v>105</v>
      </c>
      <c r="H7" s="66"/>
    </row>
    <row r="8" spans="1:8" x14ac:dyDescent="0.2">
      <c r="A8" s="62" t="s">
        <v>108</v>
      </c>
      <c r="B8" s="63" t="s">
        <v>103</v>
      </c>
      <c r="C8" s="62">
        <v>40</v>
      </c>
      <c r="D8" s="62" t="s">
        <v>109</v>
      </c>
      <c r="E8" s="64"/>
      <c r="F8" s="65"/>
      <c r="G8" s="62" t="s">
        <v>105</v>
      </c>
      <c r="H8" s="66"/>
    </row>
    <row r="9" spans="1:8" x14ac:dyDescent="0.2">
      <c r="A9" s="62" t="s">
        <v>110</v>
      </c>
      <c r="B9" s="63" t="s">
        <v>103</v>
      </c>
      <c r="C9" s="62">
        <v>1</v>
      </c>
      <c r="D9" s="62" t="s">
        <v>111</v>
      </c>
      <c r="E9" s="64"/>
      <c r="F9" s="65"/>
      <c r="G9" s="62" t="s">
        <v>105</v>
      </c>
      <c r="H9" s="66"/>
    </row>
    <row r="10" spans="1:8" x14ac:dyDescent="0.2">
      <c r="A10" s="62" t="s">
        <v>112</v>
      </c>
      <c r="B10" s="63" t="s">
        <v>103</v>
      </c>
      <c r="C10" s="62">
        <v>40</v>
      </c>
      <c r="D10" s="62" t="s">
        <v>113</v>
      </c>
      <c r="E10" s="64"/>
      <c r="F10" s="65"/>
      <c r="G10" s="62" t="s">
        <v>105</v>
      </c>
      <c r="H10" s="66"/>
    </row>
    <row r="11" spans="1:8" x14ac:dyDescent="0.2">
      <c r="A11" s="62" t="s">
        <v>114</v>
      </c>
      <c r="B11" s="63" t="s">
        <v>103</v>
      </c>
      <c r="C11" s="62">
        <v>1</v>
      </c>
      <c r="D11" s="62" t="s">
        <v>115</v>
      </c>
      <c r="E11" s="64"/>
      <c r="F11" s="65"/>
      <c r="G11" s="62" t="s">
        <v>105</v>
      </c>
      <c r="H11" s="66"/>
    </row>
    <row r="12" spans="1:8" x14ac:dyDescent="0.2">
      <c r="A12" s="62" t="s">
        <v>116</v>
      </c>
      <c r="B12" s="63" t="s">
        <v>103</v>
      </c>
      <c r="C12" s="62">
        <v>40</v>
      </c>
      <c r="D12" s="62" t="s">
        <v>117</v>
      </c>
      <c r="E12" s="64"/>
      <c r="F12" s="65"/>
      <c r="G12" s="62" t="s">
        <v>105</v>
      </c>
      <c r="H12" s="66"/>
    </row>
    <row r="13" spans="1:8" x14ac:dyDescent="0.2">
      <c r="A13" s="62" t="s">
        <v>118</v>
      </c>
      <c r="B13" s="63" t="s">
        <v>103</v>
      </c>
      <c r="C13" s="62">
        <v>1</v>
      </c>
      <c r="D13" s="62" t="s">
        <v>119</v>
      </c>
      <c r="E13" s="64"/>
      <c r="F13" s="65"/>
      <c r="G13" s="62" t="s">
        <v>105</v>
      </c>
      <c r="H13" s="66"/>
    </row>
    <row r="14" spans="1:8" x14ac:dyDescent="0.2">
      <c r="A14" s="62" t="s">
        <v>120</v>
      </c>
      <c r="B14" s="63" t="s">
        <v>103</v>
      </c>
      <c r="C14" s="62">
        <v>40</v>
      </c>
      <c r="D14" s="62" t="s">
        <v>121</v>
      </c>
      <c r="E14" s="64"/>
      <c r="F14" s="65"/>
      <c r="G14" s="62" t="s">
        <v>105</v>
      </c>
      <c r="H14" s="66"/>
    </row>
    <row r="15" spans="1:8" x14ac:dyDescent="0.2">
      <c r="A15" s="62" t="s">
        <v>122</v>
      </c>
      <c r="B15" s="63" t="s">
        <v>103</v>
      </c>
      <c r="C15" s="62">
        <v>1</v>
      </c>
      <c r="D15" s="62" t="s">
        <v>123</v>
      </c>
      <c r="E15" s="64"/>
      <c r="F15" s="65"/>
      <c r="G15" s="62" t="s">
        <v>105</v>
      </c>
      <c r="H15" s="66"/>
    </row>
    <row r="16" spans="1:8" x14ac:dyDescent="0.2">
      <c r="A16" s="62" t="s">
        <v>124</v>
      </c>
      <c r="B16" s="63" t="s">
        <v>103</v>
      </c>
      <c r="C16" s="62">
        <v>40</v>
      </c>
      <c r="D16" s="62" t="s">
        <v>125</v>
      </c>
      <c r="E16" s="64"/>
      <c r="F16" s="65"/>
      <c r="G16" s="62" t="s">
        <v>105</v>
      </c>
      <c r="H16" s="66"/>
    </row>
    <row r="17" spans="1:8" x14ac:dyDescent="0.2">
      <c r="A17" s="62" t="s">
        <v>126</v>
      </c>
      <c r="B17" s="63" t="s">
        <v>127</v>
      </c>
      <c r="C17" s="62">
        <v>1</v>
      </c>
      <c r="D17" s="62" t="s">
        <v>128</v>
      </c>
      <c r="E17" s="64"/>
      <c r="F17" s="65"/>
      <c r="G17" s="62" t="s">
        <v>105</v>
      </c>
      <c r="H17" s="66"/>
    </row>
    <row r="18" spans="1:8" x14ac:dyDescent="0.2">
      <c r="A18" s="62" t="s">
        <v>129</v>
      </c>
      <c r="B18" s="63" t="s">
        <v>127</v>
      </c>
      <c r="C18" s="62">
        <v>40</v>
      </c>
      <c r="D18" s="62" t="s">
        <v>130</v>
      </c>
      <c r="E18" s="64"/>
      <c r="F18" s="65"/>
      <c r="G18" s="62" t="s">
        <v>105</v>
      </c>
      <c r="H18" s="66"/>
    </row>
    <row r="19" spans="1:8" x14ac:dyDescent="0.2">
      <c r="A19" s="62" t="s">
        <v>131</v>
      </c>
      <c r="B19" s="63" t="s">
        <v>132</v>
      </c>
      <c r="C19" s="62">
        <v>1</v>
      </c>
      <c r="D19" s="62" t="s">
        <v>133</v>
      </c>
      <c r="E19" s="64"/>
      <c r="F19" s="65"/>
      <c r="G19" s="62" t="s">
        <v>105</v>
      </c>
      <c r="H19" s="66"/>
    </row>
    <row r="20" spans="1:8" x14ac:dyDescent="0.2">
      <c r="A20" s="62" t="s">
        <v>134</v>
      </c>
      <c r="B20" s="63" t="s">
        <v>132</v>
      </c>
      <c r="C20" s="62">
        <v>40</v>
      </c>
      <c r="D20" s="62" t="s">
        <v>135</v>
      </c>
      <c r="E20" s="64"/>
      <c r="F20" s="65"/>
      <c r="G20" s="62" t="s">
        <v>105</v>
      </c>
      <c r="H20" s="66"/>
    </row>
    <row r="21" spans="1:8" x14ac:dyDescent="0.2">
      <c r="A21" s="62" t="s">
        <v>136</v>
      </c>
      <c r="B21" s="63" t="s">
        <v>137</v>
      </c>
      <c r="C21" s="62">
        <v>1</v>
      </c>
      <c r="D21" s="62" t="s">
        <v>138</v>
      </c>
      <c r="E21" s="64"/>
      <c r="F21" s="65"/>
      <c r="G21" s="62" t="s">
        <v>105</v>
      </c>
      <c r="H21" s="66"/>
    </row>
    <row r="22" spans="1:8" x14ac:dyDescent="0.2">
      <c r="A22" s="62" t="s">
        <v>139</v>
      </c>
      <c r="B22" s="63" t="s">
        <v>137</v>
      </c>
      <c r="C22" s="62">
        <v>40</v>
      </c>
      <c r="D22" s="62" t="s">
        <v>140</v>
      </c>
      <c r="E22" s="64"/>
      <c r="F22" s="65"/>
      <c r="G22" s="62" t="s">
        <v>105</v>
      </c>
      <c r="H22" s="66"/>
    </row>
    <row r="23" spans="1:8" x14ac:dyDescent="0.2">
      <c r="A23" s="62" t="s">
        <v>141</v>
      </c>
      <c r="B23" s="63" t="s">
        <v>137</v>
      </c>
      <c r="C23" s="62">
        <v>1</v>
      </c>
      <c r="D23" s="62" t="s">
        <v>142</v>
      </c>
      <c r="E23" s="64"/>
      <c r="F23" s="65"/>
      <c r="G23" s="62" t="s">
        <v>105</v>
      </c>
      <c r="H23" s="66"/>
    </row>
    <row r="24" spans="1:8" x14ac:dyDescent="0.2">
      <c r="A24" s="62" t="s">
        <v>143</v>
      </c>
      <c r="B24" s="63" t="s">
        <v>137</v>
      </c>
      <c r="C24" s="62">
        <v>40</v>
      </c>
      <c r="D24" s="62" t="s">
        <v>144</v>
      </c>
      <c r="E24" s="64"/>
      <c r="F24" s="65"/>
      <c r="G24" s="62" t="s">
        <v>105</v>
      </c>
      <c r="H24" s="66"/>
    </row>
    <row r="25" spans="1:8" x14ac:dyDescent="0.2">
      <c r="A25" s="62" t="s">
        <v>143</v>
      </c>
      <c r="B25" s="63" t="s">
        <v>137</v>
      </c>
      <c r="C25" s="62">
        <v>42</v>
      </c>
      <c r="D25" s="62" t="s">
        <v>144</v>
      </c>
      <c r="E25" s="64"/>
      <c r="F25" s="65"/>
      <c r="G25" s="62" t="s">
        <v>105</v>
      </c>
      <c r="H25" s="66"/>
    </row>
    <row r="26" spans="1:8" x14ac:dyDescent="0.2">
      <c r="A26" s="62" t="s">
        <v>145</v>
      </c>
      <c r="B26" s="63" t="s">
        <v>146</v>
      </c>
      <c r="C26" s="62">
        <v>1</v>
      </c>
      <c r="D26" s="62" t="s">
        <v>147</v>
      </c>
      <c r="E26" s="64"/>
      <c r="F26" s="65"/>
      <c r="G26" s="62" t="s">
        <v>105</v>
      </c>
      <c r="H26" s="66"/>
    </row>
    <row r="27" spans="1:8" x14ac:dyDescent="0.2">
      <c r="A27" s="62" t="s">
        <v>148</v>
      </c>
      <c r="B27" s="63" t="s">
        <v>146</v>
      </c>
      <c r="C27" s="62">
        <v>40</v>
      </c>
      <c r="D27" s="62" t="s">
        <v>149</v>
      </c>
      <c r="E27" s="64"/>
      <c r="F27" s="65"/>
      <c r="G27" s="62" t="s">
        <v>105</v>
      </c>
      <c r="H27" s="66"/>
    </row>
    <row r="28" spans="1:8" x14ac:dyDescent="0.2">
      <c r="A28" s="62" t="s">
        <v>150</v>
      </c>
      <c r="B28" s="63" t="s">
        <v>146</v>
      </c>
      <c r="C28" s="62">
        <v>1</v>
      </c>
      <c r="D28" s="62" t="s">
        <v>151</v>
      </c>
      <c r="E28" s="64"/>
      <c r="F28" s="65"/>
      <c r="G28" s="62" t="s">
        <v>105</v>
      </c>
      <c r="H28" s="66"/>
    </row>
    <row r="29" spans="1:8" x14ac:dyDescent="0.2">
      <c r="A29" s="62" t="s">
        <v>152</v>
      </c>
      <c r="B29" s="63" t="s">
        <v>146</v>
      </c>
      <c r="C29" s="62">
        <v>40</v>
      </c>
      <c r="D29" s="62" t="s">
        <v>153</v>
      </c>
      <c r="E29" s="64"/>
      <c r="F29" s="65"/>
      <c r="G29" s="62" t="s">
        <v>105</v>
      </c>
      <c r="H29" s="66"/>
    </row>
    <row r="30" spans="1:8" x14ac:dyDescent="0.2">
      <c r="A30" s="62" t="s">
        <v>152</v>
      </c>
      <c r="B30" s="63" t="s">
        <v>146</v>
      </c>
      <c r="C30" s="62">
        <v>42</v>
      </c>
      <c r="D30" s="62" t="s">
        <v>153</v>
      </c>
      <c r="E30" s="64"/>
      <c r="F30" s="65"/>
      <c r="G30" s="62" t="s">
        <v>105</v>
      </c>
      <c r="H30" s="66"/>
    </row>
    <row r="31" spans="1:8" x14ac:dyDescent="0.2">
      <c r="A31" s="62" t="s">
        <v>154</v>
      </c>
      <c r="B31" s="63" t="s">
        <v>146</v>
      </c>
      <c r="C31" s="62">
        <v>1</v>
      </c>
      <c r="D31" s="62" t="s">
        <v>155</v>
      </c>
      <c r="E31" s="64"/>
      <c r="F31" s="65"/>
      <c r="G31" s="62" t="s">
        <v>105</v>
      </c>
      <c r="H31" s="66"/>
    </row>
    <row r="32" spans="1:8" x14ac:dyDescent="0.2">
      <c r="A32" s="62" t="s">
        <v>156</v>
      </c>
      <c r="B32" s="63" t="s">
        <v>146</v>
      </c>
      <c r="C32" s="62">
        <v>40</v>
      </c>
      <c r="D32" s="62" t="s">
        <v>157</v>
      </c>
      <c r="E32" s="64"/>
      <c r="F32" s="65"/>
      <c r="G32" s="62" t="s">
        <v>105</v>
      </c>
      <c r="H32" s="66"/>
    </row>
    <row r="33" spans="1:8" x14ac:dyDescent="0.2">
      <c r="A33" s="62" t="s">
        <v>158</v>
      </c>
      <c r="B33" s="63" t="s">
        <v>146</v>
      </c>
      <c r="C33" s="62">
        <v>1</v>
      </c>
      <c r="D33" s="62" t="s">
        <v>159</v>
      </c>
      <c r="E33" s="64"/>
      <c r="F33" s="65"/>
      <c r="G33" s="62" t="s">
        <v>105</v>
      </c>
      <c r="H33" s="66"/>
    </row>
    <row r="34" spans="1:8" x14ac:dyDescent="0.2">
      <c r="A34" s="62" t="s">
        <v>160</v>
      </c>
      <c r="B34" s="63" t="s">
        <v>146</v>
      </c>
      <c r="C34" s="62">
        <v>40</v>
      </c>
      <c r="D34" s="62" t="s">
        <v>161</v>
      </c>
      <c r="E34" s="64"/>
      <c r="F34" s="65"/>
      <c r="G34" s="62" t="s">
        <v>105</v>
      </c>
      <c r="H34" s="66"/>
    </row>
    <row r="35" spans="1:8" x14ac:dyDescent="0.2">
      <c r="A35" s="62" t="s">
        <v>162</v>
      </c>
      <c r="B35" s="63" t="s">
        <v>146</v>
      </c>
      <c r="C35" s="62">
        <v>1</v>
      </c>
      <c r="D35" s="62" t="s">
        <v>163</v>
      </c>
      <c r="E35" s="64"/>
      <c r="F35" s="65"/>
      <c r="G35" s="62" t="s">
        <v>105</v>
      </c>
      <c r="H35" s="66"/>
    </row>
    <row r="36" spans="1:8" x14ac:dyDescent="0.2">
      <c r="A36" s="62" t="s">
        <v>164</v>
      </c>
      <c r="B36" s="63" t="s">
        <v>146</v>
      </c>
      <c r="C36" s="62">
        <v>40</v>
      </c>
      <c r="D36" s="62" t="s">
        <v>165</v>
      </c>
      <c r="E36" s="64"/>
      <c r="F36" s="65"/>
      <c r="G36" s="62" t="s">
        <v>105</v>
      </c>
      <c r="H36" s="66"/>
    </row>
    <row r="37" spans="1:8" x14ac:dyDescent="0.2">
      <c r="A37" s="62" t="s">
        <v>166</v>
      </c>
      <c r="B37" s="63" t="s">
        <v>146</v>
      </c>
      <c r="C37" s="62">
        <v>1</v>
      </c>
      <c r="D37" s="62" t="s">
        <v>167</v>
      </c>
      <c r="E37" s="64"/>
      <c r="F37" s="65"/>
      <c r="G37" s="62" t="s">
        <v>105</v>
      </c>
      <c r="H37" s="66"/>
    </row>
    <row r="38" spans="1:8" x14ac:dyDescent="0.2">
      <c r="A38" s="62" t="s">
        <v>168</v>
      </c>
      <c r="B38" s="63" t="s">
        <v>146</v>
      </c>
      <c r="C38" s="62">
        <v>40</v>
      </c>
      <c r="D38" s="62" t="s">
        <v>169</v>
      </c>
      <c r="E38" s="64"/>
      <c r="F38" s="65"/>
      <c r="G38" s="62" t="s">
        <v>105</v>
      </c>
      <c r="H38" s="66"/>
    </row>
    <row r="39" spans="1:8" x14ac:dyDescent="0.2">
      <c r="A39" s="62" t="s">
        <v>170</v>
      </c>
      <c r="B39" s="63" t="s">
        <v>146</v>
      </c>
      <c r="C39" s="62">
        <v>1</v>
      </c>
      <c r="D39" s="62" t="s">
        <v>171</v>
      </c>
      <c r="E39" s="64"/>
      <c r="F39" s="65"/>
      <c r="G39" s="62" t="s">
        <v>105</v>
      </c>
      <c r="H39" s="66"/>
    </row>
    <row r="40" spans="1:8" x14ac:dyDescent="0.2">
      <c r="A40" s="67" t="s">
        <v>172</v>
      </c>
      <c r="B40" s="68" t="s">
        <v>146</v>
      </c>
      <c r="C40" s="67">
        <v>40</v>
      </c>
      <c r="D40" s="67" t="s">
        <v>173</v>
      </c>
      <c r="E40" s="69"/>
      <c r="F40" s="70"/>
      <c r="G40" s="67" t="s">
        <v>105</v>
      </c>
      <c r="H40" s="71"/>
    </row>
  </sheetData>
  <sheetProtection algorithmName="SHA-512" hashValue="uicY50Hd6WMi8h4Mf3oFAFr66GM72DlMht7RpUFsdlLUAa2ghQmMEhDuT2WgRSFYGMzvIqu90M/xpki+ZfKzeA==" saltValue="lNn8gzvAMJng0VVL970kiw==" spinCount="100000" sheet="1" objects="1" scenarios="1" autoFilter="0"/>
  <pageMargins left="0.7" right="0.7" top="0.75" bottom="0.75" header="0.3" footer="0.3"/>
  <pageSetup paperSize="9" scale="70" orientation="landscape" horizontalDpi="4294967295" verticalDpi="4294967295" r:id="rId1"/>
  <headerFooter>
    <oddFooter>&amp;LStichting VO Haaglanden EA 2025                             &amp;ROpmaakdatum: 28-05-2025
Intexso - Plantageweg 23E - Leusden
+31 (33) 2778485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2221C-09FC-4E58-A04B-23E3AE53AEB6}">
  <dimension ref="A1:N36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12.625" customWidth="1"/>
    <col min="4" max="4" width="35.625" customWidth="1"/>
    <col min="5" max="5" width="12.625" customWidth="1"/>
    <col min="6" max="8" width="11.625" customWidth="1"/>
    <col min="9" max="9" width="9.625" customWidth="1"/>
    <col min="10" max="12" width="11.625" customWidth="1"/>
    <col min="13" max="13" width="12.625" customWidth="1"/>
    <col min="14" max="14" width="14.625" customWidth="1"/>
  </cols>
  <sheetData>
    <row r="1" spans="1:14" x14ac:dyDescent="0.2">
      <c r="A1" s="1" t="str">
        <f>CONCATENATE("Bijlage G.4.2: ",tabeltype," regulier werk")</f>
        <v>Bijlage G.4.2: Invultabel regulier werk</v>
      </c>
    </row>
    <row r="3" spans="1:14" ht="38.25" x14ac:dyDescent="0.2">
      <c r="A3" s="50" t="s">
        <v>174</v>
      </c>
      <c r="B3" s="50" t="s">
        <v>7</v>
      </c>
      <c r="C3" s="50" t="s">
        <v>175</v>
      </c>
      <c r="D3" s="50" t="s">
        <v>96</v>
      </c>
      <c r="E3" s="50" t="s">
        <v>176</v>
      </c>
      <c r="F3" s="50" t="s">
        <v>177</v>
      </c>
      <c r="G3" s="50" t="s">
        <v>97</v>
      </c>
      <c r="H3" s="50" t="s">
        <v>98</v>
      </c>
      <c r="I3" s="50" t="s">
        <v>99</v>
      </c>
      <c r="J3" s="50" t="s">
        <v>100</v>
      </c>
      <c r="K3" s="50" t="s">
        <v>178</v>
      </c>
      <c r="L3" s="50" t="s">
        <v>179</v>
      </c>
      <c r="M3" s="50" t="s">
        <v>180</v>
      </c>
      <c r="N3" s="50" t="s">
        <v>181</v>
      </c>
    </row>
    <row r="4" spans="1:14" x14ac:dyDescent="0.2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x14ac:dyDescent="0.2">
      <c r="A5" s="54" t="s">
        <v>101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6"/>
    </row>
    <row r="6" spans="1:14" x14ac:dyDescent="0.2">
      <c r="A6" s="57" t="s">
        <v>182</v>
      </c>
      <c r="B6" s="57" t="s">
        <v>12</v>
      </c>
      <c r="C6" s="57" t="s">
        <v>183</v>
      </c>
      <c r="D6" s="57" t="s">
        <v>184</v>
      </c>
      <c r="E6" s="72">
        <v>651.6</v>
      </c>
      <c r="F6" s="72">
        <f>E6*VLOOKUP(B6,dagsoorttabel1,2,FALSE)</f>
        <v>651.6</v>
      </c>
      <c r="G6" s="73">
        <f>IF(AND(catpn_1_AHB_1&gt;0,catpn_1_AHV_40&gt;0),(dagenperjaar1*VLOOKUP(B6,dagsoorttabel1,2,FALSE))/(((dagenperjaar1*VLOOKUP(B6,dagsoorttabel1,2,FALSE))-catfd_1_AHV_40)/catpn_1_AHB_1+catfd_1_AHV_40/catpn_1_AHV_40),0)</f>
        <v>0</v>
      </c>
      <c r="H6" s="74">
        <f>IF(AND(catpn_1_AHB_1&gt;0,catpn_1_AHV_40&gt;0),(catdw_1_AHB_1*((dagenperjaar1*VLOOKUP(B6,dagsoorttabel1,2,FALSE))-catfd_1_AHV_40)/catpn_1_AHB_1+catdw_1_AHV_40*catfd_1_AHV_40/catpn_1_AHV_40)/(((dagenperjaar1*VLOOKUP(B6,dagsoorttabel1,2,FALSE))-catfd_1_AHV_40)/catpn_1_AHB_1+catfd_1_AHV_40/catpn_1_AHV_40),0)</f>
        <v>0</v>
      </c>
      <c r="I6" s="57" t="s">
        <v>105</v>
      </c>
      <c r="J6" s="75">
        <f>IF(AND(catpn_1_AHB_1&gt;0,catpn_1_AHV_40&gt;0),(cattf_1_AHB_1*((dagenperjaar1*VLOOKUP(B6,dagsoorttabel1,2,FALSE))-catfd_1_AHV_40)/catpn_1_AHB_1+cattf_1_AHV_40*catfd_1_AHV_40/catpn_1_AHV_40)/(((dagenperjaar1*VLOOKUP(B6,dagsoorttabel1,2,FALSE))-catfd_1_AHV_40)/catpn_1_AHB_1+catfd_1_AHV_40/catpn_1_AHV_40),0)</f>
        <v>0</v>
      </c>
      <c r="K6" s="72">
        <f>IF(OR(ISBLANK(G6),G6=0),0,F6/ROUND(G6,4))</f>
        <v>0</v>
      </c>
      <c r="L6" s="75">
        <f>ROUND(J6,2)*K6</f>
        <v>0</v>
      </c>
      <c r="M6" s="72">
        <f>K6*dagenperjaar1</f>
        <v>0</v>
      </c>
      <c r="N6" s="75">
        <f>M6*ROUND(J6,2)</f>
        <v>0</v>
      </c>
    </row>
    <row r="7" spans="1:14" x14ac:dyDescent="0.2">
      <c r="A7" s="62" t="s">
        <v>185</v>
      </c>
      <c r="B7" s="62" t="s">
        <v>9</v>
      </c>
      <c r="C7" s="62" t="s">
        <v>183</v>
      </c>
      <c r="D7" s="62" t="s">
        <v>186</v>
      </c>
      <c r="E7" s="76">
        <v>165.6</v>
      </c>
      <c r="F7" s="76">
        <f>E7*VLOOKUP(B7,dagsoorttabel1,2,FALSE)</f>
        <v>331.2</v>
      </c>
      <c r="G7" s="77">
        <f>catpn_1_AHB_1</f>
        <v>0</v>
      </c>
      <c r="H7" s="78">
        <f>catdw_1_AHB_1</f>
        <v>0</v>
      </c>
      <c r="I7" s="62" t="s">
        <v>105</v>
      </c>
      <c r="J7" s="79">
        <f>cattf_1_AHB_1</f>
        <v>0</v>
      </c>
      <c r="K7" s="76">
        <f>IF(OR(ISBLANK(G7),G7=0),0,F7/ROUND(G7,4))</f>
        <v>0</v>
      </c>
      <c r="L7" s="79">
        <f>ROUND(J7,2)*K7</f>
        <v>0</v>
      </c>
      <c r="M7" s="76">
        <f>K7*dagenperjaar1</f>
        <v>0</v>
      </c>
      <c r="N7" s="79">
        <f>M7*ROUND(J7,2)</f>
        <v>0</v>
      </c>
    </row>
    <row r="8" spans="1:14" x14ac:dyDescent="0.2">
      <c r="A8" s="62" t="s">
        <v>187</v>
      </c>
      <c r="B8" s="62" t="s">
        <v>15</v>
      </c>
      <c r="C8" s="62" t="s">
        <v>183</v>
      </c>
      <c r="D8" s="62" t="s">
        <v>188</v>
      </c>
      <c r="E8" s="76">
        <v>525.90000000000009</v>
      </c>
      <c r="F8" s="76">
        <f>E8*VLOOKUP(B8,dagsoorttabel1,2,FALSE)</f>
        <v>262.95000000000005</v>
      </c>
      <c r="G8" s="77">
        <f>IF(AND(catpn_1_BHB_1&gt;0,catpn_1_BZV_40&gt;0),(dagenperjaar1*VLOOKUP(B8,dagsoorttabel1,2,FALSE))/(((dagenperjaar1*VLOOKUP(B8,dagsoorttabel1,2,FALSE))-catfd_1_BZV_40)/catpn_1_BHB_1+catfd_1_BZV_40/catpn_1_BZV_40),0)</f>
        <v>0</v>
      </c>
      <c r="H8" s="78">
        <f>IF(AND(catpn_1_BHB_1&gt;0,catpn_1_BZV_40&gt;0),(catdw_1_BHB_1*((dagenperjaar1*VLOOKUP(B8,dagsoorttabel1,2,FALSE))-catfd_1_BZV_40)/catpn_1_BHB_1+catdw_1_BZV_40*catfd_1_BZV_40/catpn_1_BZV_40)/(((dagenperjaar1*VLOOKUP(B8,dagsoorttabel1,2,FALSE))-catfd_1_BZV_40)/catpn_1_BHB_1+catfd_1_BZV_40/catpn_1_BZV_40),0)</f>
        <v>0</v>
      </c>
      <c r="I8" s="62" t="s">
        <v>105</v>
      </c>
      <c r="J8" s="79">
        <f>IF(AND(catpn_1_BHB_1&gt;0,catpn_1_BZV_40&gt;0),(cattf_1_BHB_1*((dagenperjaar1*VLOOKUP(B8,dagsoorttabel1,2,FALSE))-catfd_1_BZV_40)/catpn_1_BHB_1+cattf_1_BZV_40*catfd_1_BZV_40/catpn_1_BZV_40)/(((dagenperjaar1*VLOOKUP(B8,dagsoorttabel1,2,FALSE))-catfd_1_BZV_40)/catpn_1_BHB_1+catfd_1_BZV_40/catpn_1_BZV_40),0)</f>
        <v>0</v>
      </c>
      <c r="K8" s="76">
        <f>IF(OR(ISBLANK(G8),G8=0),0,F8/ROUND(G8,4))</f>
        <v>0</v>
      </c>
      <c r="L8" s="79">
        <f>ROUND(J8,2)*K8</f>
        <v>0</v>
      </c>
      <c r="M8" s="76">
        <f>K8*dagenperjaar1</f>
        <v>0</v>
      </c>
      <c r="N8" s="79">
        <f>M8*ROUND(J8,2)</f>
        <v>0</v>
      </c>
    </row>
    <row r="9" spans="1:14" x14ac:dyDescent="0.2">
      <c r="A9" s="62" t="s">
        <v>189</v>
      </c>
      <c r="B9" s="62" t="s">
        <v>15</v>
      </c>
      <c r="C9" s="62" t="s">
        <v>183</v>
      </c>
      <c r="D9" s="62" t="s">
        <v>190</v>
      </c>
      <c r="E9" s="76">
        <v>239.6</v>
      </c>
      <c r="F9" s="76">
        <f>E9*VLOOKUP(B9,dagsoorttabel1,2,FALSE)</f>
        <v>119.8</v>
      </c>
      <c r="G9" s="77">
        <f>IF(AND(catpn_1_BZB_1&gt;0,catpn_1_BZV_40&gt;0),(dagenperjaar1*VLOOKUP(B9,dagsoorttabel1,2,FALSE))/(((dagenperjaar1*VLOOKUP(B9,dagsoorttabel1,2,FALSE))-catfd_1_BZV_40)/catpn_1_BZB_1+catfd_1_BZV_40/catpn_1_BZV_40),0)</f>
        <v>0</v>
      </c>
      <c r="H9" s="78">
        <f>IF(AND(catpn_1_BZB_1&gt;0,catpn_1_BZV_40&gt;0),(catdw_1_BZB_1*((dagenperjaar1*VLOOKUP(B9,dagsoorttabel1,2,FALSE))-catfd_1_BZV_40)/catpn_1_BZB_1+catdw_1_BZV_40*catfd_1_BZV_40/catpn_1_BZV_40)/(((dagenperjaar1*VLOOKUP(B9,dagsoorttabel1,2,FALSE))-catfd_1_BZV_40)/catpn_1_BZB_1+catfd_1_BZV_40/catpn_1_BZV_40),0)</f>
        <v>0</v>
      </c>
      <c r="I9" s="62" t="s">
        <v>105</v>
      </c>
      <c r="J9" s="79">
        <f>IF(AND(catpn_1_BZB_1&gt;0,catpn_1_BZV_40&gt;0),(cattf_1_BZB_1*((dagenperjaar1*VLOOKUP(B9,dagsoorttabel1,2,FALSE))-catfd_1_BZV_40)/catpn_1_BZB_1+cattf_1_BZV_40*catfd_1_BZV_40/catpn_1_BZV_40)/(((dagenperjaar1*VLOOKUP(B9,dagsoorttabel1,2,FALSE))-catfd_1_BZV_40)/catpn_1_BZB_1+catfd_1_BZV_40/catpn_1_BZV_40),0)</f>
        <v>0</v>
      </c>
      <c r="K9" s="76">
        <f>IF(OR(ISBLANK(G9),G9=0),0,F9/ROUND(G9,4))</f>
        <v>0</v>
      </c>
      <c r="L9" s="79">
        <f>ROUND(J9,2)*K9</f>
        <v>0</v>
      </c>
      <c r="M9" s="76">
        <f>K9*dagenperjaar1</f>
        <v>0</v>
      </c>
      <c r="N9" s="79">
        <f>M9*ROUND(J9,2)</f>
        <v>0</v>
      </c>
    </row>
    <row r="10" spans="1:14" x14ac:dyDescent="0.2">
      <c r="A10" s="62" t="s">
        <v>191</v>
      </c>
      <c r="B10" s="62" t="s">
        <v>12</v>
      </c>
      <c r="C10" s="62" t="s">
        <v>183</v>
      </c>
      <c r="D10" s="62" t="s">
        <v>192</v>
      </c>
      <c r="E10" s="76">
        <v>10.6</v>
      </c>
      <c r="F10" s="76">
        <f>E10*VLOOKUP(B10,dagsoorttabel1,2,FALSE)</f>
        <v>10.6</v>
      </c>
      <c r="G10" s="77">
        <f>IF(AND(catpn_1_DHB_1&gt;0,catpn_1_DHV_40&gt;0),(dagenperjaar1*VLOOKUP(B10,dagsoorttabel1,2,FALSE))/(((dagenperjaar1*VLOOKUP(B10,dagsoorttabel1,2,FALSE))-catfd_1_DHV_40)/catpn_1_DHB_1+catfd_1_DHV_40/catpn_1_DHV_40),0)</f>
        <v>0</v>
      </c>
      <c r="H10" s="78">
        <f>IF(AND(catpn_1_DHB_1&gt;0,catpn_1_DHV_40&gt;0),(catdw_1_DHB_1*((dagenperjaar1*VLOOKUP(B10,dagsoorttabel1,2,FALSE))-catfd_1_DHV_40)/catpn_1_DHB_1+catdw_1_DHV_40*catfd_1_DHV_40/catpn_1_DHV_40)/(((dagenperjaar1*VLOOKUP(B10,dagsoorttabel1,2,FALSE))-catfd_1_DHV_40)/catpn_1_DHB_1+catfd_1_DHV_40/catpn_1_DHV_40),0)</f>
        <v>0</v>
      </c>
      <c r="I10" s="62" t="s">
        <v>105</v>
      </c>
      <c r="J10" s="79">
        <f>IF(AND(catpn_1_DHB_1&gt;0,catpn_1_DHV_40&gt;0),(cattf_1_DHB_1*((dagenperjaar1*VLOOKUP(B10,dagsoorttabel1,2,FALSE))-catfd_1_DHV_40)/catpn_1_DHB_1+cattf_1_DHV_40*catfd_1_DHV_40/catpn_1_DHV_40)/(((dagenperjaar1*VLOOKUP(B10,dagsoorttabel1,2,FALSE))-catfd_1_DHV_40)/catpn_1_DHB_1+catfd_1_DHV_40/catpn_1_DHV_40),0)</f>
        <v>0</v>
      </c>
      <c r="K10" s="76">
        <f>IF(OR(ISBLANK(G10),G10=0),0,F10/ROUND(G10,4))</f>
        <v>0</v>
      </c>
      <c r="L10" s="79">
        <f>ROUND(J10,2)*K10</f>
        <v>0</v>
      </c>
      <c r="M10" s="76">
        <f>K10*dagenperjaar1</f>
        <v>0</v>
      </c>
      <c r="N10" s="79">
        <f>M10*ROUND(J10,2)</f>
        <v>0</v>
      </c>
    </row>
    <row r="11" spans="1:14" x14ac:dyDescent="0.2">
      <c r="A11" s="62" t="s">
        <v>193</v>
      </c>
      <c r="B11" s="62" t="s">
        <v>12</v>
      </c>
      <c r="C11" s="62" t="s">
        <v>183</v>
      </c>
      <c r="D11" s="62" t="s">
        <v>194</v>
      </c>
      <c r="E11" s="76">
        <v>124</v>
      </c>
      <c r="F11" s="76">
        <f>E11*VLOOKUP(B11,dagsoorttabel1,2,FALSE)</f>
        <v>124</v>
      </c>
      <c r="G11" s="77">
        <f>IF(AND(catpn_1_EZB_1&gt;0,catpn_1_EZV_40&gt;0),(dagenperjaar1*VLOOKUP(B11,dagsoorttabel1,2,FALSE))/(((dagenperjaar1*VLOOKUP(B11,dagsoorttabel1,2,FALSE))-catfd_1_EZV_40)/catpn_1_EZB_1+catfd_1_EZV_40/catpn_1_EZV_40),0)</f>
        <v>0</v>
      </c>
      <c r="H11" s="78">
        <f>IF(AND(catpn_1_EZB_1&gt;0,catpn_1_EZV_40&gt;0),(catdw_1_EZB_1*((dagenperjaar1*VLOOKUP(B11,dagsoorttabel1,2,FALSE))-catfd_1_EZV_40)/catpn_1_EZB_1+catdw_1_EZV_40*catfd_1_EZV_40/catpn_1_EZV_40)/(((dagenperjaar1*VLOOKUP(B11,dagsoorttabel1,2,FALSE))-catfd_1_EZV_40)/catpn_1_EZB_1+catfd_1_EZV_40/catpn_1_EZV_40),0)</f>
        <v>0</v>
      </c>
      <c r="I11" s="62" t="s">
        <v>105</v>
      </c>
      <c r="J11" s="79">
        <f>IF(AND(catpn_1_EZB_1&gt;0,catpn_1_EZV_40&gt;0),(cattf_1_EZB_1*((dagenperjaar1*VLOOKUP(B11,dagsoorttabel1,2,FALSE))-catfd_1_EZV_40)/catpn_1_EZB_1+cattf_1_EZV_40*catfd_1_EZV_40/catpn_1_EZV_40)/(((dagenperjaar1*VLOOKUP(B11,dagsoorttabel1,2,FALSE))-catfd_1_EZV_40)/catpn_1_EZB_1+catfd_1_EZV_40/catpn_1_EZV_40),0)</f>
        <v>0</v>
      </c>
      <c r="K11" s="76">
        <f>IF(OR(ISBLANK(G11),G11=0),0,F11/ROUND(G11,4))</f>
        <v>0</v>
      </c>
      <c r="L11" s="79">
        <f>ROUND(J11,2)*K11</f>
        <v>0</v>
      </c>
      <c r="M11" s="76">
        <f>K11*dagenperjaar1</f>
        <v>0</v>
      </c>
      <c r="N11" s="79">
        <f>M11*ROUND(J11,2)</f>
        <v>0</v>
      </c>
    </row>
    <row r="12" spans="1:14" x14ac:dyDescent="0.2">
      <c r="A12" s="62" t="s">
        <v>193</v>
      </c>
      <c r="B12" s="62" t="s">
        <v>10</v>
      </c>
      <c r="C12" s="62" t="s">
        <v>183</v>
      </c>
      <c r="D12" s="62" t="s">
        <v>194</v>
      </c>
      <c r="E12" s="76">
        <v>24.9</v>
      </c>
      <c r="F12" s="76">
        <f>E12*VLOOKUP(B12,dagsoorttabel1,2,FALSE)</f>
        <v>26.145</v>
      </c>
      <c r="G12" s="77">
        <f>IF(AND(catpn_1_EZB_1&gt;0,catpn_1_EZV_42&gt;0),(dagenperjaar1*VLOOKUP(B12,dagsoorttabel1,2,FALSE))/(((dagenperjaar1*VLOOKUP(B12,dagsoorttabel1,2,FALSE))-catfd_1_EZV_42)/catpn_1_EZB_1+catfd_1_EZV_42/catpn_1_EZV_42),0)</f>
        <v>0</v>
      </c>
      <c r="H12" s="78">
        <f>IF(AND(catpn_1_EZB_1&gt;0,catpn_1_EZV_42&gt;0),(catdw_1_EZB_1*((dagenperjaar1*VLOOKUP(B12,dagsoorttabel1,2,FALSE))-catfd_1_EZV_42)/catpn_1_EZB_1+catdw_1_EZV_42*catfd_1_EZV_42/catpn_1_EZV_42)/(((dagenperjaar1*VLOOKUP(B12,dagsoorttabel1,2,FALSE))-catfd_1_EZV_42)/catpn_1_EZB_1+catfd_1_EZV_42/catpn_1_EZV_42),0)</f>
        <v>0</v>
      </c>
      <c r="I12" s="62" t="s">
        <v>105</v>
      </c>
      <c r="J12" s="79">
        <f>IF(AND(catpn_1_EZB_1&gt;0,catpn_1_EZV_42&gt;0),(cattf_1_EZB_1*((dagenperjaar1*VLOOKUP(B12,dagsoorttabel1,2,FALSE))-catfd_1_EZV_42)/catpn_1_EZB_1+cattf_1_EZV_42*catfd_1_EZV_42/catpn_1_EZV_42)/(((dagenperjaar1*VLOOKUP(B12,dagsoorttabel1,2,FALSE))-catfd_1_EZV_42)/catpn_1_EZB_1+catfd_1_EZV_42/catpn_1_EZV_42),0)</f>
        <v>0</v>
      </c>
      <c r="K12" s="76">
        <f>IF(OR(ISBLANK(G12),G12=0),0,F12/ROUND(G12,4))</f>
        <v>0</v>
      </c>
      <c r="L12" s="79">
        <f>ROUND(J12,2)*K12</f>
        <v>0</v>
      </c>
      <c r="M12" s="76">
        <f>K12*dagenperjaar1</f>
        <v>0</v>
      </c>
      <c r="N12" s="79">
        <f>M12*ROUND(J12,2)</f>
        <v>0</v>
      </c>
    </row>
    <row r="13" spans="1:14" x14ac:dyDescent="0.2">
      <c r="A13" s="62" t="s">
        <v>195</v>
      </c>
      <c r="B13" s="62" t="s">
        <v>12</v>
      </c>
      <c r="C13" s="62" t="s">
        <v>183</v>
      </c>
      <c r="D13" s="62" t="s">
        <v>196</v>
      </c>
      <c r="E13" s="76">
        <v>3</v>
      </c>
      <c r="F13" s="76">
        <f>E13*VLOOKUP(B13,dagsoorttabel1,2,FALSE)</f>
        <v>3</v>
      </c>
      <c r="G13" s="77">
        <f>IF(AND(catpn_1_FHB_1&gt;0,catpn_1_FHV_40&gt;0),(dagenperjaar1*VLOOKUP(B13,dagsoorttabel1,2,FALSE))/(((dagenperjaar1*VLOOKUP(B13,dagsoorttabel1,2,FALSE))-catfd_1_FHV_40)/catpn_1_FHB_1+catfd_1_FHV_40/catpn_1_FHV_40),0)</f>
        <v>0</v>
      </c>
      <c r="H13" s="78">
        <f>IF(AND(catpn_1_FHB_1&gt;0,catpn_1_FHV_40&gt;0),(catdw_1_FHB_1*((dagenperjaar1*VLOOKUP(B13,dagsoorttabel1,2,FALSE))-catfd_1_FHV_40)/catpn_1_FHB_1+catdw_1_FHV_40*catfd_1_FHV_40/catpn_1_FHV_40)/(((dagenperjaar1*VLOOKUP(B13,dagsoorttabel1,2,FALSE))-catfd_1_FHV_40)/catpn_1_FHB_1+catfd_1_FHV_40/catpn_1_FHV_40),0)</f>
        <v>0</v>
      </c>
      <c r="I13" s="62" t="s">
        <v>105</v>
      </c>
      <c r="J13" s="79">
        <f>IF(AND(catpn_1_FHB_1&gt;0,catpn_1_FHV_40&gt;0),(cattf_1_FHB_1*((dagenperjaar1*VLOOKUP(B13,dagsoorttabel1,2,FALSE))-catfd_1_FHV_40)/catpn_1_FHB_1+cattf_1_FHV_40*catfd_1_FHV_40/catpn_1_FHV_40)/(((dagenperjaar1*VLOOKUP(B13,dagsoorttabel1,2,FALSE))-catfd_1_FHV_40)/catpn_1_FHB_1+catfd_1_FHV_40/catpn_1_FHV_40),0)</f>
        <v>0</v>
      </c>
      <c r="K13" s="76">
        <f>IF(OR(ISBLANK(G13),G13=0),0,F13/ROUND(G13,4))</f>
        <v>0</v>
      </c>
      <c r="L13" s="79">
        <f>ROUND(J13,2)*K13</f>
        <v>0</v>
      </c>
      <c r="M13" s="76">
        <f>K13*dagenperjaar1</f>
        <v>0</v>
      </c>
      <c r="N13" s="79">
        <f>M13*ROUND(J13,2)</f>
        <v>0</v>
      </c>
    </row>
    <row r="14" spans="1:14" x14ac:dyDescent="0.2">
      <c r="A14" s="62" t="s">
        <v>197</v>
      </c>
      <c r="B14" s="62" t="s">
        <v>15</v>
      </c>
      <c r="C14" s="62" t="s">
        <v>183</v>
      </c>
      <c r="D14" s="62" t="s">
        <v>198</v>
      </c>
      <c r="E14" s="76">
        <v>2516.3999999999996</v>
      </c>
      <c r="F14" s="76">
        <f>E14*VLOOKUP(B14,dagsoorttabel1,2,FALSE)</f>
        <v>1258.1999999999998</v>
      </c>
      <c r="G14" s="77">
        <f>IF(AND(catpn_1_LHB_1&gt;0,catpn_1_LHV_40&gt;0),(dagenperjaar1*VLOOKUP(B14,dagsoorttabel1,2,FALSE))/(((dagenperjaar1*VLOOKUP(B14,dagsoorttabel1,2,FALSE))-catfd_1_LHV_40)/catpn_1_LHB_1+catfd_1_LHV_40/catpn_1_LHV_40),0)</f>
        <v>0</v>
      </c>
      <c r="H14" s="78">
        <f>IF(AND(catpn_1_LHB_1&gt;0,catpn_1_LHV_40&gt;0),(catdw_1_LHB_1*((dagenperjaar1*VLOOKUP(B14,dagsoorttabel1,2,FALSE))-catfd_1_LHV_40)/catpn_1_LHB_1+catdw_1_LHV_40*catfd_1_LHV_40/catpn_1_LHV_40)/(((dagenperjaar1*VLOOKUP(B14,dagsoorttabel1,2,FALSE))-catfd_1_LHV_40)/catpn_1_LHB_1+catfd_1_LHV_40/catpn_1_LHV_40),0)</f>
        <v>0</v>
      </c>
      <c r="I14" s="62" t="s">
        <v>105</v>
      </c>
      <c r="J14" s="79">
        <f>IF(AND(catpn_1_LHB_1&gt;0,catpn_1_LHV_40&gt;0),(cattf_1_LHB_1*((dagenperjaar1*VLOOKUP(B14,dagsoorttabel1,2,FALSE))-catfd_1_LHV_40)/catpn_1_LHB_1+cattf_1_LHV_40*catfd_1_LHV_40/catpn_1_LHV_40)/(((dagenperjaar1*VLOOKUP(B14,dagsoorttabel1,2,FALSE))-catfd_1_LHV_40)/catpn_1_LHB_1+catfd_1_LHV_40/catpn_1_LHV_40),0)</f>
        <v>0</v>
      </c>
      <c r="K14" s="76">
        <f>IF(OR(ISBLANK(G14),G14=0),0,F14/ROUND(G14,4))</f>
        <v>0</v>
      </c>
      <c r="L14" s="79">
        <f>ROUND(J14,2)*K14</f>
        <v>0</v>
      </c>
      <c r="M14" s="76">
        <f>K14*dagenperjaar1</f>
        <v>0</v>
      </c>
      <c r="N14" s="79">
        <f>M14*ROUND(J14,2)</f>
        <v>0</v>
      </c>
    </row>
    <row r="15" spans="1:14" x14ac:dyDescent="0.2">
      <c r="A15" s="62" t="s">
        <v>199</v>
      </c>
      <c r="B15" s="62" t="s">
        <v>15</v>
      </c>
      <c r="C15" s="62" t="s">
        <v>183</v>
      </c>
      <c r="D15" s="62" t="s">
        <v>200</v>
      </c>
      <c r="E15" s="76">
        <v>3</v>
      </c>
      <c r="F15" s="76">
        <f>E15*VLOOKUP(B15,dagsoorttabel1,2,FALSE)</f>
        <v>1.5</v>
      </c>
      <c r="G15" s="77">
        <f>IF(AND(catpn_1_LZB_1&gt;0,catpn_1_LZV_40&gt;0),(dagenperjaar1*VLOOKUP(B15,dagsoorttabel1,2,FALSE))/(((dagenperjaar1*VLOOKUP(B15,dagsoorttabel1,2,FALSE))-catfd_1_LZV_40)/catpn_1_LZB_1+catfd_1_LZV_40/catpn_1_LZV_40),0)</f>
        <v>0</v>
      </c>
      <c r="H15" s="78">
        <f>IF(AND(catpn_1_LZB_1&gt;0,catpn_1_LZV_40&gt;0),(catdw_1_LZB_1*((dagenperjaar1*VLOOKUP(B15,dagsoorttabel1,2,FALSE))-catfd_1_LZV_40)/catpn_1_LZB_1+catdw_1_LZV_40*catfd_1_LZV_40/catpn_1_LZV_40)/(((dagenperjaar1*VLOOKUP(B15,dagsoorttabel1,2,FALSE))-catfd_1_LZV_40)/catpn_1_LZB_1+catfd_1_LZV_40/catpn_1_LZV_40),0)</f>
        <v>0</v>
      </c>
      <c r="I15" s="62" t="s">
        <v>105</v>
      </c>
      <c r="J15" s="79">
        <f>IF(AND(catpn_1_LZB_1&gt;0,catpn_1_LZV_40&gt;0),(cattf_1_LZB_1*((dagenperjaar1*VLOOKUP(B15,dagsoorttabel1,2,FALSE))-catfd_1_LZV_40)/catpn_1_LZB_1+cattf_1_LZV_40*catfd_1_LZV_40/catpn_1_LZV_40)/(((dagenperjaar1*VLOOKUP(B15,dagsoorttabel1,2,FALSE))-catfd_1_LZV_40)/catpn_1_LZB_1+catfd_1_LZV_40/catpn_1_LZV_40),0)</f>
        <v>0</v>
      </c>
      <c r="K15" s="76">
        <f>IF(OR(ISBLANK(G15),G15=0),0,F15/ROUND(G15,4))</f>
        <v>0</v>
      </c>
      <c r="L15" s="79">
        <f>ROUND(J15,2)*K15</f>
        <v>0</v>
      </c>
      <c r="M15" s="76">
        <f>K15*dagenperjaar1</f>
        <v>0</v>
      </c>
      <c r="N15" s="79">
        <f>M15*ROUND(J15,2)</f>
        <v>0</v>
      </c>
    </row>
    <row r="16" spans="1:14" x14ac:dyDescent="0.2">
      <c r="A16" s="62" t="s">
        <v>201</v>
      </c>
      <c r="B16" s="62" t="s">
        <v>12</v>
      </c>
      <c r="C16" s="62" t="s">
        <v>183</v>
      </c>
      <c r="D16" s="62" t="s">
        <v>202</v>
      </c>
      <c r="E16" s="76">
        <v>148</v>
      </c>
      <c r="F16" s="76">
        <f>E16*VLOOKUP(B16,dagsoorttabel1,2,FALSE)</f>
        <v>148</v>
      </c>
      <c r="G16" s="77">
        <f>IF(AND(catpn_1_MHB_1&gt;0,catpn_1_MHV_40&gt;0),(dagenperjaar1*VLOOKUP(B16,dagsoorttabel1,2,FALSE))/(((dagenperjaar1*VLOOKUP(B16,dagsoorttabel1,2,FALSE))-catfd_1_MHV_40)/catpn_1_MHB_1+catfd_1_MHV_40/catpn_1_MHV_40),0)</f>
        <v>0</v>
      </c>
      <c r="H16" s="78">
        <f>IF(AND(catpn_1_MHB_1&gt;0,catpn_1_MHV_40&gt;0),(catdw_1_MHB_1*((dagenperjaar1*VLOOKUP(B16,dagsoorttabel1,2,FALSE))-catfd_1_MHV_40)/catpn_1_MHB_1+catdw_1_MHV_40*catfd_1_MHV_40/catpn_1_MHV_40)/(((dagenperjaar1*VLOOKUP(B16,dagsoorttabel1,2,FALSE))-catfd_1_MHV_40)/catpn_1_MHB_1+catfd_1_MHV_40/catpn_1_MHV_40),0)</f>
        <v>0</v>
      </c>
      <c r="I16" s="62" t="s">
        <v>105</v>
      </c>
      <c r="J16" s="79">
        <f>IF(AND(catpn_1_MHB_1&gt;0,catpn_1_MHV_40&gt;0),(cattf_1_MHB_1*((dagenperjaar1*VLOOKUP(B16,dagsoorttabel1,2,FALSE))-catfd_1_MHV_40)/catpn_1_MHB_1+cattf_1_MHV_40*catfd_1_MHV_40/catpn_1_MHV_40)/(((dagenperjaar1*VLOOKUP(B16,dagsoorttabel1,2,FALSE))-catfd_1_MHV_40)/catpn_1_MHB_1+catfd_1_MHV_40/catpn_1_MHV_40),0)</f>
        <v>0</v>
      </c>
      <c r="K16" s="76">
        <f>IF(OR(ISBLANK(G16),G16=0),0,F16/ROUND(G16,4))</f>
        <v>0</v>
      </c>
      <c r="L16" s="79">
        <f>ROUND(J16,2)*K16</f>
        <v>0</v>
      </c>
      <c r="M16" s="76">
        <f>K16*dagenperjaar1</f>
        <v>0</v>
      </c>
      <c r="N16" s="79">
        <f>M16*ROUND(J16,2)</f>
        <v>0</v>
      </c>
    </row>
    <row r="17" spans="1:14" x14ac:dyDescent="0.2">
      <c r="A17" s="62" t="s">
        <v>203</v>
      </c>
      <c r="B17" s="62" t="s">
        <v>12</v>
      </c>
      <c r="C17" s="62" t="s">
        <v>183</v>
      </c>
      <c r="D17" s="62" t="s">
        <v>204</v>
      </c>
      <c r="E17" s="76">
        <v>132</v>
      </c>
      <c r="F17" s="76">
        <f>E17*VLOOKUP(B17,dagsoorttabel1,2,FALSE)</f>
        <v>132</v>
      </c>
      <c r="G17" s="77">
        <f>IF(AND(catpn_1_MZB_1&gt;0,catpn_1_MZV_40&gt;0),(dagenperjaar1*VLOOKUP(B17,dagsoorttabel1,2,FALSE))/(((dagenperjaar1*VLOOKUP(B17,dagsoorttabel1,2,FALSE))-catfd_1_MZV_40)/catpn_1_MZB_1+catfd_1_MZV_40/catpn_1_MZV_40),0)</f>
        <v>0</v>
      </c>
      <c r="H17" s="78">
        <f>IF(AND(catpn_1_MZB_1&gt;0,catpn_1_MZV_40&gt;0),(catdw_1_MZB_1*((dagenperjaar1*VLOOKUP(B17,dagsoorttabel1,2,FALSE))-catfd_1_MZV_40)/catpn_1_MZB_1+catdw_1_MZV_40*catfd_1_MZV_40/catpn_1_MZV_40)/(((dagenperjaar1*VLOOKUP(B17,dagsoorttabel1,2,FALSE))-catfd_1_MZV_40)/catpn_1_MZB_1+catfd_1_MZV_40/catpn_1_MZV_40),0)</f>
        <v>0</v>
      </c>
      <c r="I17" s="62" t="s">
        <v>105</v>
      </c>
      <c r="J17" s="79">
        <f>IF(AND(catpn_1_MZB_1&gt;0,catpn_1_MZV_40&gt;0),(cattf_1_MZB_1*((dagenperjaar1*VLOOKUP(B17,dagsoorttabel1,2,FALSE))-catfd_1_MZV_40)/catpn_1_MZB_1+cattf_1_MZV_40*catfd_1_MZV_40/catpn_1_MZV_40)/(((dagenperjaar1*VLOOKUP(B17,dagsoorttabel1,2,FALSE))-catfd_1_MZV_40)/catpn_1_MZB_1+catfd_1_MZV_40/catpn_1_MZV_40),0)</f>
        <v>0</v>
      </c>
      <c r="K17" s="76">
        <f>IF(OR(ISBLANK(G17),G17=0),0,F17/ROUND(G17,4))</f>
        <v>0</v>
      </c>
      <c r="L17" s="79">
        <f>ROUND(J17,2)*K17</f>
        <v>0</v>
      </c>
      <c r="M17" s="76">
        <f>K17*dagenperjaar1</f>
        <v>0</v>
      </c>
      <c r="N17" s="79">
        <f>M17*ROUND(J17,2)</f>
        <v>0</v>
      </c>
    </row>
    <row r="18" spans="1:14" x14ac:dyDescent="0.2">
      <c r="A18" s="62" t="s">
        <v>205</v>
      </c>
      <c r="B18" s="62" t="s">
        <v>12</v>
      </c>
      <c r="C18" s="62" t="s">
        <v>183</v>
      </c>
      <c r="D18" s="62" t="s">
        <v>206</v>
      </c>
      <c r="E18" s="76">
        <v>2</v>
      </c>
      <c r="F18" s="76">
        <f>E18*VLOOKUP(B18,dagsoorttabel1,2,FALSE)</f>
        <v>2</v>
      </c>
      <c r="G18" s="77">
        <f>IF(AND(catpn_1_PHB_1&gt;0,catpn_1_PHV_40&gt;0),(dagenperjaar1*VLOOKUP(B18,dagsoorttabel1,2,FALSE))/(((dagenperjaar1*VLOOKUP(B18,dagsoorttabel1,2,FALSE))-catfd_1_PHV_40)/catpn_1_PHB_1+catfd_1_PHV_40/catpn_1_PHV_40),0)</f>
        <v>0</v>
      </c>
      <c r="H18" s="78">
        <f>IF(AND(catpn_1_PHB_1&gt;0,catpn_1_PHV_40&gt;0),(catdw_1_PHB_1*((dagenperjaar1*VLOOKUP(B18,dagsoorttabel1,2,FALSE))-catfd_1_PHV_40)/catpn_1_PHB_1+catdw_1_PHV_40*catfd_1_PHV_40/catpn_1_PHV_40)/(((dagenperjaar1*VLOOKUP(B18,dagsoorttabel1,2,FALSE))-catfd_1_PHV_40)/catpn_1_PHB_1+catfd_1_PHV_40/catpn_1_PHV_40),0)</f>
        <v>0</v>
      </c>
      <c r="I18" s="62" t="s">
        <v>105</v>
      </c>
      <c r="J18" s="79">
        <f>IF(AND(catpn_1_PHB_1&gt;0,catpn_1_PHV_40&gt;0),(cattf_1_PHB_1*((dagenperjaar1*VLOOKUP(B18,dagsoorttabel1,2,FALSE))-catfd_1_PHV_40)/catpn_1_PHB_1+cattf_1_PHV_40*catfd_1_PHV_40/catpn_1_PHV_40)/(((dagenperjaar1*VLOOKUP(B18,dagsoorttabel1,2,FALSE))-catfd_1_PHV_40)/catpn_1_PHB_1+catfd_1_PHV_40/catpn_1_PHV_40),0)</f>
        <v>0</v>
      </c>
      <c r="K18" s="76">
        <f>IF(OR(ISBLANK(G18),G18=0),0,F18/ROUND(G18,4))</f>
        <v>0</v>
      </c>
      <c r="L18" s="79">
        <f>ROUND(J18,2)*K18</f>
        <v>0</v>
      </c>
      <c r="M18" s="76">
        <f>K18*dagenperjaar1</f>
        <v>0</v>
      </c>
      <c r="N18" s="79">
        <f>M18*ROUND(J18,2)</f>
        <v>0</v>
      </c>
    </row>
    <row r="19" spans="1:14" x14ac:dyDescent="0.2">
      <c r="A19" s="62" t="s">
        <v>207</v>
      </c>
      <c r="B19" s="62" t="s">
        <v>15</v>
      </c>
      <c r="C19" s="62" t="s">
        <v>183</v>
      </c>
      <c r="D19" s="62" t="s">
        <v>208</v>
      </c>
      <c r="E19" s="76">
        <v>332.20000000000005</v>
      </c>
      <c r="F19" s="76">
        <f>E19*VLOOKUP(B19,dagsoorttabel1,2,FALSE)</f>
        <v>166.10000000000002</v>
      </c>
      <c r="G19" s="77">
        <f>IF(AND(catpn_1_PMHB_1&gt;0,catpn_1_PMHV_40&gt;0),(dagenperjaar1*VLOOKUP(B19,dagsoorttabel1,2,FALSE))/(((dagenperjaar1*VLOOKUP(B19,dagsoorttabel1,2,FALSE))-catfd_1_PMHV_40)/catpn_1_PMHB_1+catfd_1_PMHV_40/catpn_1_PMHV_40),0)</f>
        <v>0</v>
      </c>
      <c r="H19" s="78">
        <f>IF(AND(catpn_1_PMHB_1&gt;0,catpn_1_PMHV_40&gt;0),(catdw_1_PMHB_1*((dagenperjaar1*VLOOKUP(B19,dagsoorttabel1,2,FALSE))-catfd_1_PMHV_40)/catpn_1_PMHB_1+catdw_1_PMHV_40*catfd_1_PMHV_40/catpn_1_PMHV_40)/(((dagenperjaar1*VLOOKUP(B19,dagsoorttabel1,2,FALSE))-catfd_1_PMHV_40)/catpn_1_PMHB_1+catfd_1_PMHV_40/catpn_1_PMHV_40),0)</f>
        <v>0</v>
      </c>
      <c r="I19" s="62" t="s">
        <v>105</v>
      </c>
      <c r="J19" s="79">
        <f>IF(AND(catpn_1_PMHB_1&gt;0,catpn_1_PMHV_40&gt;0),(cattf_1_PMHB_1*((dagenperjaar1*VLOOKUP(B19,dagsoorttabel1,2,FALSE))-catfd_1_PMHV_40)/catpn_1_PMHB_1+cattf_1_PMHV_40*catfd_1_PMHV_40/catpn_1_PMHV_40)/(((dagenperjaar1*VLOOKUP(B19,dagsoorttabel1,2,FALSE))-catfd_1_PMHV_40)/catpn_1_PMHB_1+catfd_1_PMHV_40/catpn_1_PMHV_40),0)</f>
        <v>0</v>
      </c>
      <c r="K19" s="76">
        <f>IF(OR(ISBLANK(G19),G19=0),0,F19/ROUND(G19,4))</f>
        <v>0</v>
      </c>
      <c r="L19" s="79">
        <f>ROUND(J19,2)*K19</f>
        <v>0</v>
      </c>
      <c r="M19" s="76">
        <f>K19*dagenperjaar1</f>
        <v>0</v>
      </c>
      <c r="N19" s="79">
        <f>M19*ROUND(J19,2)</f>
        <v>0</v>
      </c>
    </row>
    <row r="20" spans="1:14" x14ac:dyDescent="0.2">
      <c r="A20" s="62" t="s">
        <v>209</v>
      </c>
      <c r="B20" s="62" t="s">
        <v>15</v>
      </c>
      <c r="C20" s="62" t="s">
        <v>183</v>
      </c>
      <c r="D20" s="62" t="s">
        <v>210</v>
      </c>
      <c r="E20" s="76">
        <v>327.40000000000003</v>
      </c>
      <c r="F20" s="76">
        <f>E20*VLOOKUP(B20,dagsoorttabel1,2,FALSE)</f>
        <v>163.70000000000002</v>
      </c>
      <c r="G20" s="77">
        <f>IF(AND(catpn_1_PUHB_1&gt;0,catpn_1_PUHV_40&gt;0),(dagenperjaar1*VLOOKUP(B20,dagsoorttabel1,2,FALSE))/(((dagenperjaar1*VLOOKUP(B20,dagsoorttabel1,2,FALSE))-catfd_1_PUHV_40)/catpn_1_PUHB_1+catfd_1_PUHV_40/catpn_1_PUHV_40),0)</f>
        <v>0</v>
      </c>
      <c r="H20" s="78">
        <f>IF(AND(catpn_1_PUHB_1&gt;0,catpn_1_PUHV_40&gt;0),(catdw_1_PUHB_1*((dagenperjaar1*VLOOKUP(B20,dagsoorttabel1,2,FALSE))-catfd_1_PUHV_40)/catpn_1_PUHB_1+catdw_1_PUHV_40*catfd_1_PUHV_40/catpn_1_PUHV_40)/(((dagenperjaar1*VLOOKUP(B20,dagsoorttabel1,2,FALSE))-catfd_1_PUHV_40)/catpn_1_PUHB_1+catfd_1_PUHV_40/catpn_1_PUHV_40),0)</f>
        <v>0</v>
      </c>
      <c r="I20" s="62" t="s">
        <v>105</v>
      </c>
      <c r="J20" s="79">
        <f>IF(AND(catpn_1_PUHB_1&gt;0,catpn_1_PUHV_40&gt;0),(cattf_1_PUHB_1*((dagenperjaar1*VLOOKUP(B20,dagsoorttabel1,2,FALSE))-catfd_1_PUHV_40)/catpn_1_PUHB_1+cattf_1_PUHV_40*catfd_1_PUHV_40/catpn_1_PUHV_40)/(((dagenperjaar1*VLOOKUP(B20,dagsoorttabel1,2,FALSE))-catfd_1_PUHV_40)/catpn_1_PUHB_1+catfd_1_PUHV_40/catpn_1_PUHV_40),0)</f>
        <v>0</v>
      </c>
      <c r="K20" s="76">
        <f>IF(OR(ISBLANK(G20),G20=0),0,F20/ROUND(G20,4))</f>
        <v>0</v>
      </c>
      <c r="L20" s="79">
        <f>ROUND(J20,2)*K20</f>
        <v>0</v>
      </c>
      <c r="M20" s="76">
        <f>K20*dagenperjaar1</f>
        <v>0</v>
      </c>
      <c r="N20" s="79">
        <f>M20*ROUND(J20,2)</f>
        <v>0</v>
      </c>
    </row>
    <row r="21" spans="1:14" x14ac:dyDescent="0.2">
      <c r="A21" s="62" t="s">
        <v>211</v>
      </c>
      <c r="B21" s="62" t="s">
        <v>12</v>
      </c>
      <c r="C21" s="62" t="s">
        <v>183</v>
      </c>
      <c r="D21" s="62" t="s">
        <v>212</v>
      </c>
      <c r="E21" s="76">
        <v>165.5</v>
      </c>
      <c r="F21" s="76">
        <f>E21*VLOOKUP(B21,dagsoorttabel1,2,FALSE)</f>
        <v>165.5</v>
      </c>
      <c r="G21" s="77">
        <f>IF(AND(catpn_1_SHB_1&gt;0,catpn_1_SHV_40&gt;0),(dagenperjaar1*VLOOKUP(B21,dagsoorttabel1,2,FALSE))/(((dagenperjaar1*VLOOKUP(B21,dagsoorttabel1,2,FALSE))-catfd_1_SHV_40)/catpn_1_SHB_1+catfd_1_SHV_40/catpn_1_SHV_40),0)</f>
        <v>0</v>
      </c>
      <c r="H21" s="78">
        <f>IF(AND(catpn_1_SHB_1&gt;0,catpn_1_SHV_40&gt;0),(catdw_1_SHB_1*((dagenperjaar1*VLOOKUP(B21,dagsoorttabel1,2,FALSE))-catfd_1_SHV_40)/catpn_1_SHB_1+catdw_1_SHV_40*catfd_1_SHV_40/catpn_1_SHV_40)/(((dagenperjaar1*VLOOKUP(B21,dagsoorttabel1,2,FALSE))-catfd_1_SHV_40)/catpn_1_SHB_1+catfd_1_SHV_40/catpn_1_SHV_40),0)</f>
        <v>0</v>
      </c>
      <c r="I21" s="62" t="s">
        <v>105</v>
      </c>
      <c r="J21" s="79">
        <f>IF(AND(catpn_1_SHB_1&gt;0,catpn_1_SHV_40&gt;0),(cattf_1_SHB_1*((dagenperjaar1*VLOOKUP(B21,dagsoorttabel1,2,FALSE))-catfd_1_SHV_40)/catpn_1_SHB_1+cattf_1_SHV_40*catfd_1_SHV_40/catpn_1_SHV_40)/(((dagenperjaar1*VLOOKUP(B21,dagsoorttabel1,2,FALSE))-catfd_1_SHV_40)/catpn_1_SHB_1+catfd_1_SHV_40/catpn_1_SHV_40),0)</f>
        <v>0</v>
      </c>
      <c r="K21" s="76">
        <f>IF(OR(ISBLANK(G21),G21=0),0,F21/ROUND(G21,4))</f>
        <v>0</v>
      </c>
      <c r="L21" s="79">
        <f>ROUND(J21,2)*K21</f>
        <v>0</v>
      </c>
      <c r="M21" s="76">
        <f>K21*dagenperjaar1</f>
        <v>0</v>
      </c>
      <c r="N21" s="79">
        <f>M21*ROUND(J21,2)</f>
        <v>0</v>
      </c>
    </row>
    <row r="22" spans="1:14" x14ac:dyDescent="0.2">
      <c r="A22" s="62" t="s">
        <v>211</v>
      </c>
      <c r="B22" s="62" t="s">
        <v>10</v>
      </c>
      <c r="C22" s="62" t="s">
        <v>183</v>
      </c>
      <c r="D22" s="62" t="s">
        <v>212</v>
      </c>
      <c r="E22" s="76">
        <v>27.1</v>
      </c>
      <c r="F22" s="76">
        <f>E22*VLOOKUP(B22,dagsoorttabel1,2,FALSE)</f>
        <v>28.455000000000002</v>
      </c>
      <c r="G22" s="77">
        <f>IF(AND(catpn_1_SHB_1&gt;0,catpn_1_SHV_42&gt;0),(dagenperjaar1*VLOOKUP(B22,dagsoorttabel1,2,FALSE))/(((dagenperjaar1*VLOOKUP(B22,dagsoorttabel1,2,FALSE))-catfd_1_SHV_42)/catpn_1_SHB_1+catfd_1_SHV_42/catpn_1_SHV_42),0)</f>
        <v>0</v>
      </c>
      <c r="H22" s="78">
        <f>IF(AND(catpn_1_SHB_1&gt;0,catpn_1_SHV_42&gt;0),(catdw_1_SHB_1*((dagenperjaar1*VLOOKUP(B22,dagsoorttabel1,2,FALSE))-catfd_1_SHV_42)/catpn_1_SHB_1+catdw_1_SHV_42*catfd_1_SHV_42/catpn_1_SHV_42)/(((dagenperjaar1*VLOOKUP(B22,dagsoorttabel1,2,FALSE))-catfd_1_SHV_42)/catpn_1_SHB_1+catfd_1_SHV_42/catpn_1_SHV_42),0)</f>
        <v>0</v>
      </c>
      <c r="I22" s="62" t="s">
        <v>105</v>
      </c>
      <c r="J22" s="79">
        <f>IF(AND(catpn_1_SHB_1&gt;0,catpn_1_SHV_42&gt;0),(cattf_1_SHB_1*((dagenperjaar1*VLOOKUP(B22,dagsoorttabel1,2,FALSE))-catfd_1_SHV_42)/catpn_1_SHB_1+cattf_1_SHV_42*catfd_1_SHV_42/catpn_1_SHV_42)/(((dagenperjaar1*VLOOKUP(B22,dagsoorttabel1,2,FALSE))-catfd_1_SHV_42)/catpn_1_SHB_1+catfd_1_SHV_42/catpn_1_SHV_42),0)</f>
        <v>0</v>
      </c>
      <c r="K22" s="76">
        <f>IF(OR(ISBLANK(G22),G22=0),0,F22/ROUND(G22,4))</f>
        <v>0</v>
      </c>
      <c r="L22" s="79">
        <f>ROUND(J22,2)*K22</f>
        <v>0</v>
      </c>
      <c r="M22" s="76">
        <f>K22*dagenperjaar1</f>
        <v>0</v>
      </c>
      <c r="N22" s="79">
        <f>M22*ROUND(J22,2)</f>
        <v>0</v>
      </c>
    </row>
    <row r="23" spans="1:14" x14ac:dyDescent="0.2">
      <c r="A23" s="62" t="s">
        <v>213</v>
      </c>
      <c r="B23" s="62" t="s">
        <v>12</v>
      </c>
      <c r="C23" s="62" t="s">
        <v>183</v>
      </c>
      <c r="D23" s="62" t="s">
        <v>214</v>
      </c>
      <c r="E23" s="76">
        <v>130.9</v>
      </c>
      <c r="F23" s="76">
        <f>E23*VLOOKUP(B23,dagsoorttabel1,2,FALSE)</f>
        <v>130.9</v>
      </c>
      <c r="G23" s="77">
        <f>catpn_1_SHB_1</f>
        <v>0</v>
      </c>
      <c r="H23" s="78">
        <f>catdw_1_SHB_1</f>
        <v>0</v>
      </c>
      <c r="I23" s="62" t="s">
        <v>105</v>
      </c>
      <c r="J23" s="79">
        <f>cattf_1_SHB_1</f>
        <v>0</v>
      </c>
      <c r="K23" s="76">
        <f>IF(OR(ISBLANK(G23),G23=0),0,F23/ROUND(G23,4))</f>
        <v>0</v>
      </c>
      <c r="L23" s="79">
        <f>ROUND(J23,2)*K23</f>
        <v>0</v>
      </c>
      <c r="M23" s="76">
        <f>K23*dagenperjaar1</f>
        <v>0</v>
      </c>
      <c r="N23" s="79">
        <f>M23*ROUND(J23,2)</f>
        <v>0</v>
      </c>
    </row>
    <row r="24" spans="1:14" x14ac:dyDescent="0.2">
      <c r="A24" s="62" t="s">
        <v>213</v>
      </c>
      <c r="B24" s="62" t="s">
        <v>9</v>
      </c>
      <c r="C24" s="62" t="s">
        <v>183</v>
      </c>
      <c r="D24" s="62" t="s">
        <v>214</v>
      </c>
      <c r="E24" s="76">
        <v>24.5</v>
      </c>
      <c r="F24" s="76">
        <f>E24*VLOOKUP(B24,dagsoorttabel1,2,FALSE)</f>
        <v>49</v>
      </c>
      <c r="G24" s="77">
        <f>catpn_1_SHB_1</f>
        <v>0</v>
      </c>
      <c r="H24" s="78">
        <f>catdw_1_SHB_1</f>
        <v>0</v>
      </c>
      <c r="I24" s="62" t="s">
        <v>105</v>
      </c>
      <c r="J24" s="79">
        <f>cattf_1_SHB_1</f>
        <v>0</v>
      </c>
      <c r="K24" s="76">
        <f>IF(OR(ISBLANK(G24),G24=0),0,F24/ROUND(G24,4))</f>
        <v>0</v>
      </c>
      <c r="L24" s="79">
        <f>ROUND(J24,2)*K24</f>
        <v>0</v>
      </c>
      <c r="M24" s="76">
        <f>K24*dagenperjaar1</f>
        <v>0</v>
      </c>
      <c r="N24" s="79">
        <f>M24*ROUND(J24,2)</f>
        <v>0</v>
      </c>
    </row>
    <row r="25" spans="1:14" x14ac:dyDescent="0.2">
      <c r="A25" s="62" t="s">
        <v>215</v>
      </c>
      <c r="B25" s="62" t="s">
        <v>12</v>
      </c>
      <c r="C25" s="62" t="s">
        <v>183</v>
      </c>
      <c r="D25" s="62" t="s">
        <v>216</v>
      </c>
      <c r="E25" s="76">
        <v>249.79999999999998</v>
      </c>
      <c r="F25" s="76">
        <f>E25*VLOOKUP(B25,dagsoorttabel1,2,FALSE)</f>
        <v>249.79999999999998</v>
      </c>
      <c r="G25" s="77">
        <f>IF(AND(catpn_1_THB_1&gt;0,catpn_1_THV_40&gt;0),(dagenperjaar1*VLOOKUP(B25,dagsoorttabel1,2,FALSE))/(((dagenperjaar1*VLOOKUP(B25,dagsoorttabel1,2,FALSE))-catfd_1_THV_40)/catpn_1_THB_1+catfd_1_THV_40/catpn_1_THV_40),0)</f>
        <v>0</v>
      </c>
      <c r="H25" s="78">
        <f>IF(AND(catpn_1_THB_1&gt;0,catpn_1_THV_40&gt;0),(catdw_1_THB_1*((dagenperjaar1*VLOOKUP(B25,dagsoorttabel1,2,FALSE))-catfd_1_THV_40)/catpn_1_THB_1+catdw_1_THV_40*catfd_1_THV_40/catpn_1_THV_40)/(((dagenperjaar1*VLOOKUP(B25,dagsoorttabel1,2,FALSE))-catfd_1_THV_40)/catpn_1_THB_1+catfd_1_THV_40/catpn_1_THV_40),0)</f>
        <v>0</v>
      </c>
      <c r="I25" s="62" t="s">
        <v>105</v>
      </c>
      <c r="J25" s="79">
        <f>IF(AND(catpn_1_THB_1&gt;0,catpn_1_THV_40&gt;0),(cattf_1_THB_1*((dagenperjaar1*VLOOKUP(B25,dagsoorttabel1,2,FALSE))-catfd_1_THV_40)/catpn_1_THB_1+cattf_1_THV_40*catfd_1_THV_40/catpn_1_THV_40)/(((dagenperjaar1*VLOOKUP(B25,dagsoorttabel1,2,FALSE))-catfd_1_THV_40)/catpn_1_THB_1+catfd_1_THV_40/catpn_1_THV_40),0)</f>
        <v>0</v>
      </c>
      <c r="K25" s="76">
        <f>IF(OR(ISBLANK(G25),G25=0),0,F25/ROUND(G25,4))</f>
        <v>0</v>
      </c>
      <c r="L25" s="79">
        <f>ROUND(J25,2)*K25</f>
        <v>0</v>
      </c>
      <c r="M25" s="76">
        <f>K25*dagenperjaar1</f>
        <v>0</v>
      </c>
      <c r="N25" s="79">
        <f>M25*ROUND(J25,2)</f>
        <v>0</v>
      </c>
    </row>
    <row r="26" spans="1:14" x14ac:dyDescent="0.2">
      <c r="A26" s="62" t="s">
        <v>217</v>
      </c>
      <c r="B26" s="62" t="s">
        <v>12</v>
      </c>
      <c r="C26" s="62" t="s">
        <v>183</v>
      </c>
      <c r="D26" s="62" t="s">
        <v>218</v>
      </c>
      <c r="E26" s="76">
        <v>1812</v>
      </c>
      <c r="F26" s="76">
        <f>E26*VLOOKUP(B26,dagsoorttabel1,2,FALSE)</f>
        <v>1812</v>
      </c>
      <c r="G26" s="77">
        <f>IF(AND(catpn_1_VHB_1&gt;0,catpn_1_VHV_40&gt;0),(dagenperjaar1*VLOOKUP(B26,dagsoorttabel1,2,FALSE))/(((dagenperjaar1*VLOOKUP(B26,dagsoorttabel1,2,FALSE))-catfd_1_VHV_40)/catpn_1_VHB_1+catfd_1_VHV_40/catpn_1_VHV_40),0)</f>
        <v>0</v>
      </c>
      <c r="H26" s="78">
        <f>IF(AND(catpn_1_VHB_1&gt;0,catpn_1_VHV_40&gt;0),(catdw_1_VHB_1*((dagenperjaar1*VLOOKUP(B26,dagsoorttabel1,2,FALSE))-catfd_1_VHV_40)/catpn_1_VHB_1+catdw_1_VHV_40*catfd_1_VHV_40/catpn_1_VHV_40)/(((dagenperjaar1*VLOOKUP(B26,dagsoorttabel1,2,FALSE))-catfd_1_VHV_40)/catpn_1_VHB_1+catfd_1_VHV_40/catpn_1_VHV_40),0)</f>
        <v>0</v>
      </c>
      <c r="I26" s="62" t="s">
        <v>105</v>
      </c>
      <c r="J26" s="79">
        <f>IF(AND(catpn_1_VHB_1&gt;0,catpn_1_VHV_40&gt;0),(cattf_1_VHB_1*((dagenperjaar1*VLOOKUP(B26,dagsoorttabel1,2,FALSE))-catfd_1_VHV_40)/catpn_1_VHB_1+cattf_1_VHV_40*catfd_1_VHV_40/catpn_1_VHV_40)/(((dagenperjaar1*VLOOKUP(B26,dagsoorttabel1,2,FALSE))-catfd_1_VHV_40)/catpn_1_VHB_1+catfd_1_VHV_40/catpn_1_VHV_40),0)</f>
        <v>0</v>
      </c>
      <c r="K26" s="76">
        <f>IF(OR(ISBLANK(G26),G26=0),0,F26/ROUND(G26,4))</f>
        <v>0</v>
      </c>
      <c r="L26" s="79">
        <f>ROUND(J26,2)*K26</f>
        <v>0</v>
      </c>
      <c r="M26" s="76">
        <f>K26*dagenperjaar1</f>
        <v>0</v>
      </c>
      <c r="N26" s="79">
        <f>M26*ROUND(J26,2)</f>
        <v>0</v>
      </c>
    </row>
    <row r="27" spans="1:14" x14ac:dyDescent="0.2">
      <c r="A27" s="62" t="s">
        <v>219</v>
      </c>
      <c r="B27" s="62" t="s">
        <v>12</v>
      </c>
      <c r="C27" s="62" t="s">
        <v>183</v>
      </c>
      <c r="D27" s="62" t="s">
        <v>220</v>
      </c>
      <c r="E27" s="76">
        <v>32.799999999999997</v>
      </c>
      <c r="F27" s="76">
        <f>E27*VLOOKUP(B27,dagsoorttabel1,2,FALSE)</f>
        <v>32.799999999999997</v>
      </c>
      <c r="G27" s="77">
        <f>IF(AND(catpn_1_VZB_1&gt;0,catpn_1_VZV_40&gt;0),(dagenperjaar1*VLOOKUP(B27,dagsoorttabel1,2,FALSE))/(((dagenperjaar1*VLOOKUP(B27,dagsoorttabel1,2,FALSE))-catfd_1_VZV_40)/catpn_1_VZB_1+catfd_1_VZV_40/catpn_1_VZV_40),0)</f>
        <v>0</v>
      </c>
      <c r="H27" s="78">
        <f>IF(AND(catpn_1_VZB_1&gt;0,catpn_1_VZV_40&gt;0),(catdw_1_VZB_1*((dagenperjaar1*VLOOKUP(B27,dagsoorttabel1,2,FALSE))-catfd_1_VZV_40)/catpn_1_VZB_1+catdw_1_VZV_40*catfd_1_VZV_40/catpn_1_VZV_40)/(((dagenperjaar1*VLOOKUP(B27,dagsoorttabel1,2,FALSE))-catfd_1_VZV_40)/catpn_1_VZB_1+catfd_1_VZV_40/catpn_1_VZV_40),0)</f>
        <v>0</v>
      </c>
      <c r="I27" s="62" t="s">
        <v>105</v>
      </c>
      <c r="J27" s="79">
        <f>IF(AND(catpn_1_VZB_1&gt;0,catpn_1_VZV_40&gt;0),(cattf_1_VZB_1*((dagenperjaar1*VLOOKUP(B27,dagsoorttabel1,2,FALSE))-catfd_1_VZV_40)/catpn_1_VZB_1+cattf_1_VZV_40*catfd_1_VZV_40/catpn_1_VZV_40)/(((dagenperjaar1*VLOOKUP(B27,dagsoorttabel1,2,FALSE))-catfd_1_VZV_40)/catpn_1_VZB_1+catfd_1_VZV_40/catpn_1_VZV_40),0)</f>
        <v>0</v>
      </c>
      <c r="K27" s="76">
        <f>IF(OR(ISBLANK(G27),G27=0),0,F27/ROUND(G27,4))</f>
        <v>0</v>
      </c>
      <c r="L27" s="79">
        <f>ROUND(J27,2)*K27</f>
        <v>0</v>
      </c>
      <c r="M27" s="76">
        <f>K27*dagenperjaar1</f>
        <v>0</v>
      </c>
      <c r="N27" s="79">
        <f>M27*ROUND(J27,2)</f>
        <v>0</v>
      </c>
    </row>
    <row r="28" spans="1:14" x14ac:dyDescent="0.2">
      <c r="A28" s="62" t="s">
        <v>221</v>
      </c>
      <c r="B28" s="62" t="s">
        <v>25</v>
      </c>
      <c r="C28" s="62" t="s">
        <v>222</v>
      </c>
      <c r="D28" s="62" t="s">
        <v>223</v>
      </c>
      <c r="E28" s="76">
        <v>1</v>
      </c>
      <c r="F28" s="76">
        <f>E28*VLOOKUP(B28,dagsoorttabel1,2,FALSE)</f>
        <v>5.0000000000000001E-3</v>
      </c>
      <c r="G28" s="77"/>
      <c r="H28" s="78"/>
      <c r="I28" s="62" t="s">
        <v>224</v>
      </c>
      <c r="J28" s="66"/>
      <c r="K28" s="76" t="s">
        <v>225</v>
      </c>
      <c r="L28" s="79">
        <f>ROUND(J28,2)*F28</f>
        <v>0</v>
      </c>
      <c r="M28" s="76">
        <v>0</v>
      </c>
      <c r="N28" s="79">
        <f>L28*dagenperjaar1</f>
        <v>0</v>
      </c>
    </row>
    <row r="29" spans="1:14" x14ac:dyDescent="0.2">
      <c r="A29" s="62" t="s">
        <v>226</v>
      </c>
      <c r="B29" s="62" t="s">
        <v>25</v>
      </c>
      <c r="C29" s="62" t="s">
        <v>222</v>
      </c>
      <c r="D29" s="62" t="s">
        <v>227</v>
      </c>
      <c r="E29" s="76">
        <v>1</v>
      </c>
      <c r="F29" s="76">
        <f>E29*VLOOKUP(B29,dagsoorttabel1,2,FALSE)</f>
        <v>5.0000000000000001E-3</v>
      </c>
      <c r="G29" s="77"/>
      <c r="H29" s="78"/>
      <c r="I29" s="62" t="s">
        <v>224</v>
      </c>
      <c r="J29" s="66"/>
      <c r="K29" s="76" t="s">
        <v>225</v>
      </c>
      <c r="L29" s="79">
        <f>ROUND(J29,2)*F29</f>
        <v>0</v>
      </c>
      <c r="M29" s="76">
        <v>0</v>
      </c>
      <c r="N29" s="79">
        <f>L29*dagenperjaar1</f>
        <v>0</v>
      </c>
    </row>
    <row r="30" spans="1:14" x14ac:dyDescent="0.2">
      <c r="A30" s="67" t="s">
        <v>228</v>
      </c>
      <c r="B30" s="67" t="s">
        <v>15</v>
      </c>
      <c r="C30" s="67" t="s">
        <v>222</v>
      </c>
      <c r="D30" s="67" t="s">
        <v>229</v>
      </c>
      <c r="E30" s="80">
        <v>3874.2999999999997</v>
      </c>
      <c r="F30" s="80">
        <f>E30*VLOOKUP(B30,dagsoorttabel1,2,FALSE)</f>
        <v>1937.1499999999999</v>
      </c>
      <c r="G30" s="81"/>
      <c r="H30" s="70"/>
      <c r="I30" s="67" t="s">
        <v>105</v>
      </c>
      <c r="J30" s="71"/>
      <c r="K30" s="80">
        <f>IF(OR(ISBLANK(G30),G30=0),0,F30/ROUND(G30,4))</f>
        <v>0</v>
      </c>
      <c r="L30" s="82">
        <f>ROUND(J30,2)*K30</f>
        <v>0</v>
      </c>
      <c r="M30" s="80">
        <f>K30*dagenperjaar1</f>
        <v>0</v>
      </c>
      <c r="N30" s="82">
        <f>M30*ROUND(J30,2)</f>
        <v>0</v>
      </c>
    </row>
    <row r="31" spans="1:14" x14ac:dyDescent="0.2">
      <c r="A31" s="84" t="s">
        <v>230</v>
      </c>
      <c r="B31" s="85"/>
      <c r="C31" s="85"/>
      <c r="D31" s="85"/>
      <c r="E31" s="85"/>
      <c r="F31" s="85"/>
      <c r="G31" s="85"/>
      <c r="H31" s="85"/>
      <c r="I31" s="85"/>
      <c r="J31" s="85"/>
      <c r="K31" s="86">
        <f>SUM(K6:K30)</f>
        <v>0</v>
      </c>
      <c r="L31" s="87">
        <f>SUM(L6:L30)</f>
        <v>0</v>
      </c>
      <c r="M31" s="86">
        <f>SUM(M6:M30)</f>
        <v>0</v>
      </c>
      <c r="N31" s="88">
        <f>SUM(N6:N30)</f>
        <v>0</v>
      </c>
    </row>
    <row r="32" spans="1:14" x14ac:dyDescent="0.2">
      <c r="A32" s="89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90"/>
    </row>
    <row r="33" spans="1:14" x14ac:dyDescent="0.2">
      <c r="A33" s="84" t="s">
        <v>231</v>
      </c>
      <c r="B33" s="85"/>
      <c r="C33" s="85"/>
      <c r="D33" s="85"/>
      <c r="E33" s="85"/>
      <c r="F33" s="85"/>
      <c r="G33" s="85"/>
      <c r="H33" s="85"/>
      <c r="I33" s="85"/>
      <c r="J33" s="87">
        <f>IF(urenjaar1&gt;0,SUMIF(M6:M30,"&gt;0",N6:N30)/urenjaar1,0)</f>
        <v>0</v>
      </c>
      <c r="K33" s="85"/>
      <c r="L33" s="85"/>
      <c r="M33" s="85"/>
      <c r="N33" s="90"/>
    </row>
    <row r="34" spans="1:14" x14ac:dyDescent="0.2">
      <c r="A34" s="89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90"/>
    </row>
    <row r="36" spans="1:14" x14ac:dyDescent="0.2">
      <c r="A36" s="84" t="s">
        <v>232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6">
        <f>urenjaar1</f>
        <v>0</v>
      </c>
      <c r="N36" s="87">
        <f>prijsjaar1</f>
        <v>0</v>
      </c>
    </row>
  </sheetData>
  <sheetProtection algorithmName="SHA-512" hashValue="ONa1O5C+ZopMnf+prWBpemcxBNV+bj5Kl4z4EUj30QRNxIzv1fBq9uxIqqsQsaq4vljSrcFgTwWy0U8FCtl7qQ==" saltValue="CRGeQHp5puAtSHxW8Bu9xA==" spinCount="100000" sheet="1" objects="1" scenarios="1" autoFilter="0"/>
  <pageMargins left="0.7" right="0.7" top="0.75" bottom="0.75" header="0.3" footer="0.3"/>
  <pageSetup paperSize="9" scale="70" orientation="landscape" horizontalDpi="4294967295" verticalDpi="4294967295" r:id="rId1"/>
  <headerFooter>
    <oddFooter>&amp;LStichting VO Haaglanden EA 2025                             &amp;ROpmaakdatum: 28-05-2025
Intexso - Plantageweg 23E - Leusden
+31 (33) 2778485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F8FEA-710F-4103-972C-6C762C77F2CF}">
  <dimension ref="A1:U230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2.75" x14ac:dyDescent="0.2"/>
  <cols>
    <col min="1" max="1" width="8.625" customWidth="1"/>
    <col min="2" max="3" width="7.625" customWidth="1"/>
    <col min="4" max="4" width="10.625" customWidth="1"/>
    <col min="5" max="5" width="25.625" customWidth="1"/>
    <col min="6" max="6" width="11.625" customWidth="1"/>
    <col min="7" max="7" width="7.625" customWidth="1"/>
    <col min="8" max="8" width="6.625" customWidth="1"/>
    <col min="9" max="10" width="8.625" customWidth="1"/>
    <col min="11" max="12" width="10.625" customWidth="1"/>
    <col min="13" max="14" width="11.625" customWidth="1"/>
    <col min="15" max="15" width="9.625" customWidth="1"/>
    <col min="16" max="19" width="11.625" customWidth="1"/>
    <col min="20" max="20" width="12.625" customWidth="1"/>
    <col min="21" max="21" width="14.625" customWidth="1"/>
  </cols>
  <sheetData>
    <row r="1" spans="1:21" x14ac:dyDescent="0.2">
      <c r="A1" s="1" t="str">
        <f>CONCATENATE("Bijlage G.4.3: ",tabeltype," ruimten werkdag")</f>
        <v>Bijlage G.4.3: Invultabel ruimten werkdag</v>
      </c>
    </row>
    <row r="3" spans="1:21" ht="38.25" x14ac:dyDescent="0.2">
      <c r="A3" s="91" t="s">
        <v>233</v>
      </c>
      <c r="B3" s="50" t="s">
        <v>234</v>
      </c>
      <c r="C3" s="50" t="s">
        <v>235</v>
      </c>
      <c r="D3" s="50" t="s">
        <v>236</v>
      </c>
      <c r="E3" s="50" t="s">
        <v>237</v>
      </c>
      <c r="F3" s="50" t="s">
        <v>238</v>
      </c>
      <c r="G3" s="50" t="s">
        <v>174</v>
      </c>
      <c r="H3" s="50" t="s">
        <v>7</v>
      </c>
      <c r="I3" s="50" t="s">
        <v>239</v>
      </c>
      <c r="J3" s="50" t="s">
        <v>240</v>
      </c>
      <c r="K3" s="50" t="s">
        <v>176</v>
      </c>
      <c r="L3" s="50" t="s">
        <v>177</v>
      </c>
      <c r="M3" s="50" t="s">
        <v>97</v>
      </c>
      <c r="N3" s="50" t="s">
        <v>98</v>
      </c>
      <c r="O3" s="50" t="s">
        <v>99</v>
      </c>
      <c r="P3" s="50" t="s">
        <v>100</v>
      </c>
      <c r="Q3" s="50" t="s">
        <v>178</v>
      </c>
      <c r="R3" s="50" t="s">
        <v>241</v>
      </c>
      <c r="S3" s="50" t="s">
        <v>179</v>
      </c>
      <c r="T3" s="50" t="s">
        <v>180</v>
      </c>
      <c r="U3" s="92" t="s">
        <v>181</v>
      </c>
    </row>
    <row r="4" spans="1:21" x14ac:dyDescent="0.2">
      <c r="A4" s="93" t="s">
        <v>242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83"/>
    </row>
    <row r="5" spans="1:21" x14ac:dyDescent="0.2">
      <c r="A5" s="94" t="s">
        <v>243</v>
      </c>
      <c r="B5" s="95" t="s">
        <v>43</v>
      </c>
      <c r="C5" s="95" t="s">
        <v>244</v>
      </c>
      <c r="D5" s="95" t="s">
        <v>245</v>
      </c>
      <c r="E5" s="96" t="s">
        <v>246</v>
      </c>
      <c r="F5" s="95" t="s">
        <v>247</v>
      </c>
      <c r="G5" s="95" t="s">
        <v>228</v>
      </c>
      <c r="H5" s="95" t="s">
        <v>15</v>
      </c>
      <c r="I5" s="95" t="s">
        <v>222</v>
      </c>
      <c r="J5" s="95"/>
      <c r="K5" s="97">
        <v>32.299999999999997</v>
      </c>
      <c r="L5" s="97">
        <f>K5*VLOOKUP(H5,dagsoorttabel1,2,FALSE)</f>
        <v>16.149999999999999</v>
      </c>
      <c r="M5" s="98">
        <f>prodnorm6</f>
        <v>0</v>
      </c>
      <c r="N5" s="99">
        <f>dagwerk6</f>
        <v>0</v>
      </c>
      <c r="O5" s="95" t="s">
        <v>105</v>
      </c>
      <c r="P5" s="100">
        <f>uurtarief6</f>
        <v>0</v>
      </c>
      <c r="Q5" s="97" t="e">
        <f>IF(ISBLANK(M5),0,L5/ROUND(M5,4))</f>
        <v>#DIV/0!</v>
      </c>
      <c r="R5" s="97" t="e">
        <f>IF(ISBLANK(M5),0,Q5*ROUND(N5,2))</f>
        <v>#DIV/0!</v>
      </c>
      <c r="S5" s="100" t="e">
        <f>ROUND(P5,2)*Q5</f>
        <v>#DIV/0!</v>
      </c>
      <c r="T5" s="97" t="e">
        <f>Q5*dagenperjaar1</f>
        <v>#DIV/0!</v>
      </c>
      <c r="U5" s="101" t="e">
        <f>T5*ROUND(P5,2)</f>
        <v>#DIV/0!</v>
      </c>
    </row>
    <row r="6" spans="1:21" x14ac:dyDescent="0.2">
      <c r="A6" s="102" t="s">
        <v>243</v>
      </c>
      <c r="B6" s="103" t="s">
        <v>43</v>
      </c>
      <c r="C6" s="103" t="s">
        <v>244</v>
      </c>
      <c r="D6" s="103" t="s">
        <v>245</v>
      </c>
      <c r="E6" s="104" t="s">
        <v>246</v>
      </c>
      <c r="F6" s="103" t="s">
        <v>247</v>
      </c>
      <c r="G6" s="103" t="s">
        <v>187</v>
      </c>
      <c r="H6" s="103" t="s">
        <v>15</v>
      </c>
      <c r="I6" s="103" t="s">
        <v>183</v>
      </c>
      <c r="J6" s="103"/>
      <c r="K6" s="105">
        <v>32.299999999999997</v>
      </c>
      <c r="L6" s="105">
        <f>K6*VLOOKUP(H6,dagsoorttabel1,2,FALSE)</f>
        <v>16.149999999999999</v>
      </c>
      <c r="M6" s="106">
        <f>prodnorm9</f>
        <v>0</v>
      </c>
      <c r="N6" s="41">
        <f>dagwerk9</f>
        <v>0</v>
      </c>
      <c r="O6" s="103" t="s">
        <v>105</v>
      </c>
      <c r="P6" s="26">
        <f>uurtarief9</f>
        <v>0</v>
      </c>
      <c r="Q6" s="105" t="e">
        <f>IF(ISBLANK(M6),0,L6/ROUND(M6,4))</f>
        <v>#DIV/0!</v>
      </c>
      <c r="R6" s="105" t="e">
        <f>IF(ISBLANK(M6),0,Q6*ROUND(N6,2))</f>
        <v>#DIV/0!</v>
      </c>
      <c r="S6" s="26" t="e">
        <f>ROUND(P6,2)*Q6</f>
        <v>#DIV/0!</v>
      </c>
      <c r="T6" s="105" t="e">
        <f>Q6*dagenperjaar1</f>
        <v>#DIV/0!</v>
      </c>
      <c r="U6" s="27" t="e">
        <f>T6*ROUND(P6,2)</f>
        <v>#DIV/0!</v>
      </c>
    </row>
    <row r="7" spans="1:21" x14ac:dyDescent="0.2">
      <c r="A7" s="102" t="s">
        <v>243</v>
      </c>
      <c r="B7" s="103" t="s">
        <v>43</v>
      </c>
      <c r="C7" s="103" t="s">
        <v>244</v>
      </c>
      <c r="D7" s="103" t="s">
        <v>248</v>
      </c>
      <c r="E7" s="104" t="s">
        <v>249</v>
      </c>
      <c r="F7" s="103" t="s">
        <v>247</v>
      </c>
      <c r="G7" s="103" t="s">
        <v>215</v>
      </c>
      <c r="H7" s="103" t="s">
        <v>12</v>
      </c>
      <c r="I7" s="103" t="s">
        <v>183</v>
      </c>
      <c r="J7" s="103"/>
      <c r="K7" s="105">
        <v>20.3</v>
      </c>
      <c r="L7" s="105">
        <f>K7*VLOOKUP(H7,dagsoorttabel1,2,FALSE)</f>
        <v>20.3</v>
      </c>
      <c r="M7" s="106">
        <f>prodnorm26</f>
        <v>0</v>
      </c>
      <c r="N7" s="41">
        <f>dagwerk26</f>
        <v>0</v>
      </c>
      <c r="O7" s="103" t="s">
        <v>105</v>
      </c>
      <c r="P7" s="26">
        <f>uurtarief26</f>
        <v>0</v>
      </c>
      <c r="Q7" s="105" t="e">
        <f>IF(ISBLANK(M7),0,L7/ROUND(M7,4))</f>
        <v>#DIV/0!</v>
      </c>
      <c r="R7" s="105" t="e">
        <f>IF(ISBLANK(M7),0,Q7*ROUND(N7,2))</f>
        <v>#DIV/0!</v>
      </c>
      <c r="S7" s="26" t="e">
        <f>ROUND(P7,2)*Q7</f>
        <v>#DIV/0!</v>
      </c>
      <c r="T7" s="105" t="e">
        <f>Q7*dagenperjaar1</f>
        <v>#DIV/0!</v>
      </c>
      <c r="U7" s="27" t="e">
        <f>T7*ROUND(P7,2)</f>
        <v>#DIV/0!</v>
      </c>
    </row>
    <row r="8" spans="1:21" x14ac:dyDescent="0.2">
      <c r="A8" s="102" t="s">
        <v>243</v>
      </c>
      <c r="B8" s="103" t="s">
        <v>43</v>
      </c>
      <c r="C8" s="103" t="s">
        <v>244</v>
      </c>
      <c r="D8" s="103" t="s">
        <v>250</v>
      </c>
      <c r="E8" s="104" t="s">
        <v>251</v>
      </c>
      <c r="F8" s="103" t="s">
        <v>247</v>
      </c>
      <c r="G8" s="103" t="s">
        <v>228</v>
      </c>
      <c r="H8" s="103" t="s">
        <v>15</v>
      </c>
      <c r="I8" s="103" t="s">
        <v>222</v>
      </c>
      <c r="J8" s="103"/>
      <c r="K8" s="105">
        <v>80.2</v>
      </c>
      <c r="L8" s="105">
        <f>K8*VLOOKUP(H8,dagsoorttabel1,2,FALSE)</f>
        <v>40.1</v>
      </c>
      <c r="M8" s="106">
        <f>prodnorm6</f>
        <v>0</v>
      </c>
      <c r="N8" s="41">
        <f>dagwerk6</f>
        <v>0</v>
      </c>
      <c r="O8" s="103" t="s">
        <v>105</v>
      </c>
      <c r="P8" s="26">
        <f>uurtarief6</f>
        <v>0</v>
      </c>
      <c r="Q8" s="105" t="e">
        <f>IF(ISBLANK(M8),0,L8/ROUND(M8,4))</f>
        <v>#DIV/0!</v>
      </c>
      <c r="R8" s="105" t="e">
        <f>IF(ISBLANK(M8),0,Q8*ROUND(N8,2))</f>
        <v>#DIV/0!</v>
      </c>
      <c r="S8" s="26" t="e">
        <f>ROUND(P8,2)*Q8</f>
        <v>#DIV/0!</v>
      </c>
      <c r="T8" s="105" t="e">
        <f>Q8*dagenperjaar1</f>
        <v>#DIV/0!</v>
      </c>
      <c r="U8" s="27" t="e">
        <f>T8*ROUND(P8,2)</f>
        <v>#DIV/0!</v>
      </c>
    </row>
    <row r="9" spans="1:21" x14ac:dyDescent="0.2">
      <c r="A9" s="102" t="s">
        <v>243</v>
      </c>
      <c r="B9" s="103" t="s">
        <v>43</v>
      </c>
      <c r="C9" s="103" t="s">
        <v>244</v>
      </c>
      <c r="D9" s="103" t="s">
        <v>250</v>
      </c>
      <c r="E9" s="104" t="s">
        <v>251</v>
      </c>
      <c r="F9" s="103" t="s">
        <v>247</v>
      </c>
      <c r="G9" s="103" t="s">
        <v>207</v>
      </c>
      <c r="H9" s="103" t="s">
        <v>15</v>
      </c>
      <c r="I9" s="103" t="s">
        <v>183</v>
      </c>
      <c r="J9" s="103"/>
      <c r="K9" s="105">
        <v>80.2</v>
      </c>
      <c r="L9" s="105">
        <f>K9*VLOOKUP(H9,dagsoorttabel1,2,FALSE)</f>
        <v>40.1</v>
      </c>
      <c r="M9" s="106">
        <f>prodnorm20</f>
        <v>0</v>
      </c>
      <c r="N9" s="41">
        <f>dagwerk20</f>
        <v>0</v>
      </c>
      <c r="O9" s="103" t="s">
        <v>105</v>
      </c>
      <c r="P9" s="26">
        <f>uurtarief20</f>
        <v>0</v>
      </c>
      <c r="Q9" s="105" t="e">
        <f>IF(ISBLANK(M9),0,L9/ROUND(M9,4))</f>
        <v>#DIV/0!</v>
      </c>
      <c r="R9" s="105" t="e">
        <f>IF(ISBLANK(M9),0,Q9*ROUND(N9,2))</f>
        <v>#DIV/0!</v>
      </c>
      <c r="S9" s="26" t="e">
        <f>ROUND(P9,2)*Q9</f>
        <v>#DIV/0!</v>
      </c>
      <c r="T9" s="105" t="e">
        <f>Q9*dagenperjaar1</f>
        <v>#DIV/0!</v>
      </c>
      <c r="U9" s="27" t="e">
        <f>T9*ROUND(P9,2)</f>
        <v>#DIV/0!</v>
      </c>
    </row>
    <row r="10" spans="1:21" x14ac:dyDescent="0.2">
      <c r="A10" s="102" t="s">
        <v>243</v>
      </c>
      <c r="B10" s="103" t="s">
        <v>43</v>
      </c>
      <c r="C10" s="103" t="s">
        <v>244</v>
      </c>
      <c r="D10" s="103" t="s">
        <v>252</v>
      </c>
      <c r="E10" s="104" t="s">
        <v>253</v>
      </c>
      <c r="F10" s="103" t="s">
        <v>247</v>
      </c>
      <c r="G10" s="103" t="s">
        <v>228</v>
      </c>
      <c r="H10" s="103" t="s">
        <v>15</v>
      </c>
      <c r="I10" s="103" t="s">
        <v>222</v>
      </c>
      <c r="J10" s="103"/>
      <c r="K10" s="105">
        <v>79.900000000000006</v>
      </c>
      <c r="L10" s="105">
        <f>K10*VLOOKUP(H10,dagsoorttabel1,2,FALSE)</f>
        <v>39.950000000000003</v>
      </c>
      <c r="M10" s="106">
        <f>prodnorm6</f>
        <v>0</v>
      </c>
      <c r="N10" s="41">
        <f>dagwerk6</f>
        <v>0</v>
      </c>
      <c r="O10" s="103" t="s">
        <v>105</v>
      </c>
      <c r="P10" s="26">
        <f>uurtarief6</f>
        <v>0</v>
      </c>
      <c r="Q10" s="105" t="e">
        <f>IF(ISBLANK(M10),0,L10/ROUND(M10,4))</f>
        <v>#DIV/0!</v>
      </c>
      <c r="R10" s="105" t="e">
        <f>IF(ISBLANK(M10),0,Q10*ROUND(N10,2))</f>
        <v>#DIV/0!</v>
      </c>
      <c r="S10" s="26" t="e">
        <f>ROUND(P10,2)*Q10</f>
        <v>#DIV/0!</v>
      </c>
      <c r="T10" s="105" t="e">
        <f>Q10*dagenperjaar1</f>
        <v>#DIV/0!</v>
      </c>
      <c r="U10" s="27" t="e">
        <f>T10*ROUND(P10,2)</f>
        <v>#DIV/0!</v>
      </c>
    </row>
    <row r="11" spans="1:21" x14ac:dyDescent="0.2">
      <c r="A11" s="102" t="s">
        <v>243</v>
      </c>
      <c r="B11" s="103" t="s">
        <v>43</v>
      </c>
      <c r="C11" s="103" t="s">
        <v>244</v>
      </c>
      <c r="D11" s="103" t="s">
        <v>252</v>
      </c>
      <c r="E11" s="104" t="s">
        <v>253</v>
      </c>
      <c r="F11" s="103" t="s">
        <v>247</v>
      </c>
      <c r="G11" s="103" t="s">
        <v>207</v>
      </c>
      <c r="H11" s="103" t="s">
        <v>15</v>
      </c>
      <c r="I11" s="103" t="s">
        <v>183</v>
      </c>
      <c r="J11" s="103"/>
      <c r="K11" s="105">
        <v>79.900000000000006</v>
      </c>
      <c r="L11" s="105">
        <f>K11*VLOOKUP(H11,dagsoorttabel1,2,FALSE)</f>
        <v>39.950000000000003</v>
      </c>
      <c r="M11" s="106">
        <f>prodnorm20</f>
        <v>0</v>
      </c>
      <c r="N11" s="41">
        <f>dagwerk20</f>
        <v>0</v>
      </c>
      <c r="O11" s="103" t="s">
        <v>105</v>
      </c>
      <c r="P11" s="26">
        <f>uurtarief20</f>
        <v>0</v>
      </c>
      <c r="Q11" s="105" t="e">
        <f>IF(ISBLANK(M11),0,L11/ROUND(M11,4))</f>
        <v>#DIV/0!</v>
      </c>
      <c r="R11" s="105" t="e">
        <f>IF(ISBLANK(M11),0,Q11*ROUND(N11,2))</f>
        <v>#DIV/0!</v>
      </c>
      <c r="S11" s="26" t="e">
        <f>ROUND(P11,2)*Q11</f>
        <v>#DIV/0!</v>
      </c>
      <c r="T11" s="105" t="e">
        <f>Q11*dagenperjaar1</f>
        <v>#DIV/0!</v>
      </c>
      <c r="U11" s="27" t="e">
        <f>T11*ROUND(P11,2)</f>
        <v>#DIV/0!</v>
      </c>
    </row>
    <row r="12" spans="1:21" x14ac:dyDescent="0.2">
      <c r="A12" s="102" t="s">
        <v>243</v>
      </c>
      <c r="B12" s="103" t="s">
        <v>43</v>
      </c>
      <c r="C12" s="103" t="s">
        <v>244</v>
      </c>
      <c r="D12" s="103" t="s">
        <v>254</v>
      </c>
      <c r="E12" s="104" t="s">
        <v>255</v>
      </c>
      <c r="F12" s="103" t="s">
        <v>247</v>
      </c>
      <c r="G12" s="103" t="s">
        <v>228</v>
      </c>
      <c r="H12" s="103" t="s">
        <v>15</v>
      </c>
      <c r="I12" s="103" t="s">
        <v>222</v>
      </c>
      <c r="J12" s="103"/>
      <c r="K12" s="105">
        <v>28.6</v>
      </c>
      <c r="L12" s="105">
        <f>K12*VLOOKUP(H12,dagsoorttabel1,2,FALSE)</f>
        <v>14.3</v>
      </c>
      <c r="M12" s="106">
        <f>prodnorm6</f>
        <v>0</v>
      </c>
      <c r="N12" s="41">
        <f>dagwerk6</f>
        <v>0</v>
      </c>
      <c r="O12" s="103" t="s">
        <v>105</v>
      </c>
      <c r="P12" s="26">
        <f>uurtarief6</f>
        <v>0</v>
      </c>
      <c r="Q12" s="105" t="e">
        <f>IF(ISBLANK(M12),0,L12/ROUND(M12,4))</f>
        <v>#DIV/0!</v>
      </c>
      <c r="R12" s="105" t="e">
        <f>IF(ISBLANK(M12),0,Q12*ROUND(N12,2))</f>
        <v>#DIV/0!</v>
      </c>
      <c r="S12" s="26" t="e">
        <f>ROUND(P12,2)*Q12</f>
        <v>#DIV/0!</v>
      </c>
      <c r="T12" s="105" t="e">
        <f>Q12*dagenperjaar1</f>
        <v>#DIV/0!</v>
      </c>
      <c r="U12" s="27" t="e">
        <f>T12*ROUND(P12,2)</f>
        <v>#DIV/0!</v>
      </c>
    </row>
    <row r="13" spans="1:21" x14ac:dyDescent="0.2">
      <c r="A13" s="102" t="s">
        <v>243</v>
      </c>
      <c r="B13" s="103" t="s">
        <v>43</v>
      </c>
      <c r="C13" s="103" t="s">
        <v>244</v>
      </c>
      <c r="D13" s="103" t="s">
        <v>254</v>
      </c>
      <c r="E13" s="104" t="s">
        <v>255</v>
      </c>
      <c r="F13" s="103" t="s">
        <v>247</v>
      </c>
      <c r="G13" s="103" t="s">
        <v>187</v>
      </c>
      <c r="H13" s="103" t="s">
        <v>15</v>
      </c>
      <c r="I13" s="103" t="s">
        <v>183</v>
      </c>
      <c r="J13" s="103"/>
      <c r="K13" s="105">
        <v>28.6</v>
      </c>
      <c r="L13" s="105">
        <f>K13*VLOOKUP(H13,dagsoorttabel1,2,FALSE)</f>
        <v>14.3</v>
      </c>
      <c r="M13" s="106">
        <f>prodnorm9</f>
        <v>0</v>
      </c>
      <c r="N13" s="41">
        <f>dagwerk9</f>
        <v>0</v>
      </c>
      <c r="O13" s="103" t="s">
        <v>105</v>
      </c>
      <c r="P13" s="26">
        <f>uurtarief9</f>
        <v>0</v>
      </c>
      <c r="Q13" s="105" t="e">
        <f>IF(ISBLANK(M13),0,L13/ROUND(M13,4))</f>
        <v>#DIV/0!</v>
      </c>
      <c r="R13" s="105" t="e">
        <f>IF(ISBLANK(M13),0,Q13*ROUND(N13,2))</f>
        <v>#DIV/0!</v>
      </c>
      <c r="S13" s="26" t="e">
        <f>ROUND(P13,2)*Q13</f>
        <v>#DIV/0!</v>
      </c>
      <c r="T13" s="105" t="e">
        <f>Q13*dagenperjaar1</f>
        <v>#DIV/0!</v>
      </c>
      <c r="U13" s="27" t="e">
        <f>T13*ROUND(P13,2)</f>
        <v>#DIV/0!</v>
      </c>
    </row>
    <row r="14" spans="1:21" x14ac:dyDescent="0.2">
      <c r="A14" s="102" t="s">
        <v>243</v>
      </c>
      <c r="B14" s="103" t="s">
        <v>43</v>
      </c>
      <c r="C14" s="103" t="s">
        <v>244</v>
      </c>
      <c r="D14" s="103" t="s">
        <v>256</v>
      </c>
      <c r="E14" s="104" t="s">
        <v>257</v>
      </c>
      <c r="F14" s="103" t="s">
        <v>258</v>
      </c>
      <c r="G14" s="103" t="s">
        <v>228</v>
      </c>
      <c r="H14" s="103" t="s">
        <v>15</v>
      </c>
      <c r="I14" s="103" t="s">
        <v>222</v>
      </c>
      <c r="J14" s="103"/>
      <c r="K14" s="105">
        <v>22.7</v>
      </c>
      <c r="L14" s="105">
        <f>K14*VLOOKUP(H14,dagsoorttabel1,2,FALSE)</f>
        <v>11.35</v>
      </c>
      <c r="M14" s="106">
        <f>prodnorm6</f>
        <v>0</v>
      </c>
      <c r="N14" s="41">
        <f>dagwerk6</f>
        <v>0</v>
      </c>
      <c r="O14" s="103" t="s">
        <v>105</v>
      </c>
      <c r="P14" s="26">
        <f>uurtarief6</f>
        <v>0</v>
      </c>
      <c r="Q14" s="105" t="e">
        <f>IF(ISBLANK(M14),0,L14/ROUND(M14,4))</f>
        <v>#DIV/0!</v>
      </c>
      <c r="R14" s="105" t="e">
        <f>IF(ISBLANK(M14),0,Q14*ROUND(N14,2))</f>
        <v>#DIV/0!</v>
      </c>
      <c r="S14" s="26" t="e">
        <f>ROUND(P14,2)*Q14</f>
        <v>#DIV/0!</v>
      </c>
      <c r="T14" s="105" t="e">
        <f>Q14*dagenperjaar1</f>
        <v>#DIV/0!</v>
      </c>
      <c r="U14" s="27" t="e">
        <f>T14*ROUND(P14,2)</f>
        <v>#DIV/0!</v>
      </c>
    </row>
    <row r="15" spans="1:21" x14ac:dyDescent="0.2">
      <c r="A15" s="102" t="s">
        <v>243</v>
      </c>
      <c r="B15" s="103" t="s">
        <v>43</v>
      </c>
      <c r="C15" s="103" t="s">
        <v>244</v>
      </c>
      <c r="D15" s="103" t="s">
        <v>256</v>
      </c>
      <c r="E15" s="104" t="s">
        <v>257</v>
      </c>
      <c r="F15" s="103" t="s">
        <v>258</v>
      </c>
      <c r="G15" s="103" t="s">
        <v>189</v>
      </c>
      <c r="H15" s="103" t="s">
        <v>15</v>
      </c>
      <c r="I15" s="103" t="s">
        <v>183</v>
      </c>
      <c r="J15" s="103"/>
      <c r="K15" s="105">
        <v>22.7</v>
      </c>
      <c r="L15" s="105">
        <f>K15*VLOOKUP(H15,dagsoorttabel1,2,FALSE)</f>
        <v>11.35</v>
      </c>
      <c r="M15" s="106">
        <f>prodnorm10</f>
        <v>0</v>
      </c>
      <c r="N15" s="41">
        <f>dagwerk10</f>
        <v>0</v>
      </c>
      <c r="O15" s="103" t="s">
        <v>105</v>
      </c>
      <c r="P15" s="26">
        <f>uurtarief10</f>
        <v>0</v>
      </c>
      <c r="Q15" s="105" t="e">
        <f>IF(ISBLANK(M15),0,L15/ROUND(M15,4))</f>
        <v>#DIV/0!</v>
      </c>
      <c r="R15" s="105" t="e">
        <f>IF(ISBLANK(M15),0,Q15*ROUND(N15,2))</f>
        <v>#DIV/0!</v>
      </c>
      <c r="S15" s="26" t="e">
        <f>ROUND(P15,2)*Q15</f>
        <v>#DIV/0!</v>
      </c>
      <c r="T15" s="105" t="e">
        <f>Q15*dagenperjaar1</f>
        <v>#DIV/0!</v>
      </c>
      <c r="U15" s="27" t="e">
        <f>T15*ROUND(P15,2)</f>
        <v>#DIV/0!</v>
      </c>
    </row>
    <row r="16" spans="1:21" x14ac:dyDescent="0.2">
      <c r="A16" s="102" t="s">
        <v>243</v>
      </c>
      <c r="B16" s="103" t="s">
        <v>43</v>
      </c>
      <c r="C16" s="103" t="s">
        <v>244</v>
      </c>
      <c r="D16" s="103" t="s">
        <v>259</v>
      </c>
      <c r="E16" s="104" t="s">
        <v>260</v>
      </c>
      <c r="F16" s="103" t="s">
        <v>261</v>
      </c>
      <c r="G16" s="103" t="s">
        <v>228</v>
      </c>
      <c r="H16" s="103" t="s">
        <v>15</v>
      </c>
      <c r="I16" s="103" t="s">
        <v>222</v>
      </c>
      <c r="J16" s="103"/>
      <c r="K16" s="105">
        <v>46.9</v>
      </c>
      <c r="L16" s="105">
        <f>K16*VLOOKUP(H16,dagsoorttabel1,2,FALSE)</f>
        <v>23.45</v>
      </c>
      <c r="M16" s="106">
        <f>prodnorm6</f>
        <v>0</v>
      </c>
      <c r="N16" s="41">
        <f>dagwerk6</f>
        <v>0</v>
      </c>
      <c r="O16" s="103" t="s">
        <v>105</v>
      </c>
      <c r="P16" s="26">
        <f>uurtarief6</f>
        <v>0</v>
      </c>
      <c r="Q16" s="105" t="e">
        <f>IF(ISBLANK(M16),0,L16/ROUND(M16,4))</f>
        <v>#DIV/0!</v>
      </c>
      <c r="R16" s="105" t="e">
        <f>IF(ISBLANK(M16),0,Q16*ROUND(N16,2))</f>
        <v>#DIV/0!</v>
      </c>
      <c r="S16" s="26" t="e">
        <f>ROUND(P16,2)*Q16</f>
        <v>#DIV/0!</v>
      </c>
      <c r="T16" s="105" t="e">
        <f>Q16*dagenperjaar1</f>
        <v>#DIV/0!</v>
      </c>
      <c r="U16" s="27" t="e">
        <f>T16*ROUND(P16,2)</f>
        <v>#DIV/0!</v>
      </c>
    </row>
    <row r="17" spans="1:21" x14ac:dyDescent="0.2">
      <c r="A17" s="102" t="s">
        <v>243</v>
      </c>
      <c r="B17" s="103" t="s">
        <v>43</v>
      </c>
      <c r="C17" s="103" t="s">
        <v>244</v>
      </c>
      <c r="D17" s="103" t="s">
        <v>259</v>
      </c>
      <c r="E17" s="104" t="s">
        <v>260</v>
      </c>
      <c r="F17" s="103" t="s">
        <v>261</v>
      </c>
      <c r="G17" s="103" t="s">
        <v>197</v>
      </c>
      <c r="H17" s="103" t="s">
        <v>15</v>
      </c>
      <c r="I17" s="103" t="s">
        <v>183</v>
      </c>
      <c r="J17" s="103"/>
      <c r="K17" s="105">
        <v>46.9</v>
      </c>
      <c r="L17" s="105">
        <f>K17*VLOOKUP(H17,dagsoorttabel1,2,FALSE)</f>
        <v>23.45</v>
      </c>
      <c r="M17" s="106">
        <f>prodnorm15</f>
        <v>0</v>
      </c>
      <c r="N17" s="41">
        <f>dagwerk15</f>
        <v>0</v>
      </c>
      <c r="O17" s="103" t="s">
        <v>105</v>
      </c>
      <c r="P17" s="26">
        <f>uurtarief15</f>
        <v>0</v>
      </c>
      <c r="Q17" s="105" t="e">
        <f>IF(ISBLANK(M17),0,L17/ROUND(M17,4))</f>
        <v>#DIV/0!</v>
      </c>
      <c r="R17" s="105" t="e">
        <f>IF(ISBLANK(M17),0,Q17*ROUND(N17,2))</f>
        <v>#DIV/0!</v>
      </c>
      <c r="S17" s="26" t="e">
        <f>ROUND(P17,2)*Q17</f>
        <v>#DIV/0!</v>
      </c>
      <c r="T17" s="105" t="e">
        <f>Q17*dagenperjaar1</f>
        <v>#DIV/0!</v>
      </c>
      <c r="U17" s="27" t="e">
        <f>T17*ROUND(P17,2)</f>
        <v>#DIV/0!</v>
      </c>
    </row>
    <row r="18" spans="1:21" x14ac:dyDescent="0.2">
      <c r="A18" s="102" t="s">
        <v>243</v>
      </c>
      <c r="B18" s="103" t="s">
        <v>43</v>
      </c>
      <c r="C18" s="103" t="s">
        <v>244</v>
      </c>
      <c r="D18" s="103" t="s">
        <v>262</v>
      </c>
      <c r="E18" s="104" t="s">
        <v>249</v>
      </c>
      <c r="F18" s="103" t="s">
        <v>247</v>
      </c>
      <c r="G18" s="103" t="s">
        <v>215</v>
      </c>
      <c r="H18" s="103" t="s">
        <v>12</v>
      </c>
      <c r="I18" s="103" t="s">
        <v>183</v>
      </c>
      <c r="J18" s="103"/>
      <c r="K18" s="105">
        <v>24.3</v>
      </c>
      <c r="L18" s="105">
        <f>K18*VLOOKUP(H18,dagsoorttabel1,2,FALSE)</f>
        <v>24.3</v>
      </c>
      <c r="M18" s="106">
        <f>prodnorm26</f>
        <v>0</v>
      </c>
      <c r="N18" s="41">
        <f>dagwerk26</f>
        <v>0</v>
      </c>
      <c r="O18" s="103" t="s">
        <v>105</v>
      </c>
      <c r="P18" s="26">
        <f>uurtarief26</f>
        <v>0</v>
      </c>
      <c r="Q18" s="105" t="e">
        <f>IF(ISBLANK(M18),0,L18/ROUND(M18,4))</f>
        <v>#DIV/0!</v>
      </c>
      <c r="R18" s="105" t="e">
        <f>IF(ISBLANK(M18),0,Q18*ROUND(N18,2))</f>
        <v>#DIV/0!</v>
      </c>
      <c r="S18" s="26" t="e">
        <f>ROUND(P18,2)*Q18</f>
        <v>#DIV/0!</v>
      </c>
      <c r="T18" s="105" t="e">
        <f>Q18*dagenperjaar1</f>
        <v>#DIV/0!</v>
      </c>
      <c r="U18" s="27" t="e">
        <f>T18*ROUND(P18,2)</f>
        <v>#DIV/0!</v>
      </c>
    </row>
    <row r="19" spans="1:21" x14ac:dyDescent="0.2">
      <c r="A19" s="102" t="s">
        <v>243</v>
      </c>
      <c r="B19" s="103" t="s">
        <v>43</v>
      </c>
      <c r="C19" s="103" t="s">
        <v>244</v>
      </c>
      <c r="D19" s="103" t="s">
        <v>263</v>
      </c>
      <c r="E19" s="104" t="s">
        <v>264</v>
      </c>
      <c r="F19" s="103" t="s">
        <v>261</v>
      </c>
      <c r="G19" s="103" t="s">
        <v>228</v>
      </c>
      <c r="H19" s="103" t="s">
        <v>15</v>
      </c>
      <c r="I19" s="103" t="s">
        <v>222</v>
      </c>
      <c r="J19" s="103"/>
      <c r="K19" s="105">
        <v>94.2</v>
      </c>
      <c r="L19" s="105">
        <f>K19*VLOOKUP(H19,dagsoorttabel1,2,FALSE)</f>
        <v>47.1</v>
      </c>
      <c r="M19" s="106">
        <f>prodnorm6</f>
        <v>0</v>
      </c>
      <c r="N19" s="41">
        <f>dagwerk6</f>
        <v>0</v>
      </c>
      <c r="O19" s="103" t="s">
        <v>105</v>
      </c>
      <c r="P19" s="26">
        <f>uurtarief6</f>
        <v>0</v>
      </c>
      <c r="Q19" s="105" t="e">
        <f>IF(ISBLANK(M19),0,L19/ROUND(M19,4))</f>
        <v>#DIV/0!</v>
      </c>
      <c r="R19" s="105" t="e">
        <f>IF(ISBLANK(M19),0,Q19*ROUND(N19,2))</f>
        <v>#DIV/0!</v>
      </c>
      <c r="S19" s="26" t="e">
        <f>ROUND(P19,2)*Q19</f>
        <v>#DIV/0!</v>
      </c>
      <c r="T19" s="105" t="e">
        <f>Q19*dagenperjaar1</f>
        <v>#DIV/0!</v>
      </c>
      <c r="U19" s="27" t="e">
        <f>T19*ROUND(P19,2)</f>
        <v>#DIV/0!</v>
      </c>
    </row>
    <row r="20" spans="1:21" x14ac:dyDescent="0.2">
      <c r="A20" s="102" t="s">
        <v>243</v>
      </c>
      <c r="B20" s="103" t="s">
        <v>43</v>
      </c>
      <c r="C20" s="103" t="s">
        <v>244</v>
      </c>
      <c r="D20" s="103" t="s">
        <v>263</v>
      </c>
      <c r="E20" s="104" t="s">
        <v>264</v>
      </c>
      <c r="F20" s="103" t="s">
        <v>261</v>
      </c>
      <c r="G20" s="103" t="s">
        <v>197</v>
      </c>
      <c r="H20" s="103" t="s">
        <v>15</v>
      </c>
      <c r="I20" s="103" t="s">
        <v>183</v>
      </c>
      <c r="J20" s="103"/>
      <c r="K20" s="105">
        <v>94.2</v>
      </c>
      <c r="L20" s="105">
        <f>K20*VLOOKUP(H20,dagsoorttabel1,2,FALSE)</f>
        <v>47.1</v>
      </c>
      <c r="M20" s="106">
        <f>prodnorm15</f>
        <v>0</v>
      </c>
      <c r="N20" s="41">
        <f>dagwerk15</f>
        <v>0</v>
      </c>
      <c r="O20" s="103" t="s">
        <v>105</v>
      </c>
      <c r="P20" s="26">
        <f>uurtarief15</f>
        <v>0</v>
      </c>
      <c r="Q20" s="105" t="e">
        <f>IF(ISBLANK(M20),0,L20/ROUND(M20,4))</f>
        <v>#DIV/0!</v>
      </c>
      <c r="R20" s="105" t="e">
        <f>IF(ISBLANK(M20),0,Q20*ROUND(N20,2))</f>
        <v>#DIV/0!</v>
      </c>
      <c r="S20" s="26" t="e">
        <f>ROUND(P20,2)*Q20</f>
        <v>#DIV/0!</v>
      </c>
      <c r="T20" s="105" t="e">
        <f>Q20*dagenperjaar1</f>
        <v>#DIV/0!</v>
      </c>
      <c r="U20" s="27" t="e">
        <f>T20*ROUND(P20,2)</f>
        <v>#DIV/0!</v>
      </c>
    </row>
    <row r="21" spans="1:21" x14ac:dyDescent="0.2">
      <c r="A21" s="102" t="s">
        <v>243</v>
      </c>
      <c r="B21" s="103" t="s">
        <v>43</v>
      </c>
      <c r="C21" s="103" t="s">
        <v>244</v>
      </c>
      <c r="D21" s="103" t="s">
        <v>265</v>
      </c>
      <c r="E21" s="104" t="s">
        <v>266</v>
      </c>
      <c r="F21" s="103" t="s">
        <v>267</v>
      </c>
      <c r="G21" s="103" t="s">
        <v>193</v>
      </c>
      <c r="H21" s="103" t="s">
        <v>10</v>
      </c>
      <c r="I21" s="103" t="s">
        <v>183</v>
      </c>
      <c r="J21" s="103"/>
      <c r="K21" s="105">
        <v>24.9</v>
      </c>
      <c r="L21" s="105">
        <f>K21*VLOOKUP(H21,dagsoorttabel1,2,FALSE)</f>
        <v>26.145</v>
      </c>
      <c r="M21" s="106">
        <f>prodnorm13</f>
        <v>0</v>
      </c>
      <c r="N21" s="41">
        <f>dagwerk13</f>
        <v>0</v>
      </c>
      <c r="O21" s="103" t="s">
        <v>105</v>
      </c>
      <c r="P21" s="26">
        <f>uurtarief13</f>
        <v>0</v>
      </c>
      <c r="Q21" s="105" t="e">
        <f>IF(ISBLANK(M21),0,L21/ROUND(M21,4))</f>
        <v>#DIV/0!</v>
      </c>
      <c r="R21" s="105" t="e">
        <f>IF(ISBLANK(M21),0,Q21*ROUND(N21,2))</f>
        <v>#DIV/0!</v>
      </c>
      <c r="S21" s="26" t="e">
        <f>ROUND(P21,2)*Q21</f>
        <v>#DIV/0!</v>
      </c>
      <c r="T21" s="105" t="e">
        <f>Q21*dagenperjaar1</f>
        <v>#DIV/0!</v>
      </c>
      <c r="U21" s="27" t="e">
        <f>T21*ROUND(P21,2)</f>
        <v>#DIV/0!</v>
      </c>
    </row>
    <row r="22" spans="1:21" x14ac:dyDescent="0.2">
      <c r="A22" s="102" t="s">
        <v>243</v>
      </c>
      <c r="B22" s="103" t="s">
        <v>43</v>
      </c>
      <c r="C22" s="103" t="s">
        <v>244</v>
      </c>
      <c r="D22" s="103" t="s">
        <v>268</v>
      </c>
      <c r="E22" s="104" t="s">
        <v>269</v>
      </c>
      <c r="F22" s="103" t="s">
        <v>270</v>
      </c>
      <c r="G22" s="103" t="s">
        <v>191</v>
      </c>
      <c r="H22" s="103" t="s">
        <v>12</v>
      </c>
      <c r="I22" s="103" t="s">
        <v>183</v>
      </c>
      <c r="J22" s="103"/>
      <c r="K22" s="105">
        <v>5.3</v>
      </c>
      <c r="L22" s="105">
        <f>K22*VLOOKUP(H22,dagsoorttabel1,2,FALSE)</f>
        <v>5.3</v>
      </c>
      <c r="M22" s="106">
        <f>prodnorm11</f>
        <v>0</v>
      </c>
      <c r="N22" s="41">
        <f>dagwerk11</f>
        <v>0</v>
      </c>
      <c r="O22" s="103" t="s">
        <v>105</v>
      </c>
      <c r="P22" s="26">
        <f>uurtarief11</f>
        <v>0</v>
      </c>
      <c r="Q22" s="105" t="e">
        <f>IF(ISBLANK(M22),0,L22/ROUND(M22,4))</f>
        <v>#DIV/0!</v>
      </c>
      <c r="R22" s="105" t="e">
        <f>IF(ISBLANK(M22),0,Q22*ROUND(N22,2))</f>
        <v>#DIV/0!</v>
      </c>
      <c r="S22" s="26" t="e">
        <f>ROUND(P22,2)*Q22</f>
        <v>#DIV/0!</v>
      </c>
      <c r="T22" s="105" t="e">
        <f>Q22*dagenperjaar1</f>
        <v>#DIV/0!</v>
      </c>
      <c r="U22" s="27" t="e">
        <f>T22*ROUND(P22,2)</f>
        <v>#DIV/0!</v>
      </c>
    </row>
    <row r="23" spans="1:21" x14ac:dyDescent="0.2">
      <c r="A23" s="102" t="s">
        <v>243</v>
      </c>
      <c r="B23" s="103" t="s">
        <v>43</v>
      </c>
      <c r="C23" s="103" t="s">
        <v>244</v>
      </c>
      <c r="D23" s="103" t="s">
        <v>271</v>
      </c>
      <c r="E23" s="104" t="s">
        <v>272</v>
      </c>
      <c r="F23" s="103" t="s">
        <v>270</v>
      </c>
      <c r="G23" s="103" t="s">
        <v>211</v>
      </c>
      <c r="H23" s="103" t="s">
        <v>12</v>
      </c>
      <c r="I23" s="103" t="s">
        <v>183</v>
      </c>
      <c r="J23" s="103"/>
      <c r="K23" s="105">
        <v>1.5</v>
      </c>
      <c r="L23" s="105">
        <f>K23*VLOOKUP(H23,dagsoorttabel1,2,FALSE)</f>
        <v>1.5</v>
      </c>
      <c r="M23" s="106">
        <f>prodnorm22</f>
        <v>0</v>
      </c>
      <c r="N23" s="41">
        <f>dagwerk22</f>
        <v>0</v>
      </c>
      <c r="O23" s="103" t="s">
        <v>105</v>
      </c>
      <c r="P23" s="26">
        <f>uurtarief22</f>
        <v>0</v>
      </c>
      <c r="Q23" s="105" t="e">
        <f>IF(ISBLANK(M23),0,L23/ROUND(M23,4))</f>
        <v>#DIV/0!</v>
      </c>
      <c r="R23" s="105" t="e">
        <f>IF(ISBLANK(M23),0,Q23*ROUND(N23,2))</f>
        <v>#DIV/0!</v>
      </c>
      <c r="S23" s="26" t="e">
        <f>ROUND(P23,2)*Q23</f>
        <v>#DIV/0!</v>
      </c>
      <c r="T23" s="105" t="e">
        <f>Q23*dagenperjaar1</f>
        <v>#DIV/0!</v>
      </c>
      <c r="U23" s="27" t="e">
        <f>T23*ROUND(P23,2)</f>
        <v>#DIV/0!</v>
      </c>
    </row>
    <row r="24" spans="1:21" x14ac:dyDescent="0.2">
      <c r="A24" s="102" t="s">
        <v>243</v>
      </c>
      <c r="B24" s="103" t="s">
        <v>43</v>
      </c>
      <c r="C24" s="103" t="s">
        <v>244</v>
      </c>
      <c r="D24" s="103" t="s">
        <v>273</v>
      </c>
      <c r="E24" s="104" t="s">
        <v>274</v>
      </c>
      <c r="F24" s="103" t="s">
        <v>270</v>
      </c>
      <c r="G24" s="103" t="s">
        <v>191</v>
      </c>
      <c r="H24" s="103" t="s">
        <v>12</v>
      </c>
      <c r="I24" s="103" t="s">
        <v>183</v>
      </c>
      <c r="J24" s="103"/>
      <c r="K24" s="105">
        <v>5.3</v>
      </c>
      <c r="L24" s="105">
        <f>K24*VLOOKUP(H24,dagsoorttabel1,2,FALSE)</f>
        <v>5.3</v>
      </c>
      <c r="M24" s="106">
        <f>prodnorm11</f>
        <v>0</v>
      </c>
      <c r="N24" s="41">
        <f>dagwerk11</f>
        <v>0</v>
      </c>
      <c r="O24" s="103" t="s">
        <v>105</v>
      </c>
      <c r="P24" s="26">
        <f>uurtarief11</f>
        <v>0</v>
      </c>
      <c r="Q24" s="105" t="e">
        <f>IF(ISBLANK(M24),0,L24/ROUND(M24,4))</f>
        <v>#DIV/0!</v>
      </c>
      <c r="R24" s="105" t="e">
        <f>IF(ISBLANK(M24),0,Q24*ROUND(N24,2))</f>
        <v>#DIV/0!</v>
      </c>
      <c r="S24" s="26" t="e">
        <f>ROUND(P24,2)*Q24</f>
        <v>#DIV/0!</v>
      </c>
      <c r="T24" s="105" t="e">
        <f>Q24*dagenperjaar1</f>
        <v>#DIV/0!</v>
      </c>
      <c r="U24" s="27" t="e">
        <f>T24*ROUND(P24,2)</f>
        <v>#DIV/0!</v>
      </c>
    </row>
    <row r="25" spans="1:21" x14ac:dyDescent="0.2">
      <c r="A25" s="102" t="s">
        <v>243</v>
      </c>
      <c r="B25" s="103" t="s">
        <v>43</v>
      </c>
      <c r="C25" s="103" t="s">
        <v>244</v>
      </c>
      <c r="D25" s="103" t="s">
        <v>275</v>
      </c>
      <c r="E25" s="104" t="s">
        <v>276</v>
      </c>
      <c r="F25" s="103" t="s">
        <v>270</v>
      </c>
      <c r="G25" s="103" t="s">
        <v>211</v>
      </c>
      <c r="H25" s="103" t="s">
        <v>12</v>
      </c>
      <c r="I25" s="103" t="s">
        <v>183</v>
      </c>
      <c r="J25" s="103"/>
      <c r="K25" s="105">
        <v>1.5</v>
      </c>
      <c r="L25" s="105">
        <f>K25*VLOOKUP(H25,dagsoorttabel1,2,FALSE)</f>
        <v>1.5</v>
      </c>
      <c r="M25" s="106">
        <f>prodnorm22</f>
        <v>0</v>
      </c>
      <c r="N25" s="41">
        <f>dagwerk22</f>
        <v>0</v>
      </c>
      <c r="O25" s="103" t="s">
        <v>105</v>
      </c>
      <c r="P25" s="26">
        <f>uurtarief22</f>
        <v>0</v>
      </c>
      <c r="Q25" s="105" t="e">
        <f>IF(ISBLANK(M25),0,L25/ROUND(M25,4))</f>
        <v>#DIV/0!</v>
      </c>
      <c r="R25" s="105" t="e">
        <f>IF(ISBLANK(M25),0,Q25*ROUND(N25,2))</f>
        <v>#DIV/0!</v>
      </c>
      <c r="S25" s="26" t="e">
        <f>ROUND(P25,2)*Q25</f>
        <v>#DIV/0!</v>
      </c>
      <c r="T25" s="105" t="e">
        <f>Q25*dagenperjaar1</f>
        <v>#DIV/0!</v>
      </c>
      <c r="U25" s="27" t="e">
        <f>T25*ROUND(P25,2)</f>
        <v>#DIV/0!</v>
      </c>
    </row>
    <row r="26" spans="1:21" x14ac:dyDescent="0.2">
      <c r="A26" s="102" t="s">
        <v>243</v>
      </c>
      <c r="B26" s="103" t="s">
        <v>43</v>
      </c>
      <c r="C26" s="103" t="s">
        <v>244</v>
      </c>
      <c r="D26" s="103" t="s">
        <v>277</v>
      </c>
      <c r="E26" s="104" t="s">
        <v>251</v>
      </c>
      <c r="F26" s="103" t="s">
        <v>247</v>
      </c>
      <c r="G26" s="103" t="s">
        <v>228</v>
      </c>
      <c r="H26" s="103" t="s">
        <v>15</v>
      </c>
      <c r="I26" s="103" t="s">
        <v>222</v>
      </c>
      <c r="J26" s="103"/>
      <c r="K26" s="105">
        <v>85.7</v>
      </c>
      <c r="L26" s="105">
        <f>K26*VLOOKUP(H26,dagsoorttabel1,2,FALSE)</f>
        <v>42.85</v>
      </c>
      <c r="M26" s="106">
        <f>prodnorm6</f>
        <v>0</v>
      </c>
      <c r="N26" s="41">
        <f>dagwerk6</f>
        <v>0</v>
      </c>
      <c r="O26" s="103" t="s">
        <v>105</v>
      </c>
      <c r="P26" s="26">
        <f>uurtarief6</f>
        <v>0</v>
      </c>
      <c r="Q26" s="105" t="e">
        <f>IF(ISBLANK(M26),0,L26/ROUND(M26,4))</f>
        <v>#DIV/0!</v>
      </c>
      <c r="R26" s="105" t="e">
        <f>IF(ISBLANK(M26),0,Q26*ROUND(N26,2))</f>
        <v>#DIV/0!</v>
      </c>
      <c r="S26" s="26" t="e">
        <f>ROUND(P26,2)*Q26</f>
        <v>#DIV/0!</v>
      </c>
      <c r="T26" s="105" t="e">
        <f>Q26*dagenperjaar1</f>
        <v>#DIV/0!</v>
      </c>
      <c r="U26" s="27" t="e">
        <f>T26*ROUND(P26,2)</f>
        <v>#DIV/0!</v>
      </c>
    </row>
    <row r="27" spans="1:21" x14ac:dyDescent="0.2">
      <c r="A27" s="102" t="s">
        <v>243</v>
      </c>
      <c r="B27" s="103" t="s">
        <v>43</v>
      </c>
      <c r="C27" s="103" t="s">
        <v>244</v>
      </c>
      <c r="D27" s="103" t="s">
        <v>277</v>
      </c>
      <c r="E27" s="104" t="s">
        <v>251</v>
      </c>
      <c r="F27" s="103" t="s">
        <v>247</v>
      </c>
      <c r="G27" s="103" t="s">
        <v>207</v>
      </c>
      <c r="H27" s="103" t="s">
        <v>15</v>
      </c>
      <c r="I27" s="103" t="s">
        <v>183</v>
      </c>
      <c r="J27" s="103"/>
      <c r="K27" s="105">
        <v>85.7</v>
      </c>
      <c r="L27" s="105">
        <f>K27*VLOOKUP(H27,dagsoorttabel1,2,FALSE)</f>
        <v>42.85</v>
      </c>
      <c r="M27" s="106">
        <f>prodnorm20</f>
        <v>0</v>
      </c>
      <c r="N27" s="41">
        <f>dagwerk20</f>
        <v>0</v>
      </c>
      <c r="O27" s="103" t="s">
        <v>105</v>
      </c>
      <c r="P27" s="26">
        <f>uurtarief20</f>
        <v>0</v>
      </c>
      <c r="Q27" s="105" t="e">
        <f>IF(ISBLANK(M27),0,L27/ROUND(M27,4))</f>
        <v>#DIV/0!</v>
      </c>
      <c r="R27" s="105" t="e">
        <f>IF(ISBLANK(M27),0,Q27*ROUND(N27,2))</f>
        <v>#DIV/0!</v>
      </c>
      <c r="S27" s="26" t="e">
        <f>ROUND(P27,2)*Q27</f>
        <v>#DIV/0!</v>
      </c>
      <c r="T27" s="105" t="e">
        <f>Q27*dagenperjaar1</f>
        <v>#DIV/0!</v>
      </c>
      <c r="U27" s="27" t="e">
        <f>T27*ROUND(P27,2)</f>
        <v>#DIV/0!</v>
      </c>
    </row>
    <row r="28" spans="1:21" x14ac:dyDescent="0.2">
      <c r="A28" s="102" t="s">
        <v>243</v>
      </c>
      <c r="B28" s="103" t="s">
        <v>43</v>
      </c>
      <c r="C28" s="103" t="s">
        <v>244</v>
      </c>
      <c r="D28" s="103" t="s">
        <v>278</v>
      </c>
      <c r="E28" s="104" t="s">
        <v>279</v>
      </c>
      <c r="F28" s="103" t="s">
        <v>247</v>
      </c>
      <c r="G28" s="103" t="s">
        <v>228</v>
      </c>
      <c r="H28" s="103" t="s">
        <v>15</v>
      </c>
      <c r="I28" s="103" t="s">
        <v>222</v>
      </c>
      <c r="J28" s="103"/>
      <c r="K28" s="105">
        <v>86.4</v>
      </c>
      <c r="L28" s="105">
        <f>K28*VLOOKUP(H28,dagsoorttabel1,2,FALSE)</f>
        <v>43.2</v>
      </c>
      <c r="M28" s="106">
        <f>prodnorm6</f>
        <v>0</v>
      </c>
      <c r="N28" s="41">
        <f>dagwerk6</f>
        <v>0</v>
      </c>
      <c r="O28" s="103" t="s">
        <v>105</v>
      </c>
      <c r="P28" s="26">
        <f>uurtarief6</f>
        <v>0</v>
      </c>
      <c r="Q28" s="105" t="e">
        <f>IF(ISBLANK(M28),0,L28/ROUND(M28,4))</f>
        <v>#DIV/0!</v>
      </c>
      <c r="R28" s="105" t="e">
        <f>IF(ISBLANK(M28),0,Q28*ROUND(N28,2))</f>
        <v>#DIV/0!</v>
      </c>
      <c r="S28" s="26" t="e">
        <f>ROUND(P28,2)*Q28</f>
        <v>#DIV/0!</v>
      </c>
      <c r="T28" s="105" t="e">
        <f>Q28*dagenperjaar1</f>
        <v>#DIV/0!</v>
      </c>
      <c r="U28" s="27" t="e">
        <f>T28*ROUND(P28,2)</f>
        <v>#DIV/0!</v>
      </c>
    </row>
    <row r="29" spans="1:21" x14ac:dyDescent="0.2">
      <c r="A29" s="102" t="s">
        <v>243</v>
      </c>
      <c r="B29" s="103" t="s">
        <v>43</v>
      </c>
      <c r="C29" s="103" t="s">
        <v>244</v>
      </c>
      <c r="D29" s="103" t="s">
        <v>278</v>
      </c>
      <c r="E29" s="104" t="s">
        <v>279</v>
      </c>
      <c r="F29" s="103" t="s">
        <v>247</v>
      </c>
      <c r="G29" s="103" t="s">
        <v>207</v>
      </c>
      <c r="H29" s="103" t="s">
        <v>15</v>
      </c>
      <c r="I29" s="103" t="s">
        <v>183</v>
      </c>
      <c r="J29" s="103"/>
      <c r="K29" s="105">
        <v>86.4</v>
      </c>
      <c r="L29" s="105">
        <f>K29*VLOOKUP(H29,dagsoorttabel1,2,FALSE)</f>
        <v>43.2</v>
      </c>
      <c r="M29" s="106">
        <f>prodnorm20</f>
        <v>0</v>
      </c>
      <c r="N29" s="41">
        <f>dagwerk20</f>
        <v>0</v>
      </c>
      <c r="O29" s="103" t="s">
        <v>105</v>
      </c>
      <c r="P29" s="26">
        <f>uurtarief20</f>
        <v>0</v>
      </c>
      <c r="Q29" s="105" t="e">
        <f>IF(ISBLANK(M29),0,L29/ROUND(M29,4))</f>
        <v>#DIV/0!</v>
      </c>
      <c r="R29" s="105" t="e">
        <f>IF(ISBLANK(M29),0,Q29*ROUND(N29,2))</f>
        <v>#DIV/0!</v>
      </c>
      <c r="S29" s="26" t="e">
        <f>ROUND(P29,2)*Q29</f>
        <v>#DIV/0!</v>
      </c>
      <c r="T29" s="105" t="e">
        <f>Q29*dagenperjaar1</f>
        <v>#DIV/0!</v>
      </c>
      <c r="U29" s="27" t="e">
        <f>T29*ROUND(P29,2)</f>
        <v>#DIV/0!</v>
      </c>
    </row>
    <row r="30" spans="1:21" x14ac:dyDescent="0.2">
      <c r="A30" s="102" t="s">
        <v>243</v>
      </c>
      <c r="B30" s="103" t="s">
        <v>43</v>
      </c>
      <c r="C30" s="103" t="s">
        <v>244</v>
      </c>
      <c r="D30" s="103" t="s">
        <v>280</v>
      </c>
      <c r="E30" s="104" t="s">
        <v>281</v>
      </c>
      <c r="F30" s="103" t="s">
        <v>247</v>
      </c>
      <c r="G30" s="103" t="s">
        <v>217</v>
      </c>
      <c r="H30" s="103" t="s">
        <v>12</v>
      </c>
      <c r="I30" s="103" t="s">
        <v>183</v>
      </c>
      <c r="J30" s="103"/>
      <c r="K30" s="105">
        <v>24.4</v>
      </c>
      <c r="L30" s="105">
        <f>K30*VLOOKUP(H30,dagsoorttabel1,2,FALSE)</f>
        <v>24.4</v>
      </c>
      <c r="M30" s="106">
        <f>prodnorm27</f>
        <v>0</v>
      </c>
      <c r="N30" s="41">
        <f>dagwerk27</f>
        <v>0</v>
      </c>
      <c r="O30" s="103" t="s">
        <v>105</v>
      </c>
      <c r="P30" s="26">
        <f>uurtarief27</f>
        <v>0</v>
      </c>
      <c r="Q30" s="105" t="e">
        <f>IF(ISBLANK(M30),0,L30/ROUND(M30,4))</f>
        <v>#DIV/0!</v>
      </c>
      <c r="R30" s="105" t="e">
        <f>IF(ISBLANK(M30),0,Q30*ROUND(N30,2))</f>
        <v>#DIV/0!</v>
      </c>
      <c r="S30" s="26" t="e">
        <f>ROUND(P30,2)*Q30</f>
        <v>#DIV/0!</v>
      </c>
      <c r="T30" s="105" t="e">
        <f>Q30*dagenperjaar1</f>
        <v>#DIV/0!</v>
      </c>
      <c r="U30" s="27" t="e">
        <f>T30*ROUND(P30,2)</f>
        <v>#DIV/0!</v>
      </c>
    </row>
    <row r="31" spans="1:21" x14ac:dyDescent="0.2">
      <c r="A31" s="102" t="s">
        <v>243</v>
      </c>
      <c r="B31" s="103" t="s">
        <v>43</v>
      </c>
      <c r="C31" s="103" t="s">
        <v>244</v>
      </c>
      <c r="D31" s="103" t="s">
        <v>282</v>
      </c>
      <c r="E31" s="104" t="s">
        <v>283</v>
      </c>
      <c r="F31" s="103" t="s">
        <v>247</v>
      </c>
      <c r="G31" s="103" t="s">
        <v>205</v>
      </c>
      <c r="H31" s="103" t="s">
        <v>12</v>
      </c>
      <c r="I31" s="103" t="s">
        <v>183</v>
      </c>
      <c r="J31" s="103"/>
      <c r="K31" s="105">
        <v>2</v>
      </c>
      <c r="L31" s="105">
        <f>K31*VLOOKUP(H31,dagsoorttabel1,2,FALSE)</f>
        <v>2</v>
      </c>
      <c r="M31" s="106">
        <f>prodnorm19</f>
        <v>0</v>
      </c>
      <c r="N31" s="41">
        <f>dagwerk19</f>
        <v>0</v>
      </c>
      <c r="O31" s="103" t="s">
        <v>105</v>
      </c>
      <c r="P31" s="26">
        <f>uurtarief19</f>
        <v>0</v>
      </c>
      <c r="Q31" s="105" t="e">
        <f>IF(ISBLANK(M31),0,L31/ROUND(M31,4))</f>
        <v>#DIV/0!</v>
      </c>
      <c r="R31" s="105" t="e">
        <f>IF(ISBLANK(M31),0,Q31*ROUND(N31,2))</f>
        <v>#DIV/0!</v>
      </c>
      <c r="S31" s="26" t="e">
        <f>ROUND(P31,2)*Q31</f>
        <v>#DIV/0!</v>
      </c>
      <c r="T31" s="105" t="e">
        <f>Q31*dagenperjaar1</f>
        <v>#DIV/0!</v>
      </c>
      <c r="U31" s="27" t="e">
        <f>T31*ROUND(P31,2)</f>
        <v>#DIV/0!</v>
      </c>
    </row>
    <row r="32" spans="1:21" x14ac:dyDescent="0.2">
      <c r="A32" s="102" t="s">
        <v>243</v>
      </c>
      <c r="B32" s="103" t="s">
        <v>43</v>
      </c>
      <c r="C32" s="103" t="s">
        <v>244</v>
      </c>
      <c r="D32" s="103" t="s">
        <v>284</v>
      </c>
      <c r="E32" s="104" t="s">
        <v>285</v>
      </c>
      <c r="F32" s="103" t="s">
        <v>247</v>
      </c>
      <c r="G32" s="103" t="s">
        <v>217</v>
      </c>
      <c r="H32" s="103" t="s">
        <v>12</v>
      </c>
      <c r="I32" s="103" t="s">
        <v>183</v>
      </c>
      <c r="J32" s="103"/>
      <c r="K32" s="105">
        <v>405.9</v>
      </c>
      <c r="L32" s="105">
        <f>K32*VLOOKUP(H32,dagsoorttabel1,2,FALSE)</f>
        <v>405.9</v>
      </c>
      <c r="M32" s="106">
        <f>prodnorm27</f>
        <v>0</v>
      </c>
      <c r="N32" s="41">
        <f>dagwerk27</f>
        <v>0</v>
      </c>
      <c r="O32" s="103" t="s">
        <v>105</v>
      </c>
      <c r="P32" s="26">
        <f>uurtarief27</f>
        <v>0</v>
      </c>
      <c r="Q32" s="105" t="e">
        <f>IF(ISBLANK(M32),0,L32/ROUND(M32,4))</f>
        <v>#DIV/0!</v>
      </c>
      <c r="R32" s="105" t="e">
        <f>IF(ISBLANK(M32),0,Q32*ROUND(N32,2))</f>
        <v>#DIV/0!</v>
      </c>
      <c r="S32" s="26" t="e">
        <f>ROUND(P32,2)*Q32</f>
        <v>#DIV/0!</v>
      </c>
      <c r="T32" s="105" t="e">
        <f>Q32*dagenperjaar1</f>
        <v>#DIV/0!</v>
      </c>
      <c r="U32" s="27" t="e">
        <f>T32*ROUND(P32,2)</f>
        <v>#DIV/0!</v>
      </c>
    </row>
    <row r="33" spans="1:21" x14ac:dyDescent="0.2">
      <c r="A33" s="102" t="s">
        <v>243</v>
      </c>
      <c r="B33" s="103" t="s">
        <v>43</v>
      </c>
      <c r="C33" s="103" t="s">
        <v>244</v>
      </c>
      <c r="D33" s="103" t="s">
        <v>286</v>
      </c>
      <c r="E33" s="104" t="s">
        <v>287</v>
      </c>
      <c r="F33" s="103" t="s">
        <v>247</v>
      </c>
      <c r="G33" s="103" t="s">
        <v>193</v>
      </c>
      <c r="H33" s="103" t="s">
        <v>12</v>
      </c>
      <c r="I33" s="103" t="s">
        <v>183</v>
      </c>
      <c r="J33" s="103"/>
      <c r="K33" s="105">
        <v>107.3</v>
      </c>
      <c r="L33" s="105">
        <f>K33*VLOOKUP(H33,dagsoorttabel1,2,FALSE)</f>
        <v>107.3</v>
      </c>
      <c r="M33" s="106">
        <f>prodnorm12</f>
        <v>0</v>
      </c>
      <c r="N33" s="41">
        <f>dagwerk12</f>
        <v>0</v>
      </c>
      <c r="O33" s="103" t="s">
        <v>105</v>
      </c>
      <c r="P33" s="26">
        <f>uurtarief12</f>
        <v>0</v>
      </c>
      <c r="Q33" s="105" t="e">
        <f>IF(ISBLANK(M33),0,L33/ROUND(M33,4))</f>
        <v>#DIV/0!</v>
      </c>
      <c r="R33" s="105" t="e">
        <f>IF(ISBLANK(M33),0,Q33*ROUND(N33,2))</f>
        <v>#DIV/0!</v>
      </c>
      <c r="S33" s="26" t="e">
        <f>ROUND(P33,2)*Q33</f>
        <v>#DIV/0!</v>
      </c>
      <c r="T33" s="105" t="e">
        <f>Q33*dagenperjaar1</f>
        <v>#DIV/0!</v>
      </c>
      <c r="U33" s="27" t="e">
        <f>T33*ROUND(P33,2)</f>
        <v>#DIV/0!</v>
      </c>
    </row>
    <row r="34" spans="1:21" x14ac:dyDescent="0.2">
      <c r="A34" s="102" t="s">
        <v>243</v>
      </c>
      <c r="B34" s="103" t="s">
        <v>43</v>
      </c>
      <c r="C34" s="103" t="s">
        <v>244</v>
      </c>
      <c r="D34" s="103" t="s">
        <v>288</v>
      </c>
      <c r="E34" s="104" t="s">
        <v>289</v>
      </c>
      <c r="F34" s="103" t="s">
        <v>247</v>
      </c>
      <c r="G34" s="103" t="s">
        <v>182</v>
      </c>
      <c r="H34" s="103" t="s">
        <v>12</v>
      </c>
      <c r="I34" s="103" t="s">
        <v>183</v>
      </c>
      <c r="J34" s="103"/>
      <c r="K34" s="105">
        <v>165.6</v>
      </c>
      <c r="L34" s="105">
        <f>K34*VLOOKUP(H34,dagsoorttabel1,2,FALSE)</f>
        <v>165.6</v>
      </c>
      <c r="M34" s="106">
        <f>prodnorm7</f>
        <v>0</v>
      </c>
      <c r="N34" s="41">
        <f>dagwerk7</f>
        <v>0</v>
      </c>
      <c r="O34" s="103" t="s">
        <v>105</v>
      </c>
      <c r="P34" s="26">
        <f>uurtarief7</f>
        <v>0</v>
      </c>
      <c r="Q34" s="105" t="e">
        <f>IF(ISBLANK(M34),0,L34/ROUND(M34,4))</f>
        <v>#DIV/0!</v>
      </c>
      <c r="R34" s="105" t="e">
        <f>IF(ISBLANK(M34),0,Q34*ROUND(N34,2))</f>
        <v>#DIV/0!</v>
      </c>
      <c r="S34" s="26" t="e">
        <f>ROUND(P34,2)*Q34</f>
        <v>#DIV/0!</v>
      </c>
      <c r="T34" s="105" t="e">
        <f>Q34*dagenperjaar1</f>
        <v>#DIV/0!</v>
      </c>
      <c r="U34" s="27" t="e">
        <f>T34*ROUND(P34,2)</f>
        <v>#DIV/0!</v>
      </c>
    </row>
    <row r="35" spans="1:21" x14ac:dyDescent="0.2">
      <c r="A35" s="102" t="s">
        <v>243</v>
      </c>
      <c r="B35" s="103" t="s">
        <v>43</v>
      </c>
      <c r="C35" s="103" t="s">
        <v>244</v>
      </c>
      <c r="D35" s="103" t="s">
        <v>288</v>
      </c>
      <c r="E35" s="104" t="s">
        <v>289</v>
      </c>
      <c r="F35" s="103" t="s">
        <v>247</v>
      </c>
      <c r="G35" s="103" t="s">
        <v>185</v>
      </c>
      <c r="H35" s="103" t="s">
        <v>9</v>
      </c>
      <c r="I35" s="103" t="s">
        <v>183</v>
      </c>
      <c r="J35" s="103"/>
      <c r="K35" s="105">
        <v>165.6</v>
      </c>
      <c r="L35" s="105">
        <f>K35*VLOOKUP(H35,dagsoorttabel1,2,FALSE)</f>
        <v>331.2</v>
      </c>
      <c r="M35" s="106">
        <f>prodnorm8</f>
        <v>0</v>
      </c>
      <c r="N35" s="41">
        <f>dagwerk8</f>
        <v>0</v>
      </c>
      <c r="O35" s="103" t="s">
        <v>105</v>
      </c>
      <c r="P35" s="26">
        <f>uurtarief8</f>
        <v>0</v>
      </c>
      <c r="Q35" s="105" t="e">
        <f>IF(ISBLANK(M35),0,L35/ROUND(M35,4))</f>
        <v>#DIV/0!</v>
      </c>
      <c r="R35" s="105" t="e">
        <f>IF(ISBLANK(M35),0,Q35*ROUND(N35,2))</f>
        <v>#DIV/0!</v>
      </c>
      <c r="S35" s="26" t="e">
        <f>ROUND(P35,2)*Q35</f>
        <v>#DIV/0!</v>
      </c>
      <c r="T35" s="105" t="e">
        <f>Q35*dagenperjaar1</f>
        <v>#DIV/0!</v>
      </c>
      <c r="U35" s="27" t="e">
        <f>T35*ROUND(P35,2)</f>
        <v>#DIV/0!</v>
      </c>
    </row>
    <row r="36" spans="1:21" x14ac:dyDescent="0.2">
      <c r="A36" s="102" t="s">
        <v>243</v>
      </c>
      <c r="B36" s="103" t="s">
        <v>43</v>
      </c>
      <c r="C36" s="103" t="s">
        <v>244</v>
      </c>
      <c r="D36" s="103" t="s">
        <v>290</v>
      </c>
      <c r="E36" s="104" t="s">
        <v>291</v>
      </c>
      <c r="F36" s="103" t="s">
        <v>247</v>
      </c>
      <c r="G36" s="103" t="s">
        <v>217</v>
      </c>
      <c r="H36" s="103" t="s">
        <v>12</v>
      </c>
      <c r="I36" s="103" t="s">
        <v>183</v>
      </c>
      <c r="J36" s="103"/>
      <c r="K36" s="105">
        <v>65.2</v>
      </c>
      <c r="L36" s="105">
        <f>K36*VLOOKUP(H36,dagsoorttabel1,2,FALSE)</f>
        <v>65.2</v>
      </c>
      <c r="M36" s="106">
        <f>prodnorm27</f>
        <v>0</v>
      </c>
      <c r="N36" s="41">
        <f>dagwerk27</f>
        <v>0</v>
      </c>
      <c r="O36" s="103" t="s">
        <v>105</v>
      </c>
      <c r="P36" s="26">
        <f>uurtarief27</f>
        <v>0</v>
      </c>
      <c r="Q36" s="105" t="e">
        <f>IF(ISBLANK(M36),0,L36/ROUND(M36,4))</f>
        <v>#DIV/0!</v>
      </c>
      <c r="R36" s="105" t="e">
        <f>IF(ISBLANK(M36),0,Q36*ROUND(N36,2))</f>
        <v>#DIV/0!</v>
      </c>
      <c r="S36" s="26" t="e">
        <f>ROUND(P36,2)*Q36</f>
        <v>#DIV/0!</v>
      </c>
      <c r="T36" s="105" t="e">
        <f>Q36*dagenperjaar1</f>
        <v>#DIV/0!</v>
      </c>
      <c r="U36" s="27" t="e">
        <f>T36*ROUND(P36,2)</f>
        <v>#DIV/0!</v>
      </c>
    </row>
    <row r="37" spans="1:21" x14ac:dyDescent="0.2">
      <c r="A37" s="102" t="s">
        <v>243</v>
      </c>
      <c r="B37" s="103" t="s">
        <v>43</v>
      </c>
      <c r="C37" s="103" t="s">
        <v>244</v>
      </c>
      <c r="D37" s="103" t="s">
        <v>292</v>
      </c>
      <c r="E37" s="104" t="s">
        <v>249</v>
      </c>
      <c r="F37" s="103" t="s">
        <v>247</v>
      </c>
      <c r="G37" s="103" t="s">
        <v>215</v>
      </c>
      <c r="H37" s="103" t="s">
        <v>12</v>
      </c>
      <c r="I37" s="103" t="s">
        <v>183</v>
      </c>
      <c r="J37" s="103"/>
      <c r="K37" s="105">
        <v>24.8</v>
      </c>
      <c r="L37" s="105">
        <f>K37*VLOOKUP(H37,dagsoorttabel1,2,FALSE)</f>
        <v>24.8</v>
      </c>
      <c r="M37" s="106">
        <f>prodnorm26</f>
        <v>0</v>
      </c>
      <c r="N37" s="41">
        <f>dagwerk26</f>
        <v>0</v>
      </c>
      <c r="O37" s="103" t="s">
        <v>105</v>
      </c>
      <c r="P37" s="26">
        <f>uurtarief26</f>
        <v>0</v>
      </c>
      <c r="Q37" s="105" t="e">
        <f>IF(ISBLANK(M37),0,L37/ROUND(M37,4))</f>
        <v>#DIV/0!</v>
      </c>
      <c r="R37" s="105" t="e">
        <f>IF(ISBLANK(M37),0,Q37*ROUND(N37,2))</f>
        <v>#DIV/0!</v>
      </c>
      <c r="S37" s="26" t="e">
        <f>ROUND(P37,2)*Q37</f>
        <v>#DIV/0!</v>
      </c>
      <c r="T37" s="105" t="e">
        <f>Q37*dagenperjaar1</f>
        <v>#DIV/0!</v>
      </c>
      <c r="U37" s="27" t="e">
        <f>T37*ROUND(P37,2)</f>
        <v>#DIV/0!</v>
      </c>
    </row>
    <row r="38" spans="1:21" x14ac:dyDescent="0.2">
      <c r="A38" s="102" t="s">
        <v>243</v>
      </c>
      <c r="B38" s="103" t="s">
        <v>43</v>
      </c>
      <c r="C38" s="103" t="s">
        <v>244</v>
      </c>
      <c r="D38" s="103" t="s">
        <v>293</v>
      </c>
      <c r="E38" s="104" t="s">
        <v>294</v>
      </c>
      <c r="F38" s="103" t="s">
        <v>247</v>
      </c>
      <c r="G38" s="103" t="s">
        <v>195</v>
      </c>
      <c r="H38" s="103" t="s">
        <v>12</v>
      </c>
      <c r="I38" s="103" t="s">
        <v>183</v>
      </c>
      <c r="J38" s="103"/>
      <c r="K38" s="105">
        <v>3</v>
      </c>
      <c r="L38" s="105">
        <f>K38*VLOOKUP(H38,dagsoorttabel1,2,FALSE)</f>
        <v>3</v>
      </c>
      <c r="M38" s="106">
        <f>prodnorm14</f>
        <v>0</v>
      </c>
      <c r="N38" s="41">
        <f>dagwerk14</f>
        <v>0</v>
      </c>
      <c r="O38" s="103" t="s">
        <v>105</v>
      </c>
      <c r="P38" s="26">
        <f>uurtarief14</f>
        <v>0</v>
      </c>
      <c r="Q38" s="105" t="e">
        <f>IF(ISBLANK(M38),0,L38/ROUND(M38,4))</f>
        <v>#DIV/0!</v>
      </c>
      <c r="R38" s="105" t="e">
        <f>IF(ISBLANK(M38),0,Q38*ROUND(N38,2))</f>
        <v>#DIV/0!</v>
      </c>
      <c r="S38" s="26" t="e">
        <f>ROUND(P38,2)*Q38</f>
        <v>#DIV/0!</v>
      </c>
      <c r="T38" s="105" t="e">
        <f>Q38*dagenperjaar1</f>
        <v>#DIV/0!</v>
      </c>
      <c r="U38" s="27" t="e">
        <f>T38*ROUND(P38,2)</f>
        <v>#DIV/0!</v>
      </c>
    </row>
    <row r="39" spans="1:21" x14ac:dyDescent="0.2">
      <c r="A39" s="102" t="s">
        <v>243</v>
      </c>
      <c r="B39" s="103" t="s">
        <v>43</v>
      </c>
      <c r="C39" s="103" t="s">
        <v>244</v>
      </c>
      <c r="D39" s="103" t="s">
        <v>295</v>
      </c>
      <c r="E39" s="104" t="s">
        <v>296</v>
      </c>
      <c r="F39" s="103" t="s">
        <v>247</v>
      </c>
      <c r="G39" s="103" t="s">
        <v>217</v>
      </c>
      <c r="H39" s="103" t="s">
        <v>12</v>
      </c>
      <c r="I39" s="103" t="s">
        <v>183</v>
      </c>
      <c r="J39" s="103"/>
      <c r="K39" s="105">
        <v>31.9</v>
      </c>
      <c r="L39" s="105">
        <f>K39*VLOOKUP(H39,dagsoorttabel1,2,FALSE)</f>
        <v>31.9</v>
      </c>
      <c r="M39" s="106">
        <f>prodnorm27</f>
        <v>0</v>
      </c>
      <c r="N39" s="41">
        <f>dagwerk27</f>
        <v>0</v>
      </c>
      <c r="O39" s="103" t="s">
        <v>105</v>
      </c>
      <c r="P39" s="26">
        <f>uurtarief27</f>
        <v>0</v>
      </c>
      <c r="Q39" s="105" t="e">
        <f>IF(ISBLANK(M39),0,L39/ROUND(M39,4))</f>
        <v>#DIV/0!</v>
      </c>
      <c r="R39" s="105" t="e">
        <f>IF(ISBLANK(M39),0,Q39*ROUND(N39,2))</f>
        <v>#DIV/0!</v>
      </c>
      <c r="S39" s="26" t="e">
        <f>ROUND(P39,2)*Q39</f>
        <v>#DIV/0!</v>
      </c>
      <c r="T39" s="105" t="e">
        <f>Q39*dagenperjaar1</f>
        <v>#DIV/0!</v>
      </c>
      <c r="U39" s="27" t="e">
        <f>T39*ROUND(P39,2)</f>
        <v>#DIV/0!</v>
      </c>
    </row>
    <row r="40" spans="1:21" x14ac:dyDescent="0.2">
      <c r="A40" s="102" t="s">
        <v>243</v>
      </c>
      <c r="B40" s="103" t="s">
        <v>43</v>
      </c>
      <c r="C40" s="103" t="s">
        <v>244</v>
      </c>
      <c r="D40" s="103" t="s">
        <v>297</v>
      </c>
      <c r="E40" s="104" t="s">
        <v>298</v>
      </c>
      <c r="F40" s="103" t="s">
        <v>270</v>
      </c>
      <c r="G40" s="103" t="s">
        <v>211</v>
      </c>
      <c r="H40" s="103" t="s">
        <v>12</v>
      </c>
      <c r="I40" s="103" t="s">
        <v>183</v>
      </c>
      <c r="J40" s="103"/>
      <c r="K40" s="105">
        <v>57.2</v>
      </c>
      <c r="L40" s="105">
        <f>K40*VLOOKUP(H40,dagsoorttabel1,2,FALSE)</f>
        <v>57.2</v>
      </c>
      <c r="M40" s="106">
        <f>prodnorm22</f>
        <v>0</v>
      </c>
      <c r="N40" s="41">
        <f>dagwerk22</f>
        <v>0</v>
      </c>
      <c r="O40" s="103" t="s">
        <v>105</v>
      </c>
      <c r="P40" s="26">
        <f>uurtarief22</f>
        <v>0</v>
      </c>
      <c r="Q40" s="105" t="e">
        <f>IF(ISBLANK(M40),0,L40/ROUND(M40,4))</f>
        <v>#DIV/0!</v>
      </c>
      <c r="R40" s="105" t="e">
        <f>IF(ISBLANK(M40),0,Q40*ROUND(N40,2))</f>
        <v>#DIV/0!</v>
      </c>
      <c r="S40" s="26" t="e">
        <f>ROUND(P40,2)*Q40</f>
        <v>#DIV/0!</v>
      </c>
      <c r="T40" s="105" t="e">
        <f>Q40*dagenperjaar1</f>
        <v>#DIV/0!</v>
      </c>
      <c r="U40" s="27" t="e">
        <f>T40*ROUND(P40,2)</f>
        <v>#DIV/0!</v>
      </c>
    </row>
    <row r="41" spans="1:21" x14ac:dyDescent="0.2">
      <c r="A41" s="102" t="s">
        <v>243</v>
      </c>
      <c r="B41" s="103" t="s">
        <v>43</v>
      </c>
      <c r="C41" s="103" t="s">
        <v>244</v>
      </c>
      <c r="D41" s="103" t="s">
        <v>297</v>
      </c>
      <c r="E41" s="104" t="s">
        <v>298</v>
      </c>
      <c r="F41" s="103" t="s">
        <v>270</v>
      </c>
      <c r="G41" s="103" t="s">
        <v>213</v>
      </c>
      <c r="H41" s="103" t="s">
        <v>12</v>
      </c>
      <c r="I41" s="103" t="s">
        <v>183</v>
      </c>
      <c r="J41" s="103"/>
      <c r="K41" s="105">
        <v>57.2</v>
      </c>
      <c r="L41" s="105">
        <f>K41*VLOOKUP(H41,dagsoorttabel1,2,FALSE)</f>
        <v>57.2</v>
      </c>
      <c r="M41" s="106">
        <f>prodnorm24</f>
        <v>0</v>
      </c>
      <c r="N41" s="41">
        <f>dagwerk24</f>
        <v>0</v>
      </c>
      <c r="O41" s="103" t="s">
        <v>105</v>
      </c>
      <c r="P41" s="26">
        <f>uurtarief24</f>
        <v>0</v>
      </c>
      <c r="Q41" s="105" t="e">
        <f>IF(ISBLANK(M41),0,L41/ROUND(M41,4))</f>
        <v>#DIV/0!</v>
      </c>
      <c r="R41" s="105" t="e">
        <f>IF(ISBLANK(M41),0,Q41*ROUND(N41,2))</f>
        <v>#DIV/0!</v>
      </c>
      <c r="S41" s="26" t="e">
        <f>ROUND(P41,2)*Q41</f>
        <v>#DIV/0!</v>
      </c>
      <c r="T41" s="105" t="e">
        <f>Q41*dagenperjaar1</f>
        <v>#DIV/0!</v>
      </c>
      <c r="U41" s="27" t="e">
        <f>T41*ROUND(P41,2)</f>
        <v>#DIV/0!</v>
      </c>
    </row>
    <row r="42" spans="1:21" x14ac:dyDescent="0.2">
      <c r="A42" s="102" t="s">
        <v>243</v>
      </c>
      <c r="B42" s="103" t="s">
        <v>43</v>
      </c>
      <c r="C42" s="103" t="s">
        <v>244</v>
      </c>
      <c r="D42" s="103" t="s">
        <v>299</v>
      </c>
      <c r="E42" s="104" t="s">
        <v>276</v>
      </c>
      <c r="F42" s="103" t="s">
        <v>270</v>
      </c>
      <c r="G42" s="103" t="s">
        <v>211</v>
      </c>
      <c r="H42" s="103" t="s">
        <v>12</v>
      </c>
      <c r="I42" s="103" t="s">
        <v>183</v>
      </c>
      <c r="J42" s="103"/>
      <c r="K42" s="105">
        <v>57.2</v>
      </c>
      <c r="L42" s="105">
        <f>K42*VLOOKUP(H42,dagsoorttabel1,2,FALSE)</f>
        <v>57.2</v>
      </c>
      <c r="M42" s="106">
        <f>prodnorm22</f>
        <v>0</v>
      </c>
      <c r="N42" s="41">
        <f>dagwerk22</f>
        <v>0</v>
      </c>
      <c r="O42" s="103" t="s">
        <v>105</v>
      </c>
      <c r="P42" s="26">
        <f>uurtarief22</f>
        <v>0</v>
      </c>
      <c r="Q42" s="105" t="e">
        <f>IF(ISBLANK(M42),0,L42/ROUND(M42,4))</f>
        <v>#DIV/0!</v>
      </c>
      <c r="R42" s="105" t="e">
        <f>IF(ISBLANK(M42),0,Q42*ROUND(N42,2))</f>
        <v>#DIV/0!</v>
      </c>
      <c r="S42" s="26" t="e">
        <f>ROUND(P42,2)*Q42</f>
        <v>#DIV/0!</v>
      </c>
      <c r="T42" s="105" t="e">
        <f>Q42*dagenperjaar1</f>
        <v>#DIV/0!</v>
      </c>
      <c r="U42" s="27" t="e">
        <f>T42*ROUND(P42,2)</f>
        <v>#DIV/0!</v>
      </c>
    </row>
    <row r="43" spans="1:21" x14ac:dyDescent="0.2">
      <c r="A43" s="102" t="s">
        <v>243</v>
      </c>
      <c r="B43" s="103" t="s">
        <v>43</v>
      </c>
      <c r="C43" s="103" t="s">
        <v>244</v>
      </c>
      <c r="D43" s="103" t="s">
        <v>299</v>
      </c>
      <c r="E43" s="104" t="s">
        <v>276</v>
      </c>
      <c r="F43" s="103" t="s">
        <v>270</v>
      </c>
      <c r="G43" s="103" t="s">
        <v>213</v>
      </c>
      <c r="H43" s="103" t="s">
        <v>12</v>
      </c>
      <c r="I43" s="103" t="s">
        <v>183</v>
      </c>
      <c r="J43" s="103"/>
      <c r="K43" s="105">
        <v>57.2</v>
      </c>
      <c r="L43" s="105">
        <f>K43*VLOOKUP(H43,dagsoorttabel1,2,FALSE)</f>
        <v>57.2</v>
      </c>
      <c r="M43" s="106">
        <f>prodnorm24</f>
        <v>0</v>
      </c>
      <c r="N43" s="41">
        <f>dagwerk24</f>
        <v>0</v>
      </c>
      <c r="O43" s="103" t="s">
        <v>105</v>
      </c>
      <c r="P43" s="26">
        <f>uurtarief24</f>
        <v>0</v>
      </c>
      <c r="Q43" s="105" t="e">
        <f>IF(ISBLANK(M43),0,L43/ROUND(M43,4))</f>
        <v>#DIV/0!</v>
      </c>
      <c r="R43" s="105" t="e">
        <f>IF(ISBLANK(M43),0,Q43*ROUND(N43,2))</f>
        <v>#DIV/0!</v>
      </c>
      <c r="S43" s="26" t="e">
        <f>ROUND(P43,2)*Q43</f>
        <v>#DIV/0!</v>
      </c>
      <c r="T43" s="105" t="e">
        <f>Q43*dagenperjaar1</f>
        <v>#DIV/0!</v>
      </c>
      <c r="U43" s="27" t="e">
        <f>T43*ROUND(P43,2)</f>
        <v>#DIV/0!</v>
      </c>
    </row>
    <row r="44" spans="1:21" x14ac:dyDescent="0.2">
      <c r="A44" s="102" t="s">
        <v>243</v>
      </c>
      <c r="B44" s="103" t="s">
        <v>43</v>
      </c>
      <c r="C44" s="103" t="s">
        <v>244</v>
      </c>
      <c r="D44" s="103" t="s">
        <v>300</v>
      </c>
      <c r="E44" s="104" t="s">
        <v>301</v>
      </c>
      <c r="F44" s="103" t="s">
        <v>267</v>
      </c>
      <c r="G44" s="103" t="s">
        <v>193</v>
      </c>
      <c r="H44" s="103" t="s">
        <v>12</v>
      </c>
      <c r="I44" s="103" t="s">
        <v>183</v>
      </c>
      <c r="J44" s="103"/>
      <c r="K44" s="105">
        <v>16.7</v>
      </c>
      <c r="L44" s="105">
        <f>K44*VLOOKUP(H44,dagsoorttabel1,2,FALSE)</f>
        <v>16.7</v>
      </c>
      <c r="M44" s="106">
        <f>prodnorm12</f>
        <v>0</v>
      </c>
      <c r="N44" s="41">
        <f>dagwerk12</f>
        <v>0</v>
      </c>
      <c r="O44" s="103" t="s">
        <v>105</v>
      </c>
      <c r="P44" s="26">
        <f>uurtarief12</f>
        <v>0</v>
      </c>
      <c r="Q44" s="105" t="e">
        <f>IF(ISBLANK(M44),0,L44/ROUND(M44,4))</f>
        <v>#DIV/0!</v>
      </c>
      <c r="R44" s="105" t="e">
        <f>IF(ISBLANK(M44),0,Q44*ROUND(N44,2))</f>
        <v>#DIV/0!</v>
      </c>
      <c r="S44" s="26" t="e">
        <f>ROUND(P44,2)*Q44</f>
        <v>#DIV/0!</v>
      </c>
      <c r="T44" s="105" t="e">
        <f>Q44*dagenperjaar1</f>
        <v>#DIV/0!</v>
      </c>
      <c r="U44" s="27" t="e">
        <f>T44*ROUND(P44,2)</f>
        <v>#DIV/0!</v>
      </c>
    </row>
    <row r="45" spans="1:21" x14ac:dyDescent="0.2">
      <c r="A45" s="102" t="s">
        <v>243</v>
      </c>
      <c r="B45" s="103" t="s">
        <v>43</v>
      </c>
      <c r="C45" s="103" t="s">
        <v>244</v>
      </c>
      <c r="D45" s="103" t="s">
        <v>302</v>
      </c>
      <c r="E45" s="104" t="s">
        <v>303</v>
      </c>
      <c r="F45" s="103" t="s">
        <v>247</v>
      </c>
      <c r="G45" s="103" t="s">
        <v>217</v>
      </c>
      <c r="H45" s="103" t="s">
        <v>12</v>
      </c>
      <c r="I45" s="103" t="s">
        <v>183</v>
      </c>
      <c r="J45" s="103"/>
      <c r="K45" s="105">
        <v>111.9</v>
      </c>
      <c r="L45" s="105">
        <f>K45*VLOOKUP(H45,dagsoorttabel1,2,FALSE)</f>
        <v>111.9</v>
      </c>
      <c r="M45" s="106">
        <f>prodnorm27</f>
        <v>0</v>
      </c>
      <c r="N45" s="41">
        <f>dagwerk27</f>
        <v>0</v>
      </c>
      <c r="O45" s="103" t="s">
        <v>105</v>
      </c>
      <c r="P45" s="26">
        <f>uurtarief27</f>
        <v>0</v>
      </c>
      <c r="Q45" s="105" t="e">
        <f>IF(ISBLANK(M45),0,L45/ROUND(M45,4))</f>
        <v>#DIV/0!</v>
      </c>
      <c r="R45" s="105" t="e">
        <f>IF(ISBLANK(M45),0,Q45*ROUND(N45,2))</f>
        <v>#DIV/0!</v>
      </c>
      <c r="S45" s="26" t="e">
        <f>ROUND(P45,2)*Q45</f>
        <v>#DIV/0!</v>
      </c>
      <c r="T45" s="105" t="e">
        <f>Q45*dagenperjaar1</f>
        <v>#DIV/0!</v>
      </c>
      <c r="U45" s="27" t="e">
        <f>T45*ROUND(P45,2)</f>
        <v>#DIV/0!</v>
      </c>
    </row>
    <row r="46" spans="1:21" x14ac:dyDescent="0.2">
      <c r="A46" s="102" t="s">
        <v>243</v>
      </c>
      <c r="B46" s="103" t="s">
        <v>43</v>
      </c>
      <c r="C46" s="103" t="s">
        <v>304</v>
      </c>
      <c r="D46" s="103" t="s">
        <v>305</v>
      </c>
      <c r="E46" s="104" t="s">
        <v>306</v>
      </c>
      <c r="F46" s="103" t="s">
        <v>247</v>
      </c>
      <c r="G46" s="103" t="s">
        <v>228</v>
      </c>
      <c r="H46" s="103" t="s">
        <v>15</v>
      </c>
      <c r="I46" s="103" t="s">
        <v>222</v>
      </c>
      <c r="J46" s="103"/>
      <c r="K46" s="105">
        <v>56.6</v>
      </c>
      <c r="L46" s="105">
        <f>K46*VLOOKUP(H46,dagsoorttabel1,2,FALSE)</f>
        <v>28.3</v>
      </c>
      <c r="M46" s="106">
        <f>prodnorm6</f>
        <v>0</v>
      </c>
      <c r="N46" s="41">
        <f>dagwerk6</f>
        <v>0</v>
      </c>
      <c r="O46" s="103" t="s">
        <v>105</v>
      </c>
      <c r="P46" s="26">
        <f>uurtarief6</f>
        <v>0</v>
      </c>
      <c r="Q46" s="105" t="e">
        <f>IF(ISBLANK(M46),0,L46/ROUND(M46,4))</f>
        <v>#DIV/0!</v>
      </c>
      <c r="R46" s="105" t="e">
        <f>IF(ISBLANK(M46),0,Q46*ROUND(N46,2))</f>
        <v>#DIV/0!</v>
      </c>
      <c r="S46" s="26" t="e">
        <f>ROUND(P46,2)*Q46</f>
        <v>#DIV/0!</v>
      </c>
      <c r="T46" s="105" t="e">
        <f>Q46*dagenperjaar1</f>
        <v>#DIV/0!</v>
      </c>
      <c r="U46" s="27" t="e">
        <f>T46*ROUND(P46,2)</f>
        <v>#DIV/0!</v>
      </c>
    </row>
    <row r="47" spans="1:21" x14ac:dyDescent="0.2">
      <c r="A47" s="102" t="s">
        <v>243</v>
      </c>
      <c r="B47" s="103" t="s">
        <v>43</v>
      </c>
      <c r="C47" s="103" t="s">
        <v>304</v>
      </c>
      <c r="D47" s="103" t="s">
        <v>305</v>
      </c>
      <c r="E47" s="104" t="s">
        <v>306</v>
      </c>
      <c r="F47" s="103" t="s">
        <v>247</v>
      </c>
      <c r="G47" s="103" t="s">
        <v>197</v>
      </c>
      <c r="H47" s="103" t="s">
        <v>15</v>
      </c>
      <c r="I47" s="103" t="s">
        <v>183</v>
      </c>
      <c r="J47" s="103"/>
      <c r="K47" s="105">
        <v>56.6</v>
      </c>
      <c r="L47" s="105">
        <f>K47*VLOOKUP(H47,dagsoorttabel1,2,FALSE)</f>
        <v>28.3</v>
      </c>
      <c r="M47" s="106">
        <f>prodnorm15</f>
        <v>0</v>
      </c>
      <c r="N47" s="41">
        <f>dagwerk15</f>
        <v>0</v>
      </c>
      <c r="O47" s="103" t="s">
        <v>105</v>
      </c>
      <c r="P47" s="26">
        <f>uurtarief15</f>
        <v>0</v>
      </c>
      <c r="Q47" s="105" t="e">
        <f>IF(ISBLANK(M47),0,L47/ROUND(M47,4))</f>
        <v>#DIV/0!</v>
      </c>
      <c r="R47" s="105" t="e">
        <f>IF(ISBLANK(M47),0,Q47*ROUND(N47,2))</f>
        <v>#DIV/0!</v>
      </c>
      <c r="S47" s="26" t="e">
        <f>ROUND(P47,2)*Q47</f>
        <v>#DIV/0!</v>
      </c>
      <c r="T47" s="105" t="e">
        <f>Q47*dagenperjaar1</f>
        <v>#DIV/0!</v>
      </c>
      <c r="U47" s="27" t="e">
        <f>T47*ROUND(P47,2)</f>
        <v>#DIV/0!</v>
      </c>
    </row>
    <row r="48" spans="1:21" x14ac:dyDescent="0.2">
      <c r="A48" s="102" t="s">
        <v>243</v>
      </c>
      <c r="B48" s="103" t="s">
        <v>43</v>
      </c>
      <c r="C48" s="103" t="s">
        <v>304</v>
      </c>
      <c r="D48" s="103" t="s">
        <v>307</v>
      </c>
      <c r="E48" s="104" t="s">
        <v>308</v>
      </c>
      <c r="F48" s="103" t="s">
        <v>247</v>
      </c>
      <c r="G48" s="103" t="s">
        <v>228</v>
      </c>
      <c r="H48" s="103" t="s">
        <v>15</v>
      </c>
      <c r="I48" s="103" t="s">
        <v>222</v>
      </c>
      <c r="J48" s="103"/>
      <c r="K48" s="105">
        <v>86.4</v>
      </c>
      <c r="L48" s="105">
        <f>K48*VLOOKUP(H48,dagsoorttabel1,2,FALSE)</f>
        <v>43.2</v>
      </c>
      <c r="M48" s="106">
        <f>prodnorm6</f>
        <v>0</v>
      </c>
      <c r="N48" s="41">
        <f>dagwerk6</f>
        <v>0</v>
      </c>
      <c r="O48" s="103" t="s">
        <v>105</v>
      </c>
      <c r="P48" s="26">
        <f>uurtarief6</f>
        <v>0</v>
      </c>
      <c r="Q48" s="105" t="e">
        <f>IF(ISBLANK(M48),0,L48/ROUND(M48,4))</f>
        <v>#DIV/0!</v>
      </c>
      <c r="R48" s="105" t="e">
        <f>IF(ISBLANK(M48),0,Q48*ROUND(N48,2))</f>
        <v>#DIV/0!</v>
      </c>
      <c r="S48" s="26" t="e">
        <f>ROUND(P48,2)*Q48</f>
        <v>#DIV/0!</v>
      </c>
      <c r="T48" s="105" t="e">
        <f>Q48*dagenperjaar1</f>
        <v>#DIV/0!</v>
      </c>
      <c r="U48" s="27" t="e">
        <f>T48*ROUND(P48,2)</f>
        <v>#DIV/0!</v>
      </c>
    </row>
    <row r="49" spans="1:21" x14ac:dyDescent="0.2">
      <c r="A49" s="102" t="s">
        <v>243</v>
      </c>
      <c r="B49" s="103" t="s">
        <v>43</v>
      </c>
      <c r="C49" s="103" t="s">
        <v>304</v>
      </c>
      <c r="D49" s="103" t="s">
        <v>307</v>
      </c>
      <c r="E49" s="104" t="s">
        <v>308</v>
      </c>
      <c r="F49" s="103" t="s">
        <v>247</v>
      </c>
      <c r="G49" s="103" t="s">
        <v>197</v>
      </c>
      <c r="H49" s="103" t="s">
        <v>15</v>
      </c>
      <c r="I49" s="103" t="s">
        <v>183</v>
      </c>
      <c r="J49" s="103"/>
      <c r="K49" s="105">
        <v>86.4</v>
      </c>
      <c r="L49" s="105">
        <f>K49*VLOOKUP(H49,dagsoorttabel1,2,FALSE)</f>
        <v>43.2</v>
      </c>
      <c r="M49" s="106">
        <f>prodnorm15</f>
        <v>0</v>
      </c>
      <c r="N49" s="41">
        <f>dagwerk15</f>
        <v>0</v>
      </c>
      <c r="O49" s="103" t="s">
        <v>105</v>
      </c>
      <c r="P49" s="26">
        <f>uurtarief15</f>
        <v>0</v>
      </c>
      <c r="Q49" s="105" t="e">
        <f>IF(ISBLANK(M49),0,L49/ROUND(M49,4))</f>
        <v>#DIV/0!</v>
      </c>
      <c r="R49" s="105" t="e">
        <f>IF(ISBLANK(M49),0,Q49*ROUND(N49,2))</f>
        <v>#DIV/0!</v>
      </c>
      <c r="S49" s="26" t="e">
        <f>ROUND(P49,2)*Q49</f>
        <v>#DIV/0!</v>
      </c>
      <c r="T49" s="105" t="e">
        <f>Q49*dagenperjaar1</f>
        <v>#DIV/0!</v>
      </c>
      <c r="U49" s="27" t="e">
        <f>T49*ROUND(P49,2)</f>
        <v>#DIV/0!</v>
      </c>
    </row>
    <row r="50" spans="1:21" x14ac:dyDescent="0.2">
      <c r="A50" s="102" t="s">
        <v>243</v>
      </c>
      <c r="B50" s="103" t="s">
        <v>43</v>
      </c>
      <c r="C50" s="103" t="s">
        <v>304</v>
      </c>
      <c r="D50" s="103" t="s">
        <v>309</v>
      </c>
      <c r="E50" s="104" t="s">
        <v>306</v>
      </c>
      <c r="F50" s="103" t="s">
        <v>247</v>
      </c>
      <c r="G50" s="103" t="s">
        <v>228</v>
      </c>
      <c r="H50" s="103" t="s">
        <v>15</v>
      </c>
      <c r="I50" s="103" t="s">
        <v>222</v>
      </c>
      <c r="J50" s="103"/>
      <c r="K50" s="105">
        <v>57.6</v>
      </c>
      <c r="L50" s="105">
        <f>K50*VLOOKUP(H50,dagsoorttabel1,2,FALSE)</f>
        <v>28.8</v>
      </c>
      <c r="M50" s="106">
        <f>prodnorm6</f>
        <v>0</v>
      </c>
      <c r="N50" s="41">
        <f>dagwerk6</f>
        <v>0</v>
      </c>
      <c r="O50" s="103" t="s">
        <v>105</v>
      </c>
      <c r="P50" s="26">
        <f>uurtarief6</f>
        <v>0</v>
      </c>
      <c r="Q50" s="105" t="e">
        <f>IF(ISBLANK(M50),0,L50/ROUND(M50,4))</f>
        <v>#DIV/0!</v>
      </c>
      <c r="R50" s="105" t="e">
        <f>IF(ISBLANK(M50),0,Q50*ROUND(N50,2))</f>
        <v>#DIV/0!</v>
      </c>
      <c r="S50" s="26" t="e">
        <f>ROUND(P50,2)*Q50</f>
        <v>#DIV/0!</v>
      </c>
      <c r="T50" s="105" t="e">
        <f>Q50*dagenperjaar1</f>
        <v>#DIV/0!</v>
      </c>
      <c r="U50" s="27" t="e">
        <f>T50*ROUND(P50,2)</f>
        <v>#DIV/0!</v>
      </c>
    </row>
    <row r="51" spans="1:21" x14ac:dyDescent="0.2">
      <c r="A51" s="102" t="s">
        <v>243</v>
      </c>
      <c r="B51" s="103" t="s">
        <v>43</v>
      </c>
      <c r="C51" s="103" t="s">
        <v>304</v>
      </c>
      <c r="D51" s="103" t="s">
        <v>309</v>
      </c>
      <c r="E51" s="104" t="s">
        <v>306</v>
      </c>
      <c r="F51" s="103" t="s">
        <v>247</v>
      </c>
      <c r="G51" s="103" t="s">
        <v>197</v>
      </c>
      <c r="H51" s="103" t="s">
        <v>15</v>
      </c>
      <c r="I51" s="103" t="s">
        <v>183</v>
      </c>
      <c r="J51" s="103"/>
      <c r="K51" s="105">
        <v>57.6</v>
      </c>
      <c r="L51" s="105">
        <f>K51*VLOOKUP(H51,dagsoorttabel1,2,FALSE)</f>
        <v>28.8</v>
      </c>
      <c r="M51" s="106">
        <f>prodnorm15</f>
        <v>0</v>
      </c>
      <c r="N51" s="41">
        <f>dagwerk15</f>
        <v>0</v>
      </c>
      <c r="O51" s="103" t="s">
        <v>105</v>
      </c>
      <c r="P51" s="26">
        <f>uurtarief15</f>
        <v>0</v>
      </c>
      <c r="Q51" s="105" t="e">
        <f>IF(ISBLANK(M51),0,L51/ROUND(M51,4))</f>
        <v>#DIV/0!</v>
      </c>
      <c r="R51" s="105" t="e">
        <f>IF(ISBLANK(M51),0,Q51*ROUND(N51,2))</f>
        <v>#DIV/0!</v>
      </c>
      <c r="S51" s="26" t="e">
        <f>ROUND(P51,2)*Q51</f>
        <v>#DIV/0!</v>
      </c>
      <c r="T51" s="105" t="e">
        <f>Q51*dagenperjaar1</f>
        <v>#DIV/0!</v>
      </c>
      <c r="U51" s="27" t="e">
        <f>T51*ROUND(P51,2)</f>
        <v>#DIV/0!</v>
      </c>
    </row>
    <row r="52" spans="1:21" x14ac:dyDescent="0.2">
      <c r="A52" s="102" t="s">
        <v>243</v>
      </c>
      <c r="B52" s="103" t="s">
        <v>43</v>
      </c>
      <c r="C52" s="103" t="s">
        <v>304</v>
      </c>
      <c r="D52" s="103" t="s">
        <v>310</v>
      </c>
      <c r="E52" s="104" t="s">
        <v>249</v>
      </c>
      <c r="F52" s="103" t="s">
        <v>247</v>
      </c>
      <c r="G52" s="103" t="s">
        <v>215</v>
      </c>
      <c r="H52" s="103" t="s">
        <v>12</v>
      </c>
      <c r="I52" s="103" t="s">
        <v>183</v>
      </c>
      <c r="J52" s="103"/>
      <c r="K52" s="105">
        <v>16.899999999999999</v>
      </c>
      <c r="L52" s="105">
        <f>K52*VLOOKUP(H52,dagsoorttabel1,2,FALSE)</f>
        <v>16.899999999999999</v>
      </c>
      <c r="M52" s="106">
        <f>prodnorm26</f>
        <v>0</v>
      </c>
      <c r="N52" s="41">
        <f>dagwerk26</f>
        <v>0</v>
      </c>
      <c r="O52" s="103" t="s">
        <v>105</v>
      </c>
      <c r="P52" s="26">
        <f>uurtarief26</f>
        <v>0</v>
      </c>
      <c r="Q52" s="105" t="e">
        <f>IF(ISBLANK(M52),0,L52/ROUND(M52,4))</f>
        <v>#DIV/0!</v>
      </c>
      <c r="R52" s="105" t="e">
        <f>IF(ISBLANK(M52),0,Q52*ROUND(N52,2))</f>
        <v>#DIV/0!</v>
      </c>
      <c r="S52" s="26" t="e">
        <f>ROUND(P52,2)*Q52</f>
        <v>#DIV/0!</v>
      </c>
      <c r="T52" s="105" t="e">
        <f>Q52*dagenperjaar1</f>
        <v>#DIV/0!</v>
      </c>
      <c r="U52" s="27" t="e">
        <f>T52*ROUND(P52,2)</f>
        <v>#DIV/0!</v>
      </c>
    </row>
    <row r="53" spans="1:21" x14ac:dyDescent="0.2">
      <c r="A53" s="102" t="s">
        <v>243</v>
      </c>
      <c r="B53" s="103" t="s">
        <v>43</v>
      </c>
      <c r="C53" s="103" t="s">
        <v>304</v>
      </c>
      <c r="D53" s="103" t="s">
        <v>311</v>
      </c>
      <c r="E53" s="104" t="s">
        <v>312</v>
      </c>
      <c r="F53" s="103" t="s">
        <v>247</v>
      </c>
      <c r="G53" s="103" t="s">
        <v>228</v>
      </c>
      <c r="H53" s="103" t="s">
        <v>15</v>
      </c>
      <c r="I53" s="103" t="s">
        <v>222</v>
      </c>
      <c r="J53" s="103"/>
      <c r="K53" s="105">
        <v>31.4</v>
      </c>
      <c r="L53" s="105">
        <f>K53*VLOOKUP(H53,dagsoorttabel1,2,FALSE)</f>
        <v>15.7</v>
      </c>
      <c r="M53" s="106">
        <f>prodnorm6</f>
        <v>0</v>
      </c>
      <c r="N53" s="41">
        <f>dagwerk6</f>
        <v>0</v>
      </c>
      <c r="O53" s="103" t="s">
        <v>105</v>
      </c>
      <c r="P53" s="26">
        <f>uurtarief6</f>
        <v>0</v>
      </c>
      <c r="Q53" s="105" t="e">
        <f>IF(ISBLANK(M53),0,L53/ROUND(M53,4))</f>
        <v>#DIV/0!</v>
      </c>
      <c r="R53" s="105" t="e">
        <f>IF(ISBLANK(M53),0,Q53*ROUND(N53,2))</f>
        <v>#DIV/0!</v>
      </c>
      <c r="S53" s="26" t="e">
        <f>ROUND(P53,2)*Q53</f>
        <v>#DIV/0!</v>
      </c>
      <c r="T53" s="105" t="e">
        <f>Q53*dagenperjaar1</f>
        <v>#DIV/0!</v>
      </c>
      <c r="U53" s="27" t="e">
        <f>T53*ROUND(P53,2)</f>
        <v>#DIV/0!</v>
      </c>
    </row>
    <row r="54" spans="1:21" x14ac:dyDescent="0.2">
      <c r="A54" s="102" t="s">
        <v>243</v>
      </c>
      <c r="B54" s="103" t="s">
        <v>43</v>
      </c>
      <c r="C54" s="103" t="s">
        <v>304</v>
      </c>
      <c r="D54" s="103" t="s">
        <v>311</v>
      </c>
      <c r="E54" s="104" t="s">
        <v>312</v>
      </c>
      <c r="F54" s="103" t="s">
        <v>247</v>
      </c>
      <c r="G54" s="103" t="s">
        <v>187</v>
      </c>
      <c r="H54" s="103" t="s">
        <v>15</v>
      </c>
      <c r="I54" s="103" t="s">
        <v>183</v>
      </c>
      <c r="J54" s="103"/>
      <c r="K54" s="105">
        <v>31.4</v>
      </c>
      <c r="L54" s="105">
        <f>K54*VLOOKUP(H54,dagsoorttabel1,2,FALSE)</f>
        <v>15.7</v>
      </c>
      <c r="M54" s="106">
        <f>prodnorm9</f>
        <v>0</v>
      </c>
      <c r="N54" s="41">
        <f>dagwerk9</f>
        <v>0</v>
      </c>
      <c r="O54" s="103" t="s">
        <v>105</v>
      </c>
      <c r="P54" s="26">
        <f>uurtarief9</f>
        <v>0</v>
      </c>
      <c r="Q54" s="105" t="e">
        <f>IF(ISBLANK(M54),0,L54/ROUND(M54,4))</f>
        <v>#DIV/0!</v>
      </c>
      <c r="R54" s="105" t="e">
        <f>IF(ISBLANK(M54),0,Q54*ROUND(N54,2))</f>
        <v>#DIV/0!</v>
      </c>
      <c r="S54" s="26" t="e">
        <f>ROUND(P54,2)*Q54</f>
        <v>#DIV/0!</v>
      </c>
      <c r="T54" s="105" t="e">
        <f>Q54*dagenperjaar1</f>
        <v>#DIV/0!</v>
      </c>
      <c r="U54" s="27" t="e">
        <f>T54*ROUND(P54,2)</f>
        <v>#DIV/0!</v>
      </c>
    </row>
    <row r="55" spans="1:21" x14ac:dyDescent="0.2">
      <c r="A55" s="102" t="s">
        <v>243</v>
      </c>
      <c r="B55" s="103" t="s">
        <v>43</v>
      </c>
      <c r="C55" s="103" t="s">
        <v>304</v>
      </c>
      <c r="D55" s="103" t="s">
        <v>313</v>
      </c>
      <c r="E55" s="104" t="s">
        <v>306</v>
      </c>
      <c r="F55" s="103" t="s">
        <v>247</v>
      </c>
      <c r="G55" s="103" t="s">
        <v>228</v>
      </c>
      <c r="H55" s="103" t="s">
        <v>15</v>
      </c>
      <c r="I55" s="103" t="s">
        <v>222</v>
      </c>
      <c r="J55" s="103"/>
      <c r="K55" s="105">
        <v>56.3</v>
      </c>
      <c r="L55" s="105">
        <f>K55*VLOOKUP(H55,dagsoorttabel1,2,FALSE)</f>
        <v>28.15</v>
      </c>
      <c r="M55" s="106">
        <f>prodnorm6</f>
        <v>0</v>
      </c>
      <c r="N55" s="41">
        <f>dagwerk6</f>
        <v>0</v>
      </c>
      <c r="O55" s="103" t="s">
        <v>105</v>
      </c>
      <c r="P55" s="26">
        <f>uurtarief6</f>
        <v>0</v>
      </c>
      <c r="Q55" s="105" t="e">
        <f>IF(ISBLANK(M55),0,L55/ROUND(M55,4))</f>
        <v>#DIV/0!</v>
      </c>
      <c r="R55" s="105" t="e">
        <f>IF(ISBLANK(M55),0,Q55*ROUND(N55,2))</f>
        <v>#DIV/0!</v>
      </c>
      <c r="S55" s="26" t="e">
        <f>ROUND(P55,2)*Q55</f>
        <v>#DIV/0!</v>
      </c>
      <c r="T55" s="105" t="e">
        <f>Q55*dagenperjaar1</f>
        <v>#DIV/0!</v>
      </c>
      <c r="U55" s="27" t="e">
        <f>T55*ROUND(P55,2)</f>
        <v>#DIV/0!</v>
      </c>
    </row>
    <row r="56" spans="1:21" x14ac:dyDescent="0.2">
      <c r="A56" s="102" t="s">
        <v>243</v>
      </c>
      <c r="B56" s="103" t="s">
        <v>43</v>
      </c>
      <c r="C56" s="103" t="s">
        <v>304</v>
      </c>
      <c r="D56" s="103" t="s">
        <v>313</v>
      </c>
      <c r="E56" s="104" t="s">
        <v>306</v>
      </c>
      <c r="F56" s="103" t="s">
        <v>247</v>
      </c>
      <c r="G56" s="103" t="s">
        <v>197</v>
      </c>
      <c r="H56" s="103" t="s">
        <v>15</v>
      </c>
      <c r="I56" s="103" t="s">
        <v>183</v>
      </c>
      <c r="J56" s="103"/>
      <c r="K56" s="105">
        <v>56.3</v>
      </c>
      <c r="L56" s="105">
        <f>K56*VLOOKUP(H56,dagsoorttabel1,2,FALSE)</f>
        <v>28.15</v>
      </c>
      <c r="M56" s="106">
        <f>prodnorm15</f>
        <v>0</v>
      </c>
      <c r="N56" s="41">
        <f>dagwerk15</f>
        <v>0</v>
      </c>
      <c r="O56" s="103" t="s">
        <v>105</v>
      </c>
      <c r="P56" s="26">
        <f>uurtarief15</f>
        <v>0</v>
      </c>
      <c r="Q56" s="105" t="e">
        <f>IF(ISBLANK(M56),0,L56/ROUND(M56,4))</f>
        <v>#DIV/0!</v>
      </c>
      <c r="R56" s="105" t="e">
        <f>IF(ISBLANK(M56),0,Q56*ROUND(N56,2))</f>
        <v>#DIV/0!</v>
      </c>
      <c r="S56" s="26" t="e">
        <f>ROUND(P56,2)*Q56</f>
        <v>#DIV/0!</v>
      </c>
      <c r="T56" s="105" t="e">
        <f>Q56*dagenperjaar1</f>
        <v>#DIV/0!</v>
      </c>
      <c r="U56" s="27" t="e">
        <f>T56*ROUND(P56,2)</f>
        <v>#DIV/0!</v>
      </c>
    </row>
    <row r="57" spans="1:21" x14ac:dyDescent="0.2">
      <c r="A57" s="102" t="s">
        <v>243</v>
      </c>
      <c r="B57" s="103" t="s">
        <v>43</v>
      </c>
      <c r="C57" s="103" t="s">
        <v>304</v>
      </c>
      <c r="D57" s="103" t="s">
        <v>314</v>
      </c>
      <c r="E57" s="104" t="s">
        <v>306</v>
      </c>
      <c r="F57" s="103" t="s">
        <v>247</v>
      </c>
      <c r="G57" s="103" t="s">
        <v>228</v>
      </c>
      <c r="H57" s="103" t="s">
        <v>15</v>
      </c>
      <c r="I57" s="103" t="s">
        <v>222</v>
      </c>
      <c r="J57" s="103"/>
      <c r="K57" s="105">
        <v>56.3</v>
      </c>
      <c r="L57" s="105">
        <f>K57*VLOOKUP(H57,dagsoorttabel1,2,FALSE)</f>
        <v>28.15</v>
      </c>
      <c r="M57" s="106">
        <f>prodnorm6</f>
        <v>0</v>
      </c>
      <c r="N57" s="41">
        <f>dagwerk6</f>
        <v>0</v>
      </c>
      <c r="O57" s="103" t="s">
        <v>105</v>
      </c>
      <c r="P57" s="26">
        <f>uurtarief6</f>
        <v>0</v>
      </c>
      <c r="Q57" s="105" t="e">
        <f>IF(ISBLANK(M57),0,L57/ROUND(M57,4))</f>
        <v>#DIV/0!</v>
      </c>
      <c r="R57" s="105" t="e">
        <f>IF(ISBLANK(M57),0,Q57*ROUND(N57,2))</f>
        <v>#DIV/0!</v>
      </c>
      <c r="S57" s="26" t="e">
        <f>ROUND(P57,2)*Q57</f>
        <v>#DIV/0!</v>
      </c>
      <c r="T57" s="105" t="e">
        <f>Q57*dagenperjaar1</f>
        <v>#DIV/0!</v>
      </c>
      <c r="U57" s="27" t="e">
        <f>T57*ROUND(P57,2)</f>
        <v>#DIV/0!</v>
      </c>
    </row>
    <row r="58" spans="1:21" x14ac:dyDescent="0.2">
      <c r="A58" s="102" t="s">
        <v>243</v>
      </c>
      <c r="B58" s="103" t="s">
        <v>43</v>
      </c>
      <c r="C58" s="103" t="s">
        <v>304</v>
      </c>
      <c r="D58" s="103" t="s">
        <v>314</v>
      </c>
      <c r="E58" s="104" t="s">
        <v>306</v>
      </c>
      <c r="F58" s="103" t="s">
        <v>247</v>
      </c>
      <c r="G58" s="103" t="s">
        <v>197</v>
      </c>
      <c r="H58" s="103" t="s">
        <v>15</v>
      </c>
      <c r="I58" s="103" t="s">
        <v>183</v>
      </c>
      <c r="J58" s="103"/>
      <c r="K58" s="105">
        <v>56.3</v>
      </c>
      <c r="L58" s="105">
        <f>K58*VLOOKUP(H58,dagsoorttabel1,2,FALSE)</f>
        <v>28.15</v>
      </c>
      <c r="M58" s="106">
        <f>prodnorm15</f>
        <v>0</v>
      </c>
      <c r="N58" s="41">
        <f>dagwerk15</f>
        <v>0</v>
      </c>
      <c r="O58" s="103" t="s">
        <v>105</v>
      </c>
      <c r="P58" s="26">
        <f>uurtarief15</f>
        <v>0</v>
      </c>
      <c r="Q58" s="105" t="e">
        <f>IF(ISBLANK(M58),0,L58/ROUND(M58,4))</f>
        <v>#DIV/0!</v>
      </c>
      <c r="R58" s="105" t="e">
        <f>IF(ISBLANK(M58),0,Q58*ROUND(N58,2))</f>
        <v>#DIV/0!</v>
      </c>
      <c r="S58" s="26" t="e">
        <f>ROUND(P58,2)*Q58</f>
        <v>#DIV/0!</v>
      </c>
      <c r="T58" s="105" t="e">
        <f>Q58*dagenperjaar1</f>
        <v>#DIV/0!</v>
      </c>
      <c r="U58" s="27" t="e">
        <f>T58*ROUND(P58,2)</f>
        <v>#DIV/0!</v>
      </c>
    </row>
    <row r="59" spans="1:21" x14ac:dyDescent="0.2">
      <c r="A59" s="102" t="s">
        <v>243</v>
      </c>
      <c r="B59" s="103" t="s">
        <v>43</v>
      </c>
      <c r="C59" s="103" t="s">
        <v>304</v>
      </c>
      <c r="D59" s="103" t="s">
        <v>315</v>
      </c>
      <c r="E59" s="104" t="s">
        <v>306</v>
      </c>
      <c r="F59" s="103" t="s">
        <v>247</v>
      </c>
      <c r="G59" s="103" t="s">
        <v>228</v>
      </c>
      <c r="H59" s="103" t="s">
        <v>15</v>
      </c>
      <c r="I59" s="103" t="s">
        <v>222</v>
      </c>
      <c r="J59" s="103"/>
      <c r="K59" s="105">
        <v>57.4</v>
      </c>
      <c r="L59" s="105">
        <f>K59*VLOOKUP(H59,dagsoorttabel1,2,FALSE)</f>
        <v>28.7</v>
      </c>
      <c r="M59" s="106">
        <f>prodnorm6</f>
        <v>0</v>
      </c>
      <c r="N59" s="41">
        <f>dagwerk6</f>
        <v>0</v>
      </c>
      <c r="O59" s="103" t="s">
        <v>105</v>
      </c>
      <c r="P59" s="26">
        <f>uurtarief6</f>
        <v>0</v>
      </c>
      <c r="Q59" s="105" t="e">
        <f>IF(ISBLANK(M59),0,L59/ROUND(M59,4))</f>
        <v>#DIV/0!</v>
      </c>
      <c r="R59" s="105" t="e">
        <f>IF(ISBLANK(M59),0,Q59*ROUND(N59,2))</f>
        <v>#DIV/0!</v>
      </c>
      <c r="S59" s="26" t="e">
        <f>ROUND(P59,2)*Q59</f>
        <v>#DIV/0!</v>
      </c>
      <c r="T59" s="105" t="e">
        <f>Q59*dagenperjaar1</f>
        <v>#DIV/0!</v>
      </c>
      <c r="U59" s="27" t="e">
        <f>T59*ROUND(P59,2)</f>
        <v>#DIV/0!</v>
      </c>
    </row>
    <row r="60" spans="1:21" x14ac:dyDescent="0.2">
      <c r="A60" s="102" t="s">
        <v>243</v>
      </c>
      <c r="B60" s="103" t="s">
        <v>43</v>
      </c>
      <c r="C60" s="103" t="s">
        <v>304</v>
      </c>
      <c r="D60" s="103" t="s">
        <v>315</v>
      </c>
      <c r="E60" s="104" t="s">
        <v>306</v>
      </c>
      <c r="F60" s="103" t="s">
        <v>247</v>
      </c>
      <c r="G60" s="103" t="s">
        <v>197</v>
      </c>
      <c r="H60" s="103" t="s">
        <v>15</v>
      </c>
      <c r="I60" s="103" t="s">
        <v>183</v>
      </c>
      <c r="J60" s="103"/>
      <c r="K60" s="105">
        <v>57.4</v>
      </c>
      <c r="L60" s="105">
        <f>K60*VLOOKUP(H60,dagsoorttabel1,2,FALSE)</f>
        <v>28.7</v>
      </c>
      <c r="M60" s="106">
        <f>prodnorm15</f>
        <v>0</v>
      </c>
      <c r="N60" s="41">
        <f>dagwerk15</f>
        <v>0</v>
      </c>
      <c r="O60" s="103" t="s">
        <v>105</v>
      </c>
      <c r="P60" s="26">
        <f>uurtarief15</f>
        <v>0</v>
      </c>
      <c r="Q60" s="105" t="e">
        <f>IF(ISBLANK(M60),0,L60/ROUND(M60,4))</f>
        <v>#DIV/0!</v>
      </c>
      <c r="R60" s="105" t="e">
        <f>IF(ISBLANK(M60),0,Q60*ROUND(N60,2))</f>
        <v>#DIV/0!</v>
      </c>
      <c r="S60" s="26" t="e">
        <f>ROUND(P60,2)*Q60</f>
        <v>#DIV/0!</v>
      </c>
      <c r="T60" s="105" t="e">
        <f>Q60*dagenperjaar1</f>
        <v>#DIV/0!</v>
      </c>
      <c r="U60" s="27" t="e">
        <f>T60*ROUND(P60,2)</f>
        <v>#DIV/0!</v>
      </c>
    </row>
    <row r="61" spans="1:21" x14ac:dyDescent="0.2">
      <c r="A61" s="102" t="s">
        <v>243</v>
      </c>
      <c r="B61" s="103" t="s">
        <v>43</v>
      </c>
      <c r="C61" s="103" t="s">
        <v>304</v>
      </c>
      <c r="D61" s="103" t="s">
        <v>316</v>
      </c>
      <c r="E61" s="104" t="s">
        <v>306</v>
      </c>
      <c r="F61" s="103" t="s">
        <v>247</v>
      </c>
      <c r="G61" s="103" t="s">
        <v>228</v>
      </c>
      <c r="H61" s="103" t="s">
        <v>15</v>
      </c>
      <c r="I61" s="103" t="s">
        <v>222</v>
      </c>
      <c r="J61" s="103"/>
      <c r="K61" s="105">
        <v>56.5</v>
      </c>
      <c r="L61" s="105">
        <f>K61*VLOOKUP(H61,dagsoorttabel1,2,FALSE)</f>
        <v>28.25</v>
      </c>
      <c r="M61" s="106">
        <f>prodnorm6</f>
        <v>0</v>
      </c>
      <c r="N61" s="41">
        <f>dagwerk6</f>
        <v>0</v>
      </c>
      <c r="O61" s="103" t="s">
        <v>105</v>
      </c>
      <c r="P61" s="26">
        <f>uurtarief6</f>
        <v>0</v>
      </c>
      <c r="Q61" s="105" t="e">
        <f>IF(ISBLANK(M61),0,L61/ROUND(M61,4))</f>
        <v>#DIV/0!</v>
      </c>
      <c r="R61" s="105" t="e">
        <f>IF(ISBLANK(M61),0,Q61*ROUND(N61,2))</f>
        <v>#DIV/0!</v>
      </c>
      <c r="S61" s="26" t="e">
        <f>ROUND(P61,2)*Q61</f>
        <v>#DIV/0!</v>
      </c>
      <c r="T61" s="105" t="e">
        <f>Q61*dagenperjaar1</f>
        <v>#DIV/0!</v>
      </c>
      <c r="U61" s="27" t="e">
        <f>T61*ROUND(P61,2)</f>
        <v>#DIV/0!</v>
      </c>
    </row>
    <row r="62" spans="1:21" x14ac:dyDescent="0.2">
      <c r="A62" s="102" t="s">
        <v>243</v>
      </c>
      <c r="B62" s="103" t="s">
        <v>43</v>
      </c>
      <c r="C62" s="103" t="s">
        <v>304</v>
      </c>
      <c r="D62" s="103" t="s">
        <v>316</v>
      </c>
      <c r="E62" s="104" t="s">
        <v>306</v>
      </c>
      <c r="F62" s="103" t="s">
        <v>247</v>
      </c>
      <c r="G62" s="103" t="s">
        <v>197</v>
      </c>
      <c r="H62" s="103" t="s">
        <v>15</v>
      </c>
      <c r="I62" s="103" t="s">
        <v>183</v>
      </c>
      <c r="J62" s="103"/>
      <c r="K62" s="105">
        <v>56.5</v>
      </c>
      <c r="L62" s="105">
        <f>K62*VLOOKUP(H62,dagsoorttabel1,2,FALSE)</f>
        <v>28.25</v>
      </c>
      <c r="M62" s="106">
        <f>prodnorm15</f>
        <v>0</v>
      </c>
      <c r="N62" s="41">
        <f>dagwerk15</f>
        <v>0</v>
      </c>
      <c r="O62" s="103" t="s">
        <v>105</v>
      </c>
      <c r="P62" s="26">
        <f>uurtarief15</f>
        <v>0</v>
      </c>
      <c r="Q62" s="105" t="e">
        <f>IF(ISBLANK(M62),0,L62/ROUND(M62,4))</f>
        <v>#DIV/0!</v>
      </c>
      <c r="R62" s="105" t="e">
        <f>IF(ISBLANK(M62),0,Q62*ROUND(N62,2))</f>
        <v>#DIV/0!</v>
      </c>
      <c r="S62" s="26" t="e">
        <f>ROUND(P62,2)*Q62</f>
        <v>#DIV/0!</v>
      </c>
      <c r="T62" s="105" t="e">
        <f>Q62*dagenperjaar1</f>
        <v>#DIV/0!</v>
      </c>
      <c r="U62" s="27" t="e">
        <f>T62*ROUND(P62,2)</f>
        <v>#DIV/0!</v>
      </c>
    </row>
    <row r="63" spans="1:21" x14ac:dyDescent="0.2">
      <c r="A63" s="102" t="s">
        <v>243</v>
      </c>
      <c r="B63" s="103" t="s">
        <v>43</v>
      </c>
      <c r="C63" s="103" t="s">
        <v>304</v>
      </c>
      <c r="D63" s="103" t="s">
        <v>317</v>
      </c>
      <c r="E63" s="104" t="s">
        <v>318</v>
      </c>
      <c r="F63" s="103" t="s">
        <v>258</v>
      </c>
      <c r="G63" s="103" t="s">
        <v>228</v>
      </c>
      <c r="H63" s="103" t="s">
        <v>15</v>
      </c>
      <c r="I63" s="103" t="s">
        <v>222</v>
      </c>
      <c r="J63" s="103"/>
      <c r="K63" s="105">
        <v>8.5</v>
      </c>
      <c r="L63" s="105">
        <f>K63*VLOOKUP(H63,dagsoorttabel1,2,FALSE)</f>
        <v>4.25</v>
      </c>
      <c r="M63" s="106">
        <f>prodnorm6</f>
        <v>0</v>
      </c>
      <c r="N63" s="41">
        <f>dagwerk6</f>
        <v>0</v>
      </c>
      <c r="O63" s="103" t="s">
        <v>105</v>
      </c>
      <c r="P63" s="26">
        <f>uurtarief6</f>
        <v>0</v>
      </c>
      <c r="Q63" s="105" t="e">
        <f>IF(ISBLANK(M63),0,L63/ROUND(M63,4))</f>
        <v>#DIV/0!</v>
      </c>
      <c r="R63" s="105" t="e">
        <f>IF(ISBLANK(M63),0,Q63*ROUND(N63,2))</f>
        <v>#DIV/0!</v>
      </c>
      <c r="S63" s="26" t="e">
        <f>ROUND(P63,2)*Q63</f>
        <v>#DIV/0!</v>
      </c>
      <c r="T63" s="105" t="e">
        <f>Q63*dagenperjaar1</f>
        <v>#DIV/0!</v>
      </c>
      <c r="U63" s="27" t="e">
        <f>T63*ROUND(P63,2)</f>
        <v>#DIV/0!</v>
      </c>
    </row>
    <row r="64" spans="1:21" x14ac:dyDescent="0.2">
      <c r="A64" s="102" t="s">
        <v>243</v>
      </c>
      <c r="B64" s="103" t="s">
        <v>43</v>
      </c>
      <c r="C64" s="103" t="s">
        <v>304</v>
      </c>
      <c r="D64" s="103" t="s">
        <v>317</v>
      </c>
      <c r="E64" s="104" t="s">
        <v>318</v>
      </c>
      <c r="F64" s="103" t="s">
        <v>258</v>
      </c>
      <c r="G64" s="103" t="s">
        <v>189</v>
      </c>
      <c r="H64" s="103" t="s">
        <v>15</v>
      </c>
      <c r="I64" s="103" t="s">
        <v>183</v>
      </c>
      <c r="J64" s="103"/>
      <c r="K64" s="105">
        <v>8.5</v>
      </c>
      <c r="L64" s="105">
        <f>K64*VLOOKUP(H64,dagsoorttabel1,2,FALSE)</f>
        <v>4.25</v>
      </c>
      <c r="M64" s="106">
        <f>prodnorm10</f>
        <v>0</v>
      </c>
      <c r="N64" s="41">
        <f>dagwerk10</f>
        <v>0</v>
      </c>
      <c r="O64" s="103" t="s">
        <v>105</v>
      </c>
      <c r="P64" s="26">
        <f>uurtarief10</f>
        <v>0</v>
      </c>
      <c r="Q64" s="105" t="e">
        <f>IF(ISBLANK(M64),0,L64/ROUND(M64,4))</f>
        <v>#DIV/0!</v>
      </c>
      <c r="R64" s="105" t="e">
        <f>IF(ISBLANK(M64),0,Q64*ROUND(N64,2))</f>
        <v>#DIV/0!</v>
      </c>
      <c r="S64" s="26" t="e">
        <f>ROUND(P64,2)*Q64</f>
        <v>#DIV/0!</v>
      </c>
      <c r="T64" s="105" t="e">
        <f>Q64*dagenperjaar1</f>
        <v>#DIV/0!</v>
      </c>
      <c r="U64" s="27" t="e">
        <f>T64*ROUND(P64,2)</f>
        <v>#DIV/0!</v>
      </c>
    </row>
    <row r="65" spans="1:21" x14ac:dyDescent="0.2">
      <c r="A65" s="102" t="s">
        <v>243</v>
      </c>
      <c r="B65" s="103" t="s">
        <v>43</v>
      </c>
      <c r="C65" s="103" t="s">
        <v>304</v>
      </c>
      <c r="D65" s="103" t="s">
        <v>319</v>
      </c>
      <c r="E65" s="104" t="s">
        <v>320</v>
      </c>
      <c r="F65" s="103" t="s">
        <v>247</v>
      </c>
      <c r="G65" s="103" t="s">
        <v>211</v>
      </c>
      <c r="H65" s="103" t="s">
        <v>12</v>
      </c>
      <c r="I65" s="103" t="s">
        <v>183</v>
      </c>
      <c r="J65" s="103"/>
      <c r="K65" s="105">
        <v>4</v>
      </c>
      <c r="L65" s="105">
        <f>K65*VLOOKUP(H65,dagsoorttabel1,2,FALSE)</f>
        <v>4</v>
      </c>
      <c r="M65" s="106">
        <f>prodnorm22</f>
        <v>0</v>
      </c>
      <c r="N65" s="41">
        <f>dagwerk22</f>
        <v>0</v>
      </c>
      <c r="O65" s="103" t="s">
        <v>105</v>
      </c>
      <c r="P65" s="26">
        <f>uurtarief22</f>
        <v>0</v>
      </c>
      <c r="Q65" s="105" t="e">
        <f>IF(ISBLANK(M65),0,L65/ROUND(M65,4))</f>
        <v>#DIV/0!</v>
      </c>
      <c r="R65" s="105" t="e">
        <f>IF(ISBLANK(M65),0,Q65*ROUND(N65,2))</f>
        <v>#DIV/0!</v>
      </c>
      <c r="S65" s="26" t="e">
        <f>ROUND(P65,2)*Q65</f>
        <v>#DIV/0!</v>
      </c>
      <c r="T65" s="105" t="e">
        <f>Q65*dagenperjaar1</f>
        <v>#DIV/0!</v>
      </c>
      <c r="U65" s="27" t="e">
        <f>T65*ROUND(P65,2)</f>
        <v>#DIV/0!</v>
      </c>
    </row>
    <row r="66" spans="1:21" x14ac:dyDescent="0.2">
      <c r="A66" s="102" t="s">
        <v>243</v>
      </c>
      <c r="B66" s="103" t="s">
        <v>43</v>
      </c>
      <c r="C66" s="103" t="s">
        <v>304</v>
      </c>
      <c r="D66" s="103" t="s">
        <v>319</v>
      </c>
      <c r="E66" s="104" t="s">
        <v>320</v>
      </c>
      <c r="F66" s="103" t="s">
        <v>247</v>
      </c>
      <c r="G66" s="103" t="s">
        <v>213</v>
      </c>
      <c r="H66" s="103" t="s">
        <v>12</v>
      </c>
      <c r="I66" s="103" t="s">
        <v>183</v>
      </c>
      <c r="J66" s="103"/>
      <c r="K66" s="105">
        <v>4</v>
      </c>
      <c r="L66" s="105">
        <f>K66*VLOOKUP(H66,dagsoorttabel1,2,FALSE)</f>
        <v>4</v>
      </c>
      <c r="M66" s="106">
        <f>prodnorm24</f>
        <v>0</v>
      </c>
      <c r="N66" s="41">
        <f>dagwerk24</f>
        <v>0</v>
      </c>
      <c r="O66" s="103" t="s">
        <v>105</v>
      </c>
      <c r="P66" s="26">
        <f>uurtarief24</f>
        <v>0</v>
      </c>
      <c r="Q66" s="105" t="e">
        <f>IF(ISBLANK(M66),0,L66/ROUND(M66,4))</f>
        <v>#DIV/0!</v>
      </c>
      <c r="R66" s="105" t="e">
        <f>IF(ISBLANK(M66),0,Q66*ROUND(N66,2))</f>
        <v>#DIV/0!</v>
      </c>
      <c r="S66" s="26" t="e">
        <f>ROUND(P66,2)*Q66</f>
        <v>#DIV/0!</v>
      </c>
      <c r="T66" s="105" t="e">
        <f>Q66*dagenperjaar1</f>
        <v>#DIV/0!</v>
      </c>
      <c r="U66" s="27" t="e">
        <f>T66*ROUND(P66,2)</f>
        <v>#DIV/0!</v>
      </c>
    </row>
    <row r="67" spans="1:21" x14ac:dyDescent="0.2">
      <c r="A67" s="102" t="s">
        <v>243</v>
      </c>
      <c r="B67" s="103" t="s">
        <v>43</v>
      </c>
      <c r="C67" s="103" t="s">
        <v>304</v>
      </c>
      <c r="D67" s="103" t="s">
        <v>321</v>
      </c>
      <c r="E67" s="104" t="s">
        <v>322</v>
      </c>
      <c r="F67" s="103" t="s">
        <v>247</v>
      </c>
      <c r="G67" s="103" t="s">
        <v>211</v>
      </c>
      <c r="H67" s="103" t="s">
        <v>12</v>
      </c>
      <c r="I67" s="103" t="s">
        <v>183</v>
      </c>
      <c r="J67" s="103"/>
      <c r="K67" s="105">
        <v>13.6</v>
      </c>
      <c r="L67" s="105">
        <f>K67*VLOOKUP(H67,dagsoorttabel1,2,FALSE)</f>
        <v>13.6</v>
      </c>
      <c r="M67" s="106">
        <f>prodnorm22</f>
        <v>0</v>
      </c>
      <c r="N67" s="41">
        <f>dagwerk22</f>
        <v>0</v>
      </c>
      <c r="O67" s="103" t="s">
        <v>105</v>
      </c>
      <c r="P67" s="26">
        <f>uurtarief22</f>
        <v>0</v>
      </c>
      <c r="Q67" s="105" t="e">
        <f>IF(ISBLANK(M67),0,L67/ROUND(M67,4))</f>
        <v>#DIV/0!</v>
      </c>
      <c r="R67" s="105" t="e">
        <f>IF(ISBLANK(M67),0,Q67*ROUND(N67,2))</f>
        <v>#DIV/0!</v>
      </c>
      <c r="S67" s="26" t="e">
        <f>ROUND(P67,2)*Q67</f>
        <v>#DIV/0!</v>
      </c>
      <c r="T67" s="105" t="e">
        <f>Q67*dagenperjaar1</f>
        <v>#DIV/0!</v>
      </c>
      <c r="U67" s="27" t="e">
        <f>T67*ROUND(P67,2)</f>
        <v>#DIV/0!</v>
      </c>
    </row>
    <row r="68" spans="1:21" x14ac:dyDescent="0.2">
      <c r="A68" s="102" t="s">
        <v>243</v>
      </c>
      <c r="B68" s="103" t="s">
        <v>43</v>
      </c>
      <c r="C68" s="103" t="s">
        <v>304</v>
      </c>
      <c r="D68" s="103" t="s">
        <v>323</v>
      </c>
      <c r="E68" s="104" t="s">
        <v>249</v>
      </c>
      <c r="F68" s="103" t="s">
        <v>247</v>
      </c>
      <c r="G68" s="103" t="s">
        <v>215</v>
      </c>
      <c r="H68" s="103" t="s">
        <v>12</v>
      </c>
      <c r="I68" s="103" t="s">
        <v>183</v>
      </c>
      <c r="J68" s="103"/>
      <c r="K68" s="105">
        <v>20.8</v>
      </c>
      <c r="L68" s="105">
        <f>K68*VLOOKUP(H68,dagsoorttabel1,2,FALSE)</f>
        <v>20.8</v>
      </c>
      <c r="M68" s="106">
        <f>prodnorm26</f>
        <v>0</v>
      </c>
      <c r="N68" s="41">
        <f>dagwerk26</f>
        <v>0</v>
      </c>
      <c r="O68" s="103" t="s">
        <v>105</v>
      </c>
      <c r="P68" s="26">
        <f>uurtarief26</f>
        <v>0</v>
      </c>
      <c r="Q68" s="105" t="e">
        <f>IF(ISBLANK(M68),0,L68/ROUND(M68,4))</f>
        <v>#DIV/0!</v>
      </c>
      <c r="R68" s="105" t="e">
        <f>IF(ISBLANK(M68),0,Q68*ROUND(N68,2))</f>
        <v>#DIV/0!</v>
      </c>
      <c r="S68" s="26" t="e">
        <f>ROUND(P68,2)*Q68</f>
        <v>#DIV/0!</v>
      </c>
      <c r="T68" s="105" t="e">
        <f>Q68*dagenperjaar1</f>
        <v>#DIV/0!</v>
      </c>
      <c r="U68" s="27" t="e">
        <f>T68*ROUND(P68,2)</f>
        <v>#DIV/0!</v>
      </c>
    </row>
    <row r="69" spans="1:21" x14ac:dyDescent="0.2">
      <c r="A69" s="102" t="s">
        <v>243</v>
      </c>
      <c r="B69" s="103" t="s">
        <v>43</v>
      </c>
      <c r="C69" s="103" t="s">
        <v>304</v>
      </c>
      <c r="D69" s="103" t="s">
        <v>324</v>
      </c>
      <c r="E69" s="104" t="s">
        <v>325</v>
      </c>
      <c r="F69" s="103" t="s">
        <v>261</v>
      </c>
      <c r="G69" s="103" t="s">
        <v>228</v>
      </c>
      <c r="H69" s="103" t="s">
        <v>15</v>
      </c>
      <c r="I69" s="103" t="s">
        <v>222</v>
      </c>
      <c r="J69" s="103"/>
      <c r="K69" s="105">
        <v>85.9</v>
      </c>
      <c r="L69" s="105">
        <f>K69*VLOOKUP(H69,dagsoorttabel1,2,FALSE)</f>
        <v>42.95</v>
      </c>
      <c r="M69" s="106">
        <f>prodnorm6</f>
        <v>0</v>
      </c>
      <c r="N69" s="41">
        <f>dagwerk6</f>
        <v>0</v>
      </c>
      <c r="O69" s="103" t="s">
        <v>105</v>
      </c>
      <c r="P69" s="26">
        <f>uurtarief6</f>
        <v>0</v>
      </c>
      <c r="Q69" s="105" t="e">
        <f>IF(ISBLANK(M69),0,L69/ROUND(M69,4))</f>
        <v>#DIV/0!</v>
      </c>
      <c r="R69" s="105" t="e">
        <f>IF(ISBLANK(M69),0,Q69*ROUND(N69,2))</f>
        <v>#DIV/0!</v>
      </c>
      <c r="S69" s="26" t="e">
        <f>ROUND(P69,2)*Q69</f>
        <v>#DIV/0!</v>
      </c>
      <c r="T69" s="105" t="e">
        <f>Q69*dagenperjaar1</f>
        <v>#DIV/0!</v>
      </c>
      <c r="U69" s="27" t="e">
        <f>T69*ROUND(P69,2)</f>
        <v>#DIV/0!</v>
      </c>
    </row>
    <row r="70" spans="1:21" x14ac:dyDescent="0.2">
      <c r="A70" s="102" t="s">
        <v>243</v>
      </c>
      <c r="B70" s="103" t="s">
        <v>43</v>
      </c>
      <c r="C70" s="103" t="s">
        <v>304</v>
      </c>
      <c r="D70" s="103" t="s">
        <v>324</v>
      </c>
      <c r="E70" s="104" t="s">
        <v>325</v>
      </c>
      <c r="F70" s="103" t="s">
        <v>261</v>
      </c>
      <c r="G70" s="103" t="s">
        <v>197</v>
      </c>
      <c r="H70" s="103" t="s">
        <v>15</v>
      </c>
      <c r="I70" s="103" t="s">
        <v>183</v>
      </c>
      <c r="J70" s="103"/>
      <c r="K70" s="105">
        <v>85.9</v>
      </c>
      <c r="L70" s="105">
        <f>K70*VLOOKUP(H70,dagsoorttabel1,2,FALSE)</f>
        <v>42.95</v>
      </c>
      <c r="M70" s="106">
        <f>prodnorm15</f>
        <v>0</v>
      </c>
      <c r="N70" s="41">
        <f>dagwerk15</f>
        <v>0</v>
      </c>
      <c r="O70" s="103" t="s">
        <v>105</v>
      </c>
      <c r="P70" s="26">
        <f>uurtarief15</f>
        <v>0</v>
      </c>
      <c r="Q70" s="105" t="e">
        <f>IF(ISBLANK(M70),0,L70/ROUND(M70,4))</f>
        <v>#DIV/0!</v>
      </c>
      <c r="R70" s="105" t="e">
        <f>IF(ISBLANK(M70),0,Q70*ROUND(N70,2))</f>
        <v>#DIV/0!</v>
      </c>
      <c r="S70" s="26" t="e">
        <f>ROUND(P70,2)*Q70</f>
        <v>#DIV/0!</v>
      </c>
      <c r="T70" s="105" t="e">
        <f>Q70*dagenperjaar1</f>
        <v>#DIV/0!</v>
      </c>
      <c r="U70" s="27" t="e">
        <f>T70*ROUND(P70,2)</f>
        <v>#DIV/0!</v>
      </c>
    </row>
    <row r="71" spans="1:21" ht="25.5" x14ac:dyDescent="0.2">
      <c r="A71" s="102" t="s">
        <v>243</v>
      </c>
      <c r="B71" s="103" t="s">
        <v>43</v>
      </c>
      <c r="C71" s="103" t="s">
        <v>304</v>
      </c>
      <c r="D71" s="103" t="s">
        <v>326</v>
      </c>
      <c r="E71" s="104" t="s">
        <v>327</v>
      </c>
      <c r="F71" s="103" t="s">
        <v>247</v>
      </c>
      <c r="G71" s="103" t="s">
        <v>217</v>
      </c>
      <c r="H71" s="103" t="s">
        <v>12</v>
      </c>
      <c r="I71" s="103" t="s">
        <v>183</v>
      </c>
      <c r="J71" s="103"/>
      <c r="K71" s="105">
        <v>5</v>
      </c>
      <c r="L71" s="105">
        <f>K71*VLOOKUP(H71,dagsoorttabel1,2,FALSE)</f>
        <v>5</v>
      </c>
      <c r="M71" s="106">
        <f>prodnorm27</f>
        <v>0</v>
      </c>
      <c r="N71" s="41">
        <f>dagwerk27</f>
        <v>0</v>
      </c>
      <c r="O71" s="103" t="s">
        <v>105</v>
      </c>
      <c r="P71" s="26">
        <f>uurtarief27</f>
        <v>0</v>
      </c>
      <c r="Q71" s="105" t="e">
        <f>IF(ISBLANK(M71),0,L71/ROUND(M71,4))</f>
        <v>#DIV/0!</v>
      </c>
      <c r="R71" s="105" t="e">
        <f>IF(ISBLANK(M71),0,Q71*ROUND(N71,2))</f>
        <v>#DIV/0!</v>
      </c>
      <c r="S71" s="26" t="e">
        <f>ROUND(P71,2)*Q71</f>
        <v>#DIV/0!</v>
      </c>
      <c r="T71" s="105" t="e">
        <f>Q71*dagenperjaar1</f>
        <v>#DIV/0!</v>
      </c>
      <c r="U71" s="27" t="e">
        <f>T71*ROUND(P71,2)</f>
        <v>#DIV/0!</v>
      </c>
    </row>
    <row r="72" spans="1:21" x14ac:dyDescent="0.2">
      <c r="A72" s="102" t="s">
        <v>243</v>
      </c>
      <c r="B72" s="103" t="s">
        <v>43</v>
      </c>
      <c r="C72" s="103" t="s">
        <v>304</v>
      </c>
      <c r="D72" s="103" t="s">
        <v>328</v>
      </c>
      <c r="E72" s="104" t="s">
        <v>329</v>
      </c>
      <c r="F72" s="103" t="s">
        <v>261</v>
      </c>
      <c r="G72" s="103" t="s">
        <v>228</v>
      </c>
      <c r="H72" s="103" t="s">
        <v>15</v>
      </c>
      <c r="I72" s="103" t="s">
        <v>222</v>
      </c>
      <c r="J72" s="103"/>
      <c r="K72" s="105">
        <v>56.1</v>
      </c>
      <c r="L72" s="105">
        <f>K72*VLOOKUP(H72,dagsoorttabel1,2,FALSE)</f>
        <v>28.05</v>
      </c>
      <c r="M72" s="106">
        <f>prodnorm6</f>
        <v>0</v>
      </c>
      <c r="N72" s="41">
        <f>dagwerk6</f>
        <v>0</v>
      </c>
      <c r="O72" s="103" t="s">
        <v>105</v>
      </c>
      <c r="P72" s="26">
        <f>uurtarief6</f>
        <v>0</v>
      </c>
      <c r="Q72" s="105" t="e">
        <f>IF(ISBLANK(M72),0,L72/ROUND(M72,4))</f>
        <v>#DIV/0!</v>
      </c>
      <c r="R72" s="105" t="e">
        <f>IF(ISBLANK(M72),0,Q72*ROUND(N72,2))</f>
        <v>#DIV/0!</v>
      </c>
      <c r="S72" s="26" t="e">
        <f>ROUND(P72,2)*Q72</f>
        <v>#DIV/0!</v>
      </c>
      <c r="T72" s="105" t="e">
        <f>Q72*dagenperjaar1</f>
        <v>#DIV/0!</v>
      </c>
      <c r="U72" s="27" t="e">
        <f>T72*ROUND(P72,2)</f>
        <v>#DIV/0!</v>
      </c>
    </row>
    <row r="73" spans="1:21" x14ac:dyDescent="0.2">
      <c r="A73" s="102" t="s">
        <v>243</v>
      </c>
      <c r="B73" s="103" t="s">
        <v>43</v>
      </c>
      <c r="C73" s="103" t="s">
        <v>304</v>
      </c>
      <c r="D73" s="103" t="s">
        <v>328</v>
      </c>
      <c r="E73" s="104" t="s">
        <v>329</v>
      </c>
      <c r="F73" s="103" t="s">
        <v>261</v>
      </c>
      <c r="G73" s="103" t="s">
        <v>228</v>
      </c>
      <c r="H73" s="103" t="s">
        <v>15</v>
      </c>
      <c r="I73" s="103" t="s">
        <v>222</v>
      </c>
      <c r="J73" s="103"/>
      <c r="K73" s="105">
        <v>56.1</v>
      </c>
      <c r="L73" s="105">
        <f>K73*VLOOKUP(H73,dagsoorttabel1,2,FALSE)</f>
        <v>28.05</v>
      </c>
      <c r="M73" s="106">
        <f>prodnorm6</f>
        <v>0</v>
      </c>
      <c r="N73" s="41">
        <f>dagwerk6</f>
        <v>0</v>
      </c>
      <c r="O73" s="103" t="s">
        <v>105</v>
      </c>
      <c r="P73" s="26">
        <f>uurtarief6</f>
        <v>0</v>
      </c>
      <c r="Q73" s="105" t="e">
        <f>IF(ISBLANK(M73),0,L73/ROUND(M73,4))</f>
        <v>#DIV/0!</v>
      </c>
      <c r="R73" s="105" t="e">
        <f>IF(ISBLANK(M73),0,Q73*ROUND(N73,2))</f>
        <v>#DIV/0!</v>
      </c>
      <c r="S73" s="26" t="e">
        <f>ROUND(P73,2)*Q73</f>
        <v>#DIV/0!</v>
      </c>
      <c r="T73" s="105" t="e">
        <f>Q73*dagenperjaar1</f>
        <v>#DIV/0!</v>
      </c>
      <c r="U73" s="27" t="e">
        <f>T73*ROUND(P73,2)</f>
        <v>#DIV/0!</v>
      </c>
    </row>
    <row r="74" spans="1:21" x14ac:dyDescent="0.2">
      <c r="A74" s="102" t="s">
        <v>243</v>
      </c>
      <c r="B74" s="103" t="s">
        <v>43</v>
      </c>
      <c r="C74" s="103" t="s">
        <v>304</v>
      </c>
      <c r="D74" s="103" t="s">
        <v>328</v>
      </c>
      <c r="E74" s="104" t="s">
        <v>329</v>
      </c>
      <c r="F74" s="103" t="s">
        <v>261</v>
      </c>
      <c r="G74" s="103" t="s">
        <v>197</v>
      </c>
      <c r="H74" s="103" t="s">
        <v>15</v>
      </c>
      <c r="I74" s="103" t="s">
        <v>183</v>
      </c>
      <c r="J74" s="103"/>
      <c r="K74" s="105">
        <v>56.1</v>
      </c>
      <c r="L74" s="105">
        <f>K74*VLOOKUP(H74,dagsoorttabel1,2,FALSE)</f>
        <v>28.05</v>
      </c>
      <c r="M74" s="106">
        <f>prodnorm15</f>
        <v>0</v>
      </c>
      <c r="N74" s="41">
        <f>dagwerk15</f>
        <v>0</v>
      </c>
      <c r="O74" s="103" t="s">
        <v>105</v>
      </c>
      <c r="P74" s="26">
        <f>uurtarief15</f>
        <v>0</v>
      </c>
      <c r="Q74" s="105" t="e">
        <f>IF(ISBLANK(M74),0,L74/ROUND(M74,4))</f>
        <v>#DIV/0!</v>
      </c>
      <c r="R74" s="105" t="e">
        <f>IF(ISBLANK(M74),0,Q74*ROUND(N74,2))</f>
        <v>#DIV/0!</v>
      </c>
      <c r="S74" s="26" t="e">
        <f>ROUND(P74,2)*Q74</f>
        <v>#DIV/0!</v>
      </c>
      <c r="T74" s="105" t="e">
        <f>Q74*dagenperjaar1</f>
        <v>#DIV/0!</v>
      </c>
      <c r="U74" s="27" t="e">
        <f>T74*ROUND(P74,2)</f>
        <v>#DIV/0!</v>
      </c>
    </row>
    <row r="75" spans="1:21" x14ac:dyDescent="0.2">
      <c r="A75" s="102" t="s">
        <v>243</v>
      </c>
      <c r="B75" s="103" t="s">
        <v>43</v>
      </c>
      <c r="C75" s="103" t="s">
        <v>304</v>
      </c>
      <c r="D75" s="103" t="s">
        <v>330</v>
      </c>
      <c r="E75" s="104" t="s">
        <v>306</v>
      </c>
      <c r="F75" s="103" t="s">
        <v>247</v>
      </c>
      <c r="G75" s="103" t="s">
        <v>228</v>
      </c>
      <c r="H75" s="103" t="s">
        <v>15</v>
      </c>
      <c r="I75" s="103" t="s">
        <v>222</v>
      </c>
      <c r="J75" s="103"/>
      <c r="K75" s="105">
        <v>56.1</v>
      </c>
      <c r="L75" s="105">
        <f>K75*VLOOKUP(H75,dagsoorttabel1,2,FALSE)</f>
        <v>28.05</v>
      </c>
      <c r="M75" s="106">
        <f>prodnorm6</f>
        <v>0</v>
      </c>
      <c r="N75" s="41">
        <f>dagwerk6</f>
        <v>0</v>
      </c>
      <c r="O75" s="103" t="s">
        <v>105</v>
      </c>
      <c r="P75" s="26">
        <f>uurtarief6</f>
        <v>0</v>
      </c>
      <c r="Q75" s="105" t="e">
        <f>IF(ISBLANK(M75),0,L75/ROUND(M75,4))</f>
        <v>#DIV/0!</v>
      </c>
      <c r="R75" s="105" t="e">
        <f>IF(ISBLANK(M75),0,Q75*ROUND(N75,2))</f>
        <v>#DIV/0!</v>
      </c>
      <c r="S75" s="26" t="e">
        <f>ROUND(P75,2)*Q75</f>
        <v>#DIV/0!</v>
      </c>
      <c r="T75" s="105" t="e">
        <f>Q75*dagenperjaar1</f>
        <v>#DIV/0!</v>
      </c>
      <c r="U75" s="27" t="e">
        <f>T75*ROUND(P75,2)</f>
        <v>#DIV/0!</v>
      </c>
    </row>
    <row r="76" spans="1:21" x14ac:dyDescent="0.2">
      <c r="A76" s="102" t="s">
        <v>243</v>
      </c>
      <c r="B76" s="103" t="s">
        <v>43</v>
      </c>
      <c r="C76" s="103" t="s">
        <v>304</v>
      </c>
      <c r="D76" s="103" t="s">
        <v>330</v>
      </c>
      <c r="E76" s="104" t="s">
        <v>306</v>
      </c>
      <c r="F76" s="103" t="s">
        <v>247</v>
      </c>
      <c r="G76" s="103" t="s">
        <v>197</v>
      </c>
      <c r="H76" s="103" t="s">
        <v>15</v>
      </c>
      <c r="I76" s="103" t="s">
        <v>183</v>
      </c>
      <c r="J76" s="103"/>
      <c r="K76" s="105">
        <v>56.1</v>
      </c>
      <c r="L76" s="105">
        <f>K76*VLOOKUP(H76,dagsoorttabel1,2,FALSE)</f>
        <v>28.05</v>
      </c>
      <c r="M76" s="106">
        <f>prodnorm15</f>
        <v>0</v>
      </c>
      <c r="N76" s="41">
        <f>dagwerk15</f>
        <v>0</v>
      </c>
      <c r="O76" s="103" t="s">
        <v>105</v>
      </c>
      <c r="P76" s="26">
        <f>uurtarief15</f>
        <v>0</v>
      </c>
      <c r="Q76" s="105" t="e">
        <f>IF(ISBLANK(M76),0,L76/ROUND(M76,4))</f>
        <v>#DIV/0!</v>
      </c>
      <c r="R76" s="105" t="e">
        <f>IF(ISBLANK(M76),0,Q76*ROUND(N76,2))</f>
        <v>#DIV/0!</v>
      </c>
      <c r="S76" s="26" t="e">
        <f>ROUND(P76,2)*Q76</f>
        <v>#DIV/0!</v>
      </c>
      <c r="T76" s="105" t="e">
        <f>Q76*dagenperjaar1</f>
        <v>#DIV/0!</v>
      </c>
      <c r="U76" s="27" t="e">
        <f>T76*ROUND(P76,2)</f>
        <v>#DIV/0!</v>
      </c>
    </row>
    <row r="77" spans="1:21" x14ac:dyDescent="0.2">
      <c r="A77" s="102" t="s">
        <v>243</v>
      </c>
      <c r="B77" s="103" t="s">
        <v>43</v>
      </c>
      <c r="C77" s="103" t="s">
        <v>304</v>
      </c>
      <c r="D77" s="103" t="s">
        <v>331</v>
      </c>
      <c r="E77" s="104" t="s">
        <v>306</v>
      </c>
      <c r="F77" s="103" t="s">
        <v>247</v>
      </c>
      <c r="G77" s="103" t="s">
        <v>228</v>
      </c>
      <c r="H77" s="103" t="s">
        <v>15</v>
      </c>
      <c r="I77" s="103" t="s">
        <v>222</v>
      </c>
      <c r="J77" s="103"/>
      <c r="K77" s="105">
        <v>56.2</v>
      </c>
      <c r="L77" s="105">
        <f>K77*VLOOKUP(H77,dagsoorttabel1,2,FALSE)</f>
        <v>28.1</v>
      </c>
      <c r="M77" s="106">
        <f>prodnorm6</f>
        <v>0</v>
      </c>
      <c r="N77" s="41">
        <f>dagwerk6</f>
        <v>0</v>
      </c>
      <c r="O77" s="103" t="s">
        <v>105</v>
      </c>
      <c r="P77" s="26">
        <f>uurtarief6</f>
        <v>0</v>
      </c>
      <c r="Q77" s="105" t="e">
        <f>IF(ISBLANK(M77),0,L77/ROUND(M77,4))</f>
        <v>#DIV/0!</v>
      </c>
      <c r="R77" s="105" t="e">
        <f>IF(ISBLANK(M77),0,Q77*ROUND(N77,2))</f>
        <v>#DIV/0!</v>
      </c>
      <c r="S77" s="26" t="e">
        <f>ROUND(P77,2)*Q77</f>
        <v>#DIV/0!</v>
      </c>
      <c r="T77" s="105" t="e">
        <f>Q77*dagenperjaar1</f>
        <v>#DIV/0!</v>
      </c>
      <c r="U77" s="27" t="e">
        <f>T77*ROUND(P77,2)</f>
        <v>#DIV/0!</v>
      </c>
    </row>
    <row r="78" spans="1:21" x14ac:dyDescent="0.2">
      <c r="A78" s="102" t="s">
        <v>243</v>
      </c>
      <c r="B78" s="103" t="s">
        <v>43</v>
      </c>
      <c r="C78" s="103" t="s">
        <v>304</v>
      </c>
      <c r="D78" s="103" t="s">
        <v>331</v>
      </c>
      <c r="E78" s="104" t="s">
        <v>306</v>
      </c>
      <c r="F78" s="103" t="s">
        <v>247</v>
      </c>
      <c r="G78" s="103" t="s">
        <v>197</v>
      </c>
      <c r="H78" s="103" t="s">
        <v>15</v>
      </c>
      <c r="I78" s="103" t="s">
        <v>183</v>
      </c>
      <c r="J78" s="103"/>
      <c r="K78" s="105">
        <v>56.2</v>
      </c>
      <c r="L78" s="105">
        <f>K78*VLOOKUP(H78,dagsoorttabel1,2,FALSE)</f>
        <v>28.1</v>
      </c>
      <c r="M78" s="106">
        <f>prodnorm15</f>
        <v>0</v>
      </c>
      <c r="N78" s="41">
        <f>dagwerk15</f>
        <v>0</v>
      </c>
      <c r="O78" s="103" t="s">
        <v>105</v>
      </c>
      <c r="P78" s="26">
        <f>uurtarief15</f>
        <v>0</v>
      </c>
      <c r="Q78" s="105" t="e">
        <f>IF(ISBLANK(M78),0,L78/ROUND(M78,4))</f>
        <v>#DIV/0!</v>
      </c>
      <c r="R78" s="105" t="e">
        <f>IF(ISBLANK(M78),0,Q78*ROUND(N78,2))</f>
        <v>#DIV/0!</v>
      </c>
      <c r="S78" s="26" t="e">
        <f>ROUND(P78,2)*Q78</f>
        <v>#DIV/0!</v>
      </c>
      <c r="T78" s="105" t="e">
        <f>Q78*dagenperjaar1</f>
        <v>#DIV/0!</v>
      </c>
      <c r="U78" s="27" t="e">
        <f>T78*ROUND(P78,2)</f>
        <v>#DIV/0!</v>
      </c>
    </row>
    <row r="79" spans="1:21" ht="25.5" x14ac:dyDescent="0.2">
      <c r="A79" s="102" t="s">
        <v>243</v>
      </c>
      <c r="B79" s="103" t="s">
        <v>43</v>
      </c>
      <c r="C79" s="103" t="s">
        <v>304</v>
      </c>
      <c r="D79" s="103" t="s">
        <v>332</v>
      </c>
      <c r="E79" s="104" t="s">
        <v>333</v>
      </c>
      <c r="F79" s="103" t="s">
        <v>247</v>
      </c>
      <c r="G79" s="103" t="s">
        <v>201</v>
      </c>
      <c r="H79" s="103" t="s">
        <v>12</v>
      </c>
      <c r="I79" s="103" t="s">
        <v>183</v>
      </c>
      <c r="J79" s="103"/>
      <c r="K79" s="105">
        <v>148</v>
      </c>
      <c r="L79" s="105">
        <f>K79*VLOOKUP(H79,dagsoorttabel1,2,FALSE)</f>
        <v>148</v>
      </c>
      <c r="M79" s="106">
        <f>prodnorm17</f>
        <v>0</v>
      </c>
      <c r="N79" s="41">
        <f>dagwerk17</f>
        <v>0</v>
      </c>
      <c r="O79" s="103" t="s">
        <v>105</v>
      </c>
      <c r="P79" s="26">
        <f>uurtarief17</f>
        <v>0</v>
      </c>
      <c r="Q79" s="105" t="e">
        <f>IF(ISBLANK(M79),0,L79/ROUND(M79,4))</f>
        <v>#DIV/0!</v>
      </c>
      <c r="R79" s="105" t="e">
        <f>IF(ISBLANK(M79),0,Q79*ROUND(N79,2))</f>
        <v>#DIV/0!</v>
      </c>
      <c r="S79" s="26" t="e">
        <f>ROUND(P79,2)*Q79</f>
        <v>#DIV/0!</v>
      </c>
      <c r="T79" s="105" t="e">
        <f>Q79*dagenperjaar1</f>
        <v>#DIV/0!</v>
      </c>
      <c r="U79" s="27" t="e">
        <f>T79*ROUND(P79,2)</f>
        <v>#DIV/0!</v>
      </c>
    </row>
    <row r="80" spans="1:21" ht="25.5" x14ac:dyDescent="0.2">
      <c r="A80" s="102" t="s">
        <v>243</v>
      </c>
      <c r="B80" s="103" t="s">
        <v>43</v>
      </c>
      <c r="C80" s="103" t="s">
        <v>304</v>
      </c>
      <c r="D80" s="103" t="s">
        <v>334</v>
      </c>
      <c r="E80" s="104" t="s">
        <v>335</v>
      </c>
      <c r="F80" s="103" t="s">
        <v>258</v>
      </c>
      <c r="G80" s="103" t="s">
        <v>203</v>
      </c>
      <c r="H80" s="103" t="s">
        <v>12</v>
      </c>
      <c r="I80" s="103" t="s">
        <v>183</v>
      </c>
      <c r="J80" s="103"/>
      <c r="K80" s="105">
        <v>56</v>
      </c>
      <c r="L80" s="105">
        <f>K80*VLOOKUP(H80,dagsoorttabel1,2,FALSE)</f>
        <v>56</v>
      </c>
      <c r="M80" s="106">
        <f>prodnorm18</f>
        <v>0</v>
      </c>
      <c r="N80" s="41">
        <f>dagwerk18</f>
        <v>0</v>
      </c>
      <c r="O80" s="103" t="s">
        <v>105</v>
      </c>
      <c r="P80" s="26">
        <f>uurtarief18</f>
        <v>0</v>
      </c>
      <c r="Q80" s="105" t="e">
        <f>IF(ISBLANK(M80),0,L80/ROUND(M80,4))</f>
        <v>#DIV/0!</v>
      </c>
      <c r="R80" s="105" t="e">
        <f>IF(ISBLANK(M80),0,Q80*ROUND(N80,2))</f>
        <v>#DIV/0!</v>
      </c>
      <c r="S80" s="26" t="e">
        <f>ROUND(P80,2)*Q80</f>
        <v>#DIV/0!</v>
      </c>
      <c r="T80" s="105" t="e">
        <f>Q80*dagenperjaar1</f>
        <v>#DIV/0!</v>
      </c>
      <c r="U80" s="27" t="e">
        <f>T80*ROUND(P80,2)</f>
        <v>#DIV/0!</v>
      </c>
    </row>
    <row r="81" spans="1:21" ht="38.25" x14ac:dyDescent="0.2">
      <c r="A81" s="102" t="s">
        <v>243</v>
      </c>
      <c r="B81" s="103" t="s">
        <v>43</v>
      </c>
      <c r="C81" s="103" t="s">
        <v>304</v>
      </c>
      <c r="D81" s="103" t="s">
        <v>336</v>
      </c>
      <c r="E81" s="104" t="s">
        <v>337</v>
      </c>
      <c r="F81" s="103" t="s">
        <v>258</v>
      </c>
      <c r="G81" s="103" t="s">
        <v>203</v>
      </c>
      <c r="H81" s="103" t="s">
        <v>12</v>
      </c>
      <c r="I81" s="103" t="s">
        <v>183</v>
      </c>
      <c r="J81" s="103"/>
      <c r="K81" s="105">
        <v>76</v>
      </c>
      <c r="L81" s="105">
        <f>K81*VLOOKUP(H81,dagsoorttabel1,2,FALSE)</f>
        <v>76</v>
      </c>
      <c r="M81" s="106">
        <f>prodnorm18</f>
        <v>0</v>
      </c>
      <c r="N81" s="41">
        <f>dagwerk18</f>
        <v>0</v>
      </c>
      <c r="O81" s="103" t="s">
        <v>105</v>
      </c>
      <c r="P81" s="26">
        <f>uurtarief18</f>
        <v>0</v>
      </c>
      <c r="Q81" s="105" t="e">
        <f>IF(ISBLANK(M81),0,L81/ROUND(M81,4))</f>
        <v>#DIV/0!</v>
      </c>
      <c r="R81" s="105" t="e">
        <f>IF(ISBLANK(M81),0,Q81*ROUND(N81,2))</f>
        <v>#DIV/0!</v>
      </c>
      <c r="S81" s="26" t="e">
        <f>ROUND(P81,2)*Q81</f>
        <v>#DIV/0!</v>
      </c>
      <c r="T81" s="105" t="e">
        <f>Q81*dagenperjaar1</f>
        <v>#DIV/0!</v>
      </c>
      <c r="U81" s="27" t="e">
        <f>T81*ROUND(P81,2)</f>
        <v>#DIV/0!</v>
      </c>
    </row>
    <row r="82" spans="1:21" ht="25.5" x14ac:dyDescent="0.2">
      <c r="A82" s="102" t="s">
        <v>243</v>
      </c>
      <c r="B82" s="103" t="s">
        <v>43</v>
      </c>
      <c r="C82" s="103" t="s">
        <v>304</v>
      </c>
      <c r="D82" s="103" t="s">
        <v>338</v>
      </c>
      <c r="E82" s="104" t="s">
        <v>339</v>
      </c>
      <c r="F82" s="103" t="s">
        <v>247</v>
      </c>
      <c r="G82" s="103" t="s">
        <v>228</v>
      </c>
      <c r="H82" s="103" t="s">
        <v>15</v>
      </c>
      <c r="I82" s="103" t="s">
        <v>222</v>
      </c>
      <c r="J82" s="103"/>
      <c r="K82" s="105">
        <v>56.2</v>
      </c>
      <c r="L82" s="105">
        <f>K82*VLOOKUP(H82,dagsoorttabel1,2,FALSE)</f>
        <v>28.1</v>
      </c>
      <c r="M82" s="106">
        <f>prodnorm6</f>
        <v>0</v>
      </c>
      <c r="N82" s="41">
        <f>dagwerk6</f>
        <v>0</v>
      </c>
      <c r="O82" s="103" t="s">
        <v>105</v>
      </c>
      <c r="P82" s="26">
        <f>uurtarief6</f>
        <v>0</v>
      </c>
      <c r="Q82" s="105" t="e">
        <f>IF(ISBLANK(M82),0,L82/ROUND(M82,4))</f>
        <v>#DIV/0!</v>
      </c>
      <c r="R82" s="105" t="e">
        <f>IF(ISBLANK(M82),0,Q82*ROUND(N82,2))</f>
        <v>#DIV/0!</v>
      </c>
      <c r="S82" s="26" t="e">
        <f>ROUND(P82,2)*Q82</f>
        <v>#DIV/0!</v>
      </c>
      <c r="T82" s="105" t="e">
        <f>Q82*dagenperjaar1</f>
        <v>#DIV/0!</v>
      </c>
      <c r="U82" s="27" t="e">
        <f>T82*ROUND(P82,2)</f>
        <v>#DIV/0!</v>
      </c>
    </row>
    <row r="83" spans="1:21" ht="25.5" x14ac:dyDescent="0.2">
      <c r="A83" s="102" t="s">
        <v>243</v>
      </c>
      <c r="B83" s="103" t="s">
        <v>43</v>
      </c>
      <c r="C83" s="103" t="s">
        <v>304</v>
      </c>
      <c r="D83" s="103" t="s">
        <v>338</v>
      </c>
      <c r="E83" s="104" t="s">
        <v>339</v>
      </c>
      <c r="F83" s="103" t="s">
        <v>247</v>
      </c>
      <c r="G83" s="103" t="s">
        <v>209</v>
      </c>
      <c r="H83" s="103" t="s">
        <v>15</v>
      </c>
      <c r="I83" s="103" t="s">
        <v>183</v>
      </c>
      <c r="J83" s="103"/>
      <c r="K83" s="105">
        <v>56.2</v>
      </c>
      <c r="L83" s="105">
        <f>K83*VLOOKUP(H83,dagsoorttabel1,2,FALSE)</f>
        <v>28.1</v>
      </c>
      <c r="M83" s="106">
        <f>prodnorm21</f>
        <v>0</v>
      </c>
      <c r="N83" s="41">
        <f>dagwerk21</f>
        <v>0</v>
      </c>
      <c r="O83" s="103" t="s">
        <v>105</v>
      </c>
      <c r="P83" s="26">
        <f>uurtarief21</f>
        <v>0</v>
      </c>
      <c r="Q83" s="105" t="e">
        <f>IF(ISBLANK(M83),0,L83/ROUND(M83,4))</f>
        <v>#DIV/0!</v>
      </c>
      <c r="R83" s="105" t="e">
        <f>IF(ISBLANK(M83),0,Q83*ROUND(N83,2))</f>
        <v>#DIV/0!</v>
      </c>
      <c r="S83" s="26" t="e">
        <f>ROUND(P83,2)*Q83</f>
        <v>#DIV/0!</v>
      </c>
      <c r="T83" s="105" t="e">
        <f>Q83*dagenperjaar1</f>
        <v>#DIV/0!</v>
      </c>
      <c r="U83" s="27" t="e">
        <f>T83*ROUND(P83,2)</f>
        <v>#DIV/0!</v>
      </c>
    </row>
    <row r="84" spans="1:21" x14ac:dyDescent="0.2">
      <c r="A84" s="102" t="s">
        <v>243</v>
      </c>
      <c r="B84" s="103" t="s">
        <v>43</v>
      </c>
      <c r="C84" s="103" t="s">
        <v>304</v>
      </c>
      <c r="D84" s="103" t="s">
        <v>340</v>
      </c>
      <c r="E84" s="104" t="s">
        <v>303</v>
      </c>
      <c r="F84" s="103" t="s">
        <v>247</v>
      </c>
      <c r="G84" s="103" t="s">
        <v>217</v>
      </c>
      <c r="H84" s="103" t="s">
        <v>12</v>
      </c>
      <c r="I84" s="103" t="s">
        <v>183</v>
      </c>
      <c r="J84" s="103"/>
      <c r="K84" s="105">
        <v>55.1</v>
      </c>
      <c r="L84" s="105">
        <f>K84*VLOOKUP(H84,dagsoorttabel1,2,FALSE)</f>
        <v>55.1</v>
      </c>
      <c r="M84" s="106">
        <f>prodnorm27</f>
        <v>0</v>
      </c>
      <c r="N84" s="41">
        <f>dagwerk27</f>
        <v>0</v>
      </c>
      <c r="O84" s="103" t="s">
        <v>105</v>
      </c>
      <c r="P84" s="26">
        <f>uurtarief27</f>
        <v>0</v>
      </c>
      <c r="Q84" s="105" t="e">
        <f>IF(ISBLANK(M84),0,L84/ROUND(M84,4))</f>
        <v>#DIV/0!</v>
      </c>
      <c r="R84" s="105" t="e">
        <f>IF(ISBLANK(M84),0,Q84*ROUND(N84,2))</f>
        <v>#DIV/0!</v>
      </c>
      <c r="S84" s="26" t="e">
        <f>ROUND(P84,2)*Q84</f>
        <v>#DIV/0!</v>
      </c>
      <c r="T84" s="105" t="e">
        <f>Q84*dagenperjaar1</f>
        <v>#DIV/0!</v>
      </c>
      <c r="U84" s="27" t="e">
        <f>T84*ROUND(P84,2)</f>
        <v>#DIV/0!</v>
      </c>
    </row>
    <row r="85" spans="1:21" x14ac:dyDescent="0.2">
      <c r="A85" s="102" t="s">
        <v>243</v>
      </c>
      <c r="B85" s="103" t="s">
        <v>43</v>
      </c>
      <c r="C85" s="103" t="s">
        <v>304</v>
      </c>
      <c r="D85" s="103" t="s">
        <v>341</v>
      </c>
      <c r="E85" s="104" t="s">
        <v>249</v>
      </c>
      <c r="F85" s="103" t="s">
        <v>247</v>
      </c>
      <c r="G85" s="103" t="s">
        <v>215</v>
      </c>
      <c r="H85" s="103" t="s">
        <v>12</v>
      </c>
      <c r="I85" s="103" t="s">
        <v>183</v>
      </c>
      <c r="J85" s="103"/>
      <c r="K85" s="105">
        <v>21.4</v>
      </c>
      <c r="L85" s="105">
        <f>K85*VLOOKUP(H85,dagsoorttabel1,2,FALSE)</f>
        <v>21.4</v>
      </c>
      <c r="M85" s="106">
        <f>prodnorm26</f>
        <v>0</v>
      </c>
      <c r="N85" s="41">
        <f>dagwerk26</f>
        <v>0</v>
      </c>
      <c r="O85" s="103" t="s">
        <v>105</v>
      </c>
      <c r="P85" s="26">
        <f>uurtarief26</f>
        <v>0</v>
      </c>
      <c r="Q85" s="105" t="e">
        <f>IF(ISBLANK(M85),0,L85/ROUND(M85,4))</f>
        <v>#DIV/0!</v>
      </c>
      <c r="R85" s="105" t="e">
        <f>IF(ISBLANK(M85),0,Q85*ROUND(N85,2))</f>
        <v>#DIV/0!</v>
      </c>
      <c r="S85" s="26" t="e">
        <f>ROUND(P85,2)*Q85</f>
        <v>#DIV/0!</v>
      </c>
      <c r="T85" s="105" t="e">
        <f>Q85*dagenperjaar1</f>
        <v>#DIV/0!</v>
      </c>
      <c r="U85" s="27" t="e">
        <f>T85*ROUND(P85,2)</f>
        <v>#DIV/0!</v>
      </c>
    </row>
    <row r="86" spans="1:21" x14ac:dyDescent="0.2">
      <c r="A86" s="102" t="s">
        <v>243</v>
      </c>
      <c r="B86" s="103" t="s">
        <v>43</v>
      </c>
      <c r="C86" s="103" t="s">
        <v>304</v>
      </c>
      <c r="D86" s="103" t="s">
        <v>342</v>
      </c>
      <c r="E86" s="104" t="s">
        <v>343</v>
      </c>
      <c r="F86" s="103" t="s">
        <v>270</v>
      </c>
      <c r="G86" s="103" t="s">
        <v>211</v>
      </c>
      <c r="H86" s="103" t="s">
        <v>12</v>
      </c>
      <c r="I86" s="103" t="s">
        <v>183</v>
      </c>
      <c r="J86" s="103"/>
      <c r="K86" s="105">
        <v>4.4000000000000004</v>
      </c>
      <c r="L86" s="105">
        <f>K86*VLOOKUP(H86,dagsoorttabel1,2,FALSE)</f>
        <v>4.4000000000000004</v>
      </c>
      <c r="M86" s="106">
        <f>prodnorm22</f>
        <v>0</v>
      </c>
      <c r="N86" s="41">
        <f>dagwerk22</f>
        <v>0</v>
      </c>
      <c r="O86" s="103" t="s">
        <v>105</v>
      </c>
      <c r="P86" s="26">
        <f>uurtarief22</f>
        <v>0</v>
      </c>
      <c r="Q86" s="105" t="e">
        <f>IF(ISBLANK(M86),0,L86/ROUND(M86,4))</f>
        <v>#DIV/0!</v>
      </c>
      <c r="R86" s="105" t="e">
        <f>IF(ISBLANK(M86),0,Q86*ROUND(N86,2))</f>
        <v>#DIV/0!</v>
      </c>
      <c r="S86" s="26" t="e">
        <f>ROUND(P86,2)*Q86</f>
        <v>#DIV/0!</v>
      </c>
      <c r="T86" s="105" t="e">
        <f>Q86*dagenperjaar1</f>
        <v>#DIV/0!</v>
      </c>
      <c r="U86" s="27" t="e">
        <f>T86*ROUND(P86,2)</f>
        <v>#DIV/0!</v>
      </c>
    </row>
    <row r="87" spans="1:21" x14ac:dyDescent="0.2">
      <c r="A87" s="102" t="s">
        <v>243</v>
      </c>
      <c r="B87" s="103" t="s">
        <v>43</v>
      </c>
      <c r="C87" s="103" t="s">
        <v>304</v>
      </c>
      <c r="D87" s="103" t="s">
        <v>344</v>
      </c>
      <c r="E87" s="104" t="s">
        <v>345</v>
      </c>
      <c r="F87" s="103" t="s">
        <v>247</v>
      </c>
      <c r="G87" s="103" t="s">
        <v>217</v>
      </c>
      <c r="H87" s="103" t="s">
        <v>12</v>
      </c>
      <c r="I87" s="103" t="s">
        <v>183</v>
      </c>
      <c r="J87" s="103"/>
      <c r="K87" s="105">
        <v>130.9</v>
      </c>
      <c r="L87" s="105">
        <f>K87*VLOOKUP(H87,dagsoorttabel1,2,FALSE)</f>
        <v>130.9</v>
      </c>
      <c r="M87" s="106">
        <f>prodnorm27</f>
        <v>0</v>
      </c>
      <c r="N87" s="41">
        <f>dagwerk27</f>
        <v>0</v>
      </c>
      <c r="O87" s="103" t="s">
        <v>105</v>
      </c>
      <c r="P87" s="26">
        <f>uurtarief27</f>
        <v>0</v>
      </c>
      <c r="Q87" s="105" t="e">
        <f>IF(ISBLANK(M87),0,L87/ROUND(M87,4))</f>
        <v>#DIV/0!</v>
      </c>
      <c r="R87" s="105" t="e">
        <f>IF(ISBLANK(M87),0,Q87*ROUND(N87,2))</f>
        <v>#DIV/0!</v>
      </c>
      <c r="S87" s="26" t="e">
        <f>ROUND(P87,2)*Q87</f>
        <v>#DIV/0!</v>
      </c>
      <c r="T87" s="105" t="e">
        <f>Q87*dagenperjaar1</f>
        <v>#DIV/0!</v>
      </c>
      <c r="U87" s="27" t="e">
        <f>T87*ROUND(P87,2)</f>
        <v>#DIV/0!</v>
      </c>
    </row>
    <row r="88" spans="1:21" x14ac:dyDescent="0.2">
      <c r="A88" s="102" t="s">
        <v>243</v>
      </c>
      <c r="B88" s="103" t="s">
        <v>43</v>
      </c>
      <c r="C88" s="103" t="s">
        <v>304</v>
      </c>
      <c r="D88" s="103" t="s">
        <v>346</v>
      </c>
      <c r="E88" s="104" t="s">
        <v>347</v>
      </c>
      <c r="F88" s="103" t="s">
        <v>247</v>
      </c>
      <c r="G88" s="103" t="s">
        <v>217</v>
      </c>
      <c r="H88" s="103" t="s">
        <v>12</v>
      </c>
      <c r="I88" s="103" t="s">
        <v>183</v>
      </c>
      <c r="J88" s="103"/>
      <c r="K88" s="105">
        <v>123.5</v>
      </c>
      <c r="L88" s="105">
        <f>K88*VLOOKUP(H88,dagsoorttabel1,2,FALSE)</f>
        <v>123.5</v>
      </c>
      <c r="M88" s="106">
        <f>prodnorm27</f>
        <v>0</v>
      </c>
      <c r="N88" s="41">
        <f>dagwerk27</f>
        <v>0</v>
      </c>
      <c r="O88" s="103" t="s">
        <v>105</v>
      </c>
      <c r="P88" s="26">
        <f>uurtarief27</f>
        <v>0</v>
      </c>
      <c r="Q88" s="105" t="e">
        <f>IF(ISBLANK(M88),0,L88/ROUND(M88,4))</f>
        <v>#DIV/0!</v>
      </c>
      <c r="R88" s="105" t="e">
        <f>IF(ISBLANK(M88),0,Q88*ROUND(N88,2))</f>
        <v>#DIV/0!</v>
      </c>
      <c r="S88" s="26" t="e">
        <f>ROUND(P88,2)*Q88</f>
        <v>#DIV/0!</v>
      </c>
      <c r="T88" s="105" t="e">
        <f>Q88*dagenperjaar1</f>
        <v>#DIV/0!</v>
      </c>
      <c r="U88" s="27" t="e">
        <f>T88*ROUND(P88,2)</f>
        <v>#DIV/0!</v>
      </c>
    </row>
    <row r="89" spans="1:21" x14ac:dyDescent="0.2">
      <c r="A89" s="102" t="s">
        <v>243</v>
      </c>
      <c r="B89" s="103" t="s">
        <v>43</v>
      </c>
      <c r="C89" s="103" t="s">
        <v>304</v>
      </c>
      <c r="D89" s="103" t="s">
        <v>348</v>
      </c>
      <c r="E89" s="104" t="s">
        <v>345</v>
      </c>
      <c r="F89" s="103" t="s">
        <v>247</v>
      </c>
      <c r="G89" s="103" t="s">
        <v>217</v>
      </c>
      <c r="H89" s="103" t="s">
        <v>12</v>
      </c>
      <c r="I89" s="103" t="s">
        <v>183</v>
      </c>
      <c r="J89" s="103"/>
      <c r="K89" s="105">
        <v>92.2</v>
      </c>
      <c r="L89" s="105">
        <f>K89*VLOOKUP(H89,dagsoorttabel1,2,FALSE)</f>
        <v>92.2</v>
      </c>
      <c r="M89" s="106">
        <f>prodnorm27</f>
        <v>0</v>
      </c>
      <c r="N89" s="41">
        <f>dagwerk27</f>
        <v>0</v>
      </c>
      <c r="O89" s="103" t="s">
        <v>105</v>
      </c>
      <c r="P89" s="26">
        <f>uurtarief27</f>
        <v>0</v>
      </c>
      <c r="Q89" s="105" t="e">
        <f>IF(ISBLANK(M89),0,L89/ROUND(M89,4))</f>
        <v>#DIV/0!</v>
      </c>
      <c r="R89" s="105" t="e">
        <f>IF(ISBLANK(M89),0,Q89*ROUND(N89,2))</f>
        <v>#DIV/0!</v>
      </c>
      <c r="S89" s="26" t="e">
        <f>ROUND(P89,2)*Q89</f>
        <v>#DIV/0!</v>
      </c>
      <c r="T89" s="105" t="e">
        <f>Q89*dagenperjaar1</f>
        <v>#DIV/0!</v>
      </c>
      <c r="U89" s="27" t="e">
        <f>T89*ROUND(P89,2)</f>
        <v>#DIV/0!</v>
      </c>
    </row>
    <row r="90" spans="1:21" x14ac:dyDescent="0.2">
      <c r="A90" s="102" t="s">
        <v>243</v>
      </c>
      <c r="B90" s="103" t="s">
        <v>43</v>
      </c>
      <c r="C90" s="103" t="s">
        <v>304</v>
      </c>
      <c r="D90" s="103" t="s">
        <v>349</v>
      </c>
      <c r="E90" s="104" t="s">
        <v>350</v>
      </c>
      <c r="F90" s="103" t="s">
        <v>261</v>
      </c>
      <c r="G90" s="103" t="s">
        <v>182</v>
      </c>
      <c r="H90" s="103" t="s">
        <v>12</v>
      </c>
      <c r="I90" s="103" t="s">
        <v>183</v>
      </c>
      <c r="J90" s="103"/>
      <c r="K90" s="105">
        <v>88.4</v>
      </c>
      <c r="L90" s="105">
        <f>K90*VLOOKUP(H90,dagsoorttabel1,2,FALSE)</f>
        <v>88.4</v>
      </c>
      <c r="M90" s="106">
        <f>prodnorm7</f>
        <v>0</v>
      </c>
      <c r="N90" s="41">
        <f>dagwerk7</f>
        <v>0</v>
      </c>
      <c r="O90" s="103" t="s">
        <v>105</v>
      </c>
      <c r="P90" s="26">
        <f>uurtarief7</f>
        <v>0</v>
      </c>
      <c r="Q90" s="105" t="e">
        <f>IF(ISBLANK(M90),0,L90/ROUND(M90,4))</f>
        <v>#DIV/0!</v>
      </c>
      <c r="R90" s="105" t="e">
        <f>IF(ISBLANK(M90),0,Q90*ROUND(N90,2))</f>
        <v>#DIV/0!</v>
      </c>
      <c r="S90" s="26" t="e">
        <f>ROUND(P90,2)*Q90</f>
        <v>#DIV/0!</v>
      </c>
      <c r="T90" s="105" t="e">
        <f>Q90*dagenperjaar1</f>
        <v>#DIV/0!</v>
      </c>
      <c r="U90" s="27" t="e">
        <f>T90*ROUND(P90,2)</f>
        <v>#DIV/0!</v>
      </c>
    </row>
    <row r="91" spans="1:21" x14ac:dyDescent="0.2">
      <c r="A91" s="102" t="s">
        <v>243</v>
      </c>
      <c r="B91" s="103" t="s">
        <v>43</v>
      </c>
      <c r="C91" s="103" t="s">
        <v>304</v>
      </c>
      <c r="D91" s="103" t="s">
        <v>351</v>
      </c>
      <c r="E91" s="104" t="s">
        <v>350</v>
      </c>
      <c r="F91" s="103" t="s">
        <v>261</v>
      </c>
      <c r="G91" s="103" t="s">
        <v>182</v>
      </c>
      <c r="H91" s="103" t="s">
        <v>12</v>
      </c>
      <c r="I91" s="103" t="s">
        <v>183</v>
      </c>
      <c r="J91" s="103"/>
      <c r="K91" s="105">
        <v>54</v>
      </c>
      <c r="L91" s="105">
        <f>K91*VLOOKUP(H91,dagsoorttabel1,2,FALSE)</f>
        <v>54</v>
      </c>
      <c r="M91" s="106">
        <f>prodnorm7</f>
        <v>0</v>
      </c>
      <c r="N91" s="41">
        <f>dagwerk7</f>
        <v>0</v>
      </c>
      <c r="O91" s="103" t="s">
        <v>105</v>
      </c>
      <c r="P91" s="26">
        <f>uurtarief7</f>
        <v>0</v>
      </c>
      <c r="Q91" s="105" t="e">
        <f>IF(ISBLANK(M91),0,L91/ROUND(M91,4))</f>
        <v>#DIV/0!</v>
      </c>
      <c r="R91" s="105" t="e">
        <f>IF(ISBLANK(M91),0,Q91*ROUND(N91,2))</f>
        <v>#DIV/0!</v>
      </c>
      <c r="S91" s="26" t="e">
        <f>ROUND(P91,2)*Q91</f>
        <v>#DIV/0!</v>
      </c>
      <c r="T91" s="105" t="e">
        <f>Q91*dagenperjaar1</f>
        <v>#DIV/0!</v>
      </c>
      <c r="U91" s="27" t="e">
        <f>T91*ROUND(P91,2)</f>
        <v>#DIV/0!</v>
      </c>
    </row>
    <row r="92" spans="1:21" x14ac:dyDescent="0.2">
      <c r="A92" s="102" t="s">
        <v>243</v>
      </c>
      <c r="B92" s="103" t="s">
        <v>43</v>
      </c>
      <c r="C92" s="103" t="s">
        <v>304</v>
      </c>
      <c r="D92" s="103" t="s">
        <v>352</v>
      </c>
      <c r="E92" s="104" t="s">
        <v>350</v>
      </c>
      <c r="F92" s="103" t="s">
        <v>261</v>
      </c>
      <c r="G92" s="103" t="s">
        <v>182</v>
      </c>
      <c r="H92" s="103" t="s">
        <v>12</v>
      </c>
      <c r="I92" s="103" t="s">
        <v>183</v>
      </c>
      <c r="J92" s="103"/>
      <c r="K92" s="105">
        <v>50.8</v>
      </c>
      <c r="L92" s="105">
        <f>K92*VLOOKUP(H92,dagsoorttabel1,2,FALSE)</f>
        <v>50.8</v>
      </c>
      <c r="M92" s="106">
        <f>prodnorm7</f>
        <v>0</v>
      </c>
      <c r="N92" s="41">
        <f>dagwerk7</f>
        <v>0</v>
      </c>
      <c r="O92" s="103" t="s">
        <v>105</v>
      </c>
      <c r="P92" s="26">
        <f>uurtarief7</f>
        <v>0</v>
      </c>
      <c r="Q92" s="105" t="e">
        <f>IF(ISBLANK(M92),0,L92/ROUND(M92,4))</f>
        <v>#DIV/0!</v>
      </c>
      <c r="R92" s="105" t="e">
        <f>IF(ISBLANK(M92),0,Q92*ROUND(N92,2))</f>
        <v>#DIV/0!</v>
      </c>
      <c r="S92" s="26" t="e">
        <f>ROUND(P92,2)*Q92</f>
        <v>#DIV/0!</v>
      </c>
      <c r="T92" s="105" t="e">
        <f>Q92*dagenperjaar1</f>
        <v>#DIV/0!</v>
      </c>
      <c r="U92" s="27" t="e">
        <f>T92*ROUND(P92,2)</f>
        <v>#DIV/0!</v>
      </c>
    </row>
    <row r="93" spans="1:21" x14ac:dyDescent="0.2">
      <c r="A93" s="102" t="s">
        <v>243</v>
      </c>
      <c r="B93" s="103" t="s">
        <v>43</v>
      </c>
      <c r="C93" s="103" t="s">
        <v>304</v>
      </c>
      <c r="D93" s="103" t="s">
        <v>353</v>
      </c>
      <c r="E93" s="104" t="s">
        <v>350</v>
      </c>
      <c r="F93" s="103" t="s">
        <v>261</v>
      </c>
      <c r="G93" s="103" t="s">
        <v>182</v>
      </c>
      <c r="H93" s="103" t="s">
        <v>12</v>
      </c>
      <c r="I93" s="103" t="s">
        <v>183</v>
      </c>
      <c r="J93" s="103"/>
      <c r="K93" s="105">
        <v>32.799999999999997</v>
      </c>
      <c r="L93" s="105">
        <f>K93*VLOOKUP(H93,dagsoorttabel1,2,FALSE)</f>
        <v>32.799999999999997</v>
      </c>
      <c r="M93" s="106">
        <f>prodnorm7</f>
        <v>0</v>
      </c>
      <c r="N93" s="41">
        <f>dagwerk7</f>
        <v>0</v>
      </c>
      <c r="O93" s="103" t="s">
        <v>105</v>
      </c>
      <c r="P93" s="26">
        <f>uurtarief7</f>
        <v>0</v>
      </c>
      <c r="Q93" s="105" t="e">
        <f>IF(ISBLANK(M93),0,L93/ROUND(M93,4))</f>
        <v>#DIV/0!</v>
      </c>
      <c r="R93" s="105" t="e">
        <f>IF(ISBLANK(M93),0,Q93*ROUND(N93,2))</f>
        <v>#DIV/0!</v>
      </c>
      <c r="S93" s="26" t="e">
        <f>ROUND(P93,2)*Q93</f>
        <v>#DIV/0!</v>
      </c>
      <c r="T93" s="105" t="e">
        <f>Q93*dagenperjaar1</f>
        <v>#DIV/0!</v>
      </c>
      <c r="U93" s="27" t="e">
        <f>T93*ROUND(P93,2)</f>
        <v>#DIV/0!</v>
      </c>
    </row>
    <row r="94" spans="1:21" x14ac:dyDescent="0.2">
      <c r="A94" s="102" t="s">
        <v>243</v>
      </c>
      <c r="B94" s="103" t="s">
        <v>43</v>
      </c>
      <c r="C94" s="103" t="s">
        <v>304</v>
      </c>
      <c r="D94" s="103" t="s">
        <v>354</v>
      </c>
      <c r="E94" s="104" t="s">
        <v>355</v>
      </c>
      <c r="F94" s="103" t="s">
        <v>261</v>
      </c>
      <c r="G94" s="103" t="s">
        <v>182</v>
      </c>
      <c r="H94" s="103" t="s">
        <v>12</v>
      </c>
      <c r="I94" s="103" t="s">
        <v>183</v>
      </c>
      <c r="J94" s="103"/>
      <c r="K94" s="105">
        <v>260</v>
      </c>
      <c r="L94" s="105">
        <f>K94*VLOOKUP(H94,dagsoorttabel1,2,FALSE)</f>
        <v>260</v>
      </c>
      <c r="M94" s="106">
        <f>prodnorm7</f>
        <v>0</v>
      </c>
      <c r="N94" s="41">
        <f>dagwerk7</f>
        <v>0</v>
      </c>
      <c r="O94" s="103" t="s">
        <v>105</v>
      </c>
      <c r="P94" s="26">
        <f>uurtarief7</f>
        <v>0</v>
      </c>
      <c r="Q94" s="105" t="e">
        <f>IF(ISBLANK(M94),0,L94/ROUND(M94,4))</f>
        <v>#DIV/0!</v>
      </c>
      <c r="R94" s="105" t="e">
        <f>IF(ISBLANK(M94),0,Q94*ROUND(N94,2))</f>
        <v>#DIV/0!</v>
      </c>
      <c r="S94" s="26" t="e">
        <f>ROUND(P94,2)*Q94</f>
        <v>#DIV/0!</v>
      </c>
      <c r="T94" s="105" t="e">
        <f>Q94*dagenperjaar1</f>
        <v>#DIV/0!</v>
      </c>
      <c r="U94" s="27" t="e">
        <f>T94*ROUND(P94,2)</f>
        <v>#DIV/0!</v>
      </c>
    </row>
    <row r="95" spans="1:21" x14ac:dyDescent="0.2">
      <c r="A95" s="102" t="s">
        <v>243</v>
      </c>
      <c r="B95" s="103" t="s">
        <v>43</v>
      </c>
      <c r="C95" s="103" t="s">
        <v>304</v>
      </c>
      <c r="D95" s="103" t="s">
        <v>356</v>
      </c>
      <c r="E95" s="104" t="s">
        <v>357</v>
      </c>
      <c r="F95" s="103" t="s">
        <v>247</v>
      </c>
      <c r="G95" s="103" t="s">
        <v>228</v>
      </c>
      <c r="H95" s="103" t="s">
        <v>15</v>
      </c>
      <c r="I95" s="103" t="s">
        <v>222</v>
      </c>
      <c r="J95" s="103"/>
      <c r="K95" s="105">
        <v>21.1</v>
      </c>
      <c r="L95" s="105">
        <f>K95*VLOOKUP(H95,dagsoorttabel1,2,FALSE)</f>
        <v>10.55</v>
      </c>
      <c r="M95" s="106">
        <f>prodnorm6</f>
        <v>0</v>
      </c>
      <c r="N95" s="41">
        <f>dagwerk6</f>
        <v>0</v>
      </c>
      <c r="O95" s="103" t="s">
        <v>105</v>
      </c>
      <c r="P95" s="26">
        <f>uurtarief6</f>
        <v>0</v>
      </c>
      <c r="Q95" s="105" t="e">
        <f>IF(ISBLANK(M95),0,L95/ROUND(M95,4))</f>
        <v>#DIV/0!</v>
      </c>
      <c r="R95" s="105" t="e">
        <f>IF(ISBLANK(M95),0,Q95*ROUND(N95,2))</f>
        <v>#DIV/0!</v>
      </c>
      <c r="S95" s="26" t="e">
        <f>ROUND(P95,2)*Q95</f>
        <v>#DIV/0!</v>
      </c>
      <c r="T95" s="105" t="e">
        <f>Q95*dagenperjaar1</f>
        <v>#DIV/0!</v>
      </c>
      <c r="U95" s="27" t="e">
        <f>T95*ROUND(P95,2)</f>
        <v>#DIV/0!</v>
      </c>
    </row>
    <row r="96" spans="1:21" x14ac:dyDescent="0.2">
      <c r="A96" s="102" t="s">
        <v>243</v>
      </c>
      <c r="B96" s="103" t="s">
        <v>43</v>
      </c>
      <c r="C96" s="103" t="s">
        <v>304</v>
      </c>
      <c r="D96" s="103" t="s">
        <v>356</v>
      </c>
      <c r="E96" s="104" t="s">
        <v>357</v>
      </c>
      <c r="F96" s="103" t="s">
        <v>247</v>
      </c>
      <c r="G96" s="103" t="s">
        <v>187</v>
      </c>
      <c r="H96" s="103" t="s">
        <v>15</v>
      </c>
      <c r="I96" s="103" t="s">
        <v>183</v>
      </c>
      <c r="J96" s="103"/>
      <c r="K96" s="105">
        <v>21.1</v>
      </c>
      <c r="L96" s="105">
        <f>K96*VLOOKUP(H96,dagsoorttabel1,2,FALSE)</f>
        <v>10.55</v>
      </c>
      <c r="M96" s="106">
        <f>prodnorm9</f>
        <v>0</v>
      </c>
      <c r="N96" s="41">
        <f>dagwerk9</f>
        <v>0</v>
      </c>
      <c r="O96" s="103" t="s">
        <v>105</v>
      </c>
      <c r="P96" s="26">
        <f>uurtarief9</f>
        <v>0</v>
      </c>
      <c r="Q96" s="105" t="e">
        <f>IF(ISBLANK(M96),0,L96/ROUND(M96,4))</f>
        <v>#DIV/0!</v>
      </c>
      <c r="R96" s="105" t="e">
        <f>IF(ISBLANK(M96),0,Q96*ROUND(N96,2))</f>
        <v>#DIV/0!</v>
      </c>
      <c r="S96" s="26" t="e">
        <f>ROUND(P96,2)*Q96</f>
        <v>#DIV/0!</v>
      </c>
      <c r="T96" s="105" t="e">
        <f>Q96*dagenperjaar1</f>
        <v>#DIV/0!</v>
      </c>
      <c r="U96" s="27" t="e">
        <f>T96*ROUND(P96,2)</f>
        <v>#DIV/0!</v>
      </c>
    </row>
    <row r="97" spans="1:21" x14ac:dyDescent="0.2">
      <c r="A97" s="102" t="s">
        <v>243</v>
      </c>
      <c r="B97" s="103" t="s">
        <v>43</v>
      </c>
      <c r="C97" s="103" t="s">
        <v>358</v>
      </c>
      <c r="D97" s="103" t="s">
        <v>359</v>
      </c>
      <c r="E97" s="104" t="s">
        <v>306</v>
      </c>
      <c r="F97" s="103" t="s">
        <v>247</v>
      </c>
      <c r="G97" s="103" t="s">
        <v>228</v>
      </c>
      <c r="H97" s="103" t="s">
        <v>15</v>
      </c>
      <c r="I97" s="103" t="s">
        <v>222</v>
      </c>
      <c r="J97" s="103"/>
      <c r="K97" s="105">
        <v>57.1</v>
      </c>
      <c r="L97" s="105">
        <f>K97*VLOOKUP(H97,dagsoorttabel1,2,FALSE)</f>
        <v>28.55</v>
      </c>
      <c r="M97" s="106">
        <f>prodnorm6</f>
        <v>0</v>
      </c>
      <c r="N97" s="41">
        <f>dagwerk6</f>
        <v>0</v>
      </c>
      <c r="O97" s="103" t="s">
        <v>105</v>
      </c>
      <c r="P97" s="26">
        <f>uurtarief6</f>
        <v>0</v>
      </c>
      <c r="Q97" s="105" t="e">
        <f>IF(ISBLANK(M97),0,L97/ROUND(M97,4))</f>
        <v>#DIV/0!</v>
      </c>
      <c r="R97" s="105" t="e">
        <f>IF(ISBLANK(M97),0,Q97*ROUND(N97,2))</f>
        <v>#DIV/0!</v>
      </c>
      <c r="S97" s="26" t="e">
        <f>ROUND(P97,2)*Q97</f>
        <v>#DIV/0!</v>
      </c>
      <c r="T97" s="105" t="e">
        <f>Q97*dagenperjaar1</f>
        <v>#DIV/0!</v>
      </c>
      <c r="U97" s="27" t="e">
        <f>T97*ROUND(P97,2)</f>
        <v>#DIV/0!</v>
      </c>
    </row>
    <row r="98" spans="1:21" x14ac:dyDescent="0.2">
      <c r="A98" s="102" t="s">
        <v>243</v>
      </c>
      <c r="B98" s="103" t="s">
        <v>43</v>
      </c>
      <c r="C98" s="103" t="s">
        <v>358</v>
      </c>
      <c r="D98" s="103" t="s">
        <v>359</v>
      </c>
      <c r="E98" s="104" t="s">
        <v>306</v>
      </c>
      <c r="F98" s="103" t="s">
        <v>247</v>
      </c>
      <c r="G98" s="103" t="s">
        <v>197</v>
      </c>
      <c r="H98" s="103" t="s">
        <v>15</v>
      </c>
      <c r="I98" s="103" t="s">
        <v>183</v>
      </c>
      <c r="J98" s="103"/>
      <c r="K98" s="105">
        <v>57.1</v>
      </c>
      <c r="L98" s="105">
        <f>K98*VLOOKUP(H98,dagsoorttabel1,2,FALSE)</f>
        <v>28.55</v>
      </c>
      <c r="M98" s="106">
        <f>prodnorm15</f>
        <v>0</v>
      </c>
      <c r="N98" s="41">
        <f>dagwerk15</f>
        <v>0</v>
      </c>
      <c r="O98" s="103" t="s">
        <v>105</v>
      </c>
      <c r="P98" s="26">
        <f>uurtarief15</f>
        <v>0</v>
      </c>
      <c r="Q98" s="105" t="e">
        <f>IF(ISBLANK(M98),0,L98/ROUND(M98,4))</f>
        <v>#DIV/0!</v>
      </c>
      <c r="R98" s="105" t="e">
        <f>IF(ISBLANK(M98),0,Q98*ROUND(N98,2))</f>
        <v>#DIV/0!</v>
      </c>
      <c r="S98" s="26" t="e">
        <f>ROUND(P98,2)*Q98</f>
        <v>#DIV/0!</v>
      </c>
      <c r="T98" s="105" t="e">
        <f>Q98*dagenperjaar1</f>
        <v>#DIV/0!</v>
      </c>
      <c r="U98" s="27" t="e">
        <f>T98*ROUND(P98,2)</f>
        <v>#DIV/0!</v>
      </c>
    </row>
    <row r="99" spans="1:21" x14ac:dyDescent="0.2">
      <c r="A99" s="102" t="s">
        <v>243</v>
      </c>
      <c r="B99" s="103" t="s">
        <v>43</v>
      </c>
      <c r="C99" s="103" t="s">
        <v>358</v>
      </c>
      <c r="D99" s="103" t="s">
        <v>360</v>
      </c>
      <c r="E99" s="104" t="s">
        <v>306</v>
      </c>
      <c r="F99" s="103" t="s">
        <v>247</v>
      </c>
      <c r="G99" s="103" t="s">
        <v>228</v>
      </c>
      <c r="H99" s="103" t="s">
        <v>15</v>
      </c>
      <c r="I99" s="103" t="s">
        <v>222</v>
      </c>
      <c r="J99" s="103"/>
      <c r="K99" s="105">
        <v>57.1</v>
      </c>
      <c r="L99" s="105">
        <f>K99*VLOOKUP(H99,dagsoorttabel1,2,FALSE)</f>
        <v>28.55</v>
      </c>
      <c r="M99" s="106">
        <f>prodnorm6</f>
        <v>0</v>
      </c>
      <c r="N99" s="41">
        <f>dagwerk6</f>
        <v>0</v>
      </c>
      <c r="O99" s="103" t="s">
        <v>105</v>
      </c>
      <c r="P99" s="26">
        <f>uurtarief6</f>
        <v>0</v>
      </c>
      <c r="Q99" s="105" t="e">
        <f>IF(ISBLANK(M99),0,L99/ROUND(M99,4))</f>
        <v>#DIV/0!</v>
      </c>
      <c r="R99" s="105" t="e">
        <f>IF(ISBLANK(M99),0,Q99*ROUND(N99,2))</f>
        <v>#DIV/0!</v>
      </c>
      <c r="S99" s="26" t="e">
        <f>ROUND(P99,2)*Q99</f>
        <v>#DIV/0!</v>
      </c>
      <c r="T99" s="105" t="e">
        <f>Q99*dagenperjaar1</f>
        <v>#DIV/0!</v>
      </c>
      <c r="U99" s="27" t="e">
        <f>T99*ROUND(P99,2)</f>
        <v>#DIV/0!</v>
      </c>
    </row>
    <row r="100" spans="1:21" x14ac:dyDescent="0.2">
      <c r="A100" s="102" t="s">
        <v>243</v>
      </c>
      <c r="B100" s="103" t="s">
        <v>43</v>
      </c>
      <c r="C100" s="103" t="s">
        <v>358</v>
      </c>
      <c r="D100" s="103" t="s">
        <v>360</v>
      </c>
      <c r="E100" s="104" t="s">
        <v>306</v>
      </c>
      <c r="F100" s="103" t="s">
        <v>247</v>
      </c>
      <c r="G100" s="103" t="s">
        <v>197</v>
      </c>
      <c r="H100" s="103" t="s">
        <v>15</v>
      </c>
      <c r="I100" s="103" t="s">
        <v>183</v>
      </c>
      <c r="J100" s="103"/>
      <c r="K100" s="105">
        <v>57.1</v>
      </c>
      <c r="L100" s="105">
        <f>K100*VLOOKUP(H100,dagsoorttabel1,2,FALSE)</f>
        <v>28.55</v>
      </c>
      <c r="M100" s="106">
        <f>prodnorm15</f>
        <v>0</v>
      </c>
      <c r="N100" s="41">
        <f>dagwerk15</f>
        <v>0</v>
      </c>
      <c r="O100" s="103" t="s">
        <v>105</v>
      </c>
      <c r="P100" s="26">
        <f>uurtarief15</f>
        <v>0</v>
      </c>
      <c r="Q100" s="105" t="e">
        <f>IF(ISBLANK(M100),0,L100/ROUND(M100,4))</f>
        <v>#DIV/0!</v>
      </c>
      <c r="R100" s="105" t="e">
        <f>IF(ISBLANK(M100),0,Q100*ROUND(N100,2))</f>
        <v>#DIV/0!</v>
      </c>
      <c r="S100" s="26" t="e">
        <f>ROUND(P100,2)*Q100</f>
        <v>#DIV/0!</v>
      </c>
      <c r="T100" s="105" t="e">
        <f>Q100*dagenperjaar1</f>
        <v>#DIV/0!</v>
      </c>
      <c r="U100" s="27" t="e">
        <f>T100*ROUND(P100,2)</f>
        <v>#DIV/0!</v>
      </c>
    </row>
    <row r="101" spans="1:21" x14ac:dyDescent="0.2">
      <c r="A101" s="102" t="s">
        <v>243</v>
      </c>
      <c r="B101" s="103" t="s">
        <v>43</v>
      </c>
      <c r="C101" s="103" t="s">
        <v>358</v>
      </c>
      <c r="D101" s="103" t="s">
        <v>361</v>
      </c>
      <c r="E101" s="104" t="s">
        <v>249</v>
      </c>
      <c r="F101" s="103" t="s">
        <v>247</v>
      </c>
      <c r="G101" s="103" t="s">
        <v>215</v>
      </c>
      <c r="H101" s="103" t="s">
        <v>12</v>
      </c>
      <c r="I101" s="103" t="s">
        <v>183</v>
      </c>
      <c r="J101" s="103"/>
      <c r="K101" s="105">
        <v>17</v>
      </c>
      <c r="L101" s="105">
        <f>K101*VLOOKUP(H101,dagsoorttabel1,2,FALSE)</f>
        <v>17</v>
      </c>
      <c r="M101" s="106">
        <f>prodnorm26</f>
        <v>0</v>
      </c>
      <c r="N101" s="41">
        <f>dagwerk26</f>
        <v>0</v>
      </c>
      <c r="O101" s="103" t="s">
        <v>105</v>
      </c>
      <c r="P101" s="26">
        <f>uurtarief26</f>
        <v>0</v>
      </c>
      <c r="Q101" s="105" t="e">
        <f>IF(ISBLANK(M101),0,L101/ROUND(M101,4))</f>
        <v>#DIV/0!</v>
      </c>
      <c r="R101" s="105" t="e">
        <f>IF(ISBLANK(M101),0,Q101*ROUND(N101,2))</f>
        <v>#DIV/0!</v>
      </c>
      <c r="S101" s="26" t="e">
        <f>ROUND(P101,2)*Q101</f>
        <v>#DIV/0!</v>
      </c>
      <c r="T101" s="105" t="e">
        <f>Q101*dagenperjaar1</f>
        <v>#DIV/0!</v>
      </c>
      <c r="U101" s="27" t="e">
        <f>T101*ROUND(P101,2)</f>
        <v>#DIV/0!</v>
      </c>
    </row>
    <row r="102" spans="1:21" x14ac:dyDescent="0.2">
      <c r="A102" s="102" t="s">
        <v>243</v>
      </c>
      <c r="B102" s="103" t="s">
        <v>43</v>
      </c>
      <c r="C102" s="103" t="s">
        <v>358</v>
      </c>
      <c r="D102" s="103" t="s">
        <v>362</v>
      </c>
      <c r="E102" s="104" t="s">
        <v>363</v>
      </c>
      <c r="F102" s="103" t="s">
        <v>247</v>
      </c>
      <c r="G102" s="103" t="s">
        <v>228</v>
      </c>
      <c r="H102" s="103" t="s">
        <v>15</v>
      </c>
      <c r="I102" s="103" t="s">
        <v>222</v>
      </c>
      <c r="J102" s="103"/>
      <c r="K102" s="105">
        <v>31.4</v>
      </c>
      <c r="L102" s="105">
        <f>K102*VLOOKUP(H102,dagsoorttabel1,2,FALSE)</f>
        <v>15.7</v>
      </c>
      <c r="M102" s="106">
        <f>prodnorm6</f>
        <v>0</v>
      </c>
      <c r="N102" s="41">
        <f>dagwerk6</f>
        <v>0</v>
      </c>
      <c r="O102" s="103" t="s">
        <v>105</v>
      </c>
      <c r="P102" s="26">
        <f>uurtarief6</f>
        <v>0</v>
      </c>
      <c r="Q102" s="105" t="e">
        <f>IF(ISBLANK(M102),0,L102/ROUND(M102,4))</f>
        <v>#DIV/0!</v>
      </c>
      <c r="R102" s="105" t="e">
        <f>IF(ISBLANK(M102),0,Q102*ROUND(N102,2))</f>
        <v>#DIV/0!</v>
      </c>
      <c r="S102" s="26" t="e">
        <f>ROUND(P102,2)*Q102</f>
        <v>#DIV/0!</v>
      </c>
      <c r="T102" s="105" t="e">
        <f>Q102*dagenperjaar1</f>
        <v>#DIV/0!</v>
      </c>
      <c r="U102" s="27" t="e">
        <f>T102*ROUND(P102,2)</f>
        <v>#DIV/0!</v>
      </c>
    </row>
    <row r="103" spans="1:21" x14ac:dyDescent="0.2">
      <c r="A103" s="102" t="s">
        <v>243</v>
      </c>
      <c r="B103" s="103" t="s">
        <v>43</v>
      </c>
      <c r="C103" s="103" t="s">
        <v>358</v>
      </c>
      <c r="D103" s="103" t="s">
        <v>362</v>
      </c>
      <c r="E103" s="104" t="s">
        <v>363</v>
      </c>
      <c r="F103" s="103" t="s">
        <v>247</v>
      </c>
      <c r="G103" s="103" t="s">
        <v>187</v>
      </c>
      <c r="H103" s="103" t="s">
        <v>15</v>
      </c>
      <c r="I103" s="103" t="s">
        <v>183</v>
      </c>
      <c r="J103" s="103"/>
      <c r="K103" s="105">
        <v>31.4</v>
      </c>
      <c r="L103" s="105">
        <f>K103*VLOOKUP(H103,dagsoorttabel1,2,FALSE)</f>
        <v>15.7</v>
      </c>
      <c r="M103" s="106">
        <f>prodnorm9</f>
        <v>0</v>
      </c>
      <c r="N103" s="41">
        <f>dagwerk9</f>
        <v>0</v>
      </c>
      <c r="O103" s="103" t="s">
        <v>105</v>
      </c>
      <c r="P103" s="26">
        <f>uurtarief9</f>
        <v>0</v>
      </c>
      <c r="Q103" s="105" t="e">
        <f>IF(ISBLANK(M103),0,L103/ROUND(M103,4))</f>
        <v>#DIV/0!</v>
      </c>
      <c r="R103" s="105" t="e">
        <f>IF(ISBLANK(M103),0,Q103*ROUND(N103,2))</f>
        <v>#DIV/0!</v>
      </c>
      <c r="S103" s="26" t="e">
        <f>ROUND(P103,2)*Q103</f>
        <v>#DIV/0!</v>
      </c>
      <c r="T103" s="105" t="e">
        <f>Q103*dagenperjaar1</f>
        <v>#DIV/0!</v>
      </c>
      <c r="U103" s="27" t="e">
        <f>T103*ROUND(P103,2)</f>
        <v>#DIV/0!</v>
      </c>
    </row>
    <row r="104" spans="1:21" x14ac:dyDescent="0.2">
      <c r="A104" s="102" t="s">
        <v>243</v>
      </c>
      <c r="B104" s="103" t="s">
        <v>43</v>
      </c>
      <c r="C104" s="103" t="s">
        <v>358</v>
      </c>
      <c r="D104" s="103" t="s">
        <v>364</v>
      </c>
      <c r="E104" s="104" t="s">
        <v>306</v>
      </c>
      <c r="F104" s="103" t="s">
        <v>247</v>
      </c>
      <c r="G104" s="103" t="s">
        <v>228</v>
      </c>
      <c r="H104" s="103" t="s">
        <v>15</v>
      </c>
      <c r="I104" s="103" t="s">
        <v>222</v>
      </c>
      <c r="J104" s="103"/>
      <c r="K104" s="105">
        <v>56.3</v>
      </c>
      <c r="L104" s="105">
        <f>K104*VLOOKUP(H104,dagsoorttabel1,2,FALSE)</f>
        <v>28.15</v>
      </c>
      <c r="M104" s="106">
        <f>prodnorm6</f>
        <v>0</v>
      </c>
      <c r="N104" s="41">
        <f>dagwerk6</f>
        <v>0</v>
      </c>
      <c r="O104" s="103" t="s">
        <v>105</v>
      </c>
      <c r="P104" s="26">
        <f>uurtarief6</f>
        <v>0</v>
      </c>
      <c r="Q104" s="105" t="e">
        <f>IF(ISBLANK(M104),0,L104/ROUND(M104,4))</f>
        <v>#DIV/0!</v>
      </c>
      <c r="R104" s="105" t="e">
        <f>IF(ISBLANK(M104),0,Q104*ROUND(N104,2))</f>
        <v>#DIV/0!</v>
      </c>
      <c r="S104" s="26" t="e">
        <f>ROUND(P104,2)*Q104</f>
        <v>#DIV/0!</v>
      </c>
      <c r="T104" s="105" t="e">
        <f>Q104*dagenperjaar1</f>
        <v>#DIV/0!</v>
      </c>
      <c r="U104" s="27" t="e">
        <f>T104*ROUND(P104,2)</f>
        <v>#DIV/0!</v>
      </c>
    </row>
    <row r="105" spans="1:21" x14ac:dyDescent="0.2">
      <c r="A105" s="102" t="s">
        <v>243</v>
      </c>
      <c r="B105" s="103" t="s">
        <v>43</v>
      </c>
      <c r="C105" s="103" t="s">
        <v>358</v>
      </c>
      <c r="D105" s="103" t="s">
        <v>364</v>
      </c>
      <c r="E105" s="104" t="s">
        <v>306</v>
      </c>
      <c r="F105" s="103" t="s">
        <v>247</v>
      </c>
      <c r="G105" s="103" t="s">
        <v>197</v>
      </c>
      <c r="H105" s="103" t="s">
        <v>15</v>
      </c>
      <c r="I105" s="103" t="s">
        <v>183</v>
      </c>
      <c r="J105" s="103"/>
      <c r="K105" s="105">
        <v>56.3</v>
      </c>
      <c r="L105" s="105">
        <f>K105*VLOOKUP(H105,dagsoorttabel1,2,FALSE)</f>
        <v>28.15</v>
      </c>
      <c r="M105" s="106">
        <f>prodnorm15</f>
        <v>0</v>
      </c>
      <c r="N105" s="41">
        <f>dagwerk15</f>
        <v>0</v>
      </c>
      <c r="O105" s="103" t="s">
        <v>105</v>
      </c>
      <c r="P105" s="26">
        <f>uurtarief15</f>
        <v>0</v>
      </c>
      <c r="Q105" s="105" t="e">
        <f>IF(ISBLANK(M105),0,L105/ROUND(M105,4))</f>
        <v>#DIV/0!</v>
      </c>
      <c r="R105" s="105" t="e">
        <f>IF(ISBLANK(M105),0,Q105*ROUND(N105,2))</f>
        <v>#DIV/0!</v>
      </c>
      <c r="S105" s="26" t="e">
        <f>ROUND(P105,2)*Q105</f>
        <v>#DIV/0!</v>
      </c>
      <c r="T105" s="105" t="e">
        <f>Q105*dagenperjaar1</f>
        <v>#DIV/0!</v>
      </c>
      <c r="U105" s="27" t="e">
        <f>T105*ROUND(P105,2)</f>
        <v>#DIV/0!</v>
      </c>
    </row>
    <row r="106" spans="1:21" x14ac:dyDescent="0.2">
      <c r="A106" s="102" t="s">
        <v>243</v>
      </c>
      <c r="B106" s="103" t="s">
        <v>43</v>
      </c>
      <c r="C106" s="103" t="s">
        <v>358</v>
      </c>
      <c r="D106" s="103" t="s">
        <v>365</v>
      </c>
      <c r="E106" s="104" t="s">
        <v>306</v>
      </c>
      <c r="F106" s="103" t="s">
        <v>247</v>
      </c>
      <c r="G106" s="103" t="s">
        <v>228</v>
      </c>
      <c r="H106" s="103" t="s">
        <v>15</v>
      </c>
      <c r="I106" s="103" t="s">
        <v>222</v>
      </c>
      <c r="J106" s="103"/>
      <c r="K106" s="105">
        <v>56.3</v>
      </c>
      <c r="L106" s="105">
        <f>K106*VLOOKUP(H106,dagsoorttabel1,2,FALSE)</f>
        <v>28.15</v>
      </c>
      <c r="M106" s="106">
        <f>prodnorm6</f>
        <v>0</v>
      </c>
      <c r="N106" s="41">
        <f>dagwerk6</f>
        <v>0</v>
      </c>
      <c r="O106" s="103" t="s">
        <v>105</v>
      </c>
      <c r="P106" s="26">
        <f>uurtarief6</f>
        <v>0</v>
      </c>
      <c r="Q106" s="105" t="e">
        <f>IF(ISBLANK(M106),0,L106/ROUND(M106,4))</f>
        <v>#DIV/0!</v>
      </c>
      <c r="R106" s="105" t="e">
        <f>IF(ISBLANK(M106),0,Q106*ROUND(N106,2))</f>
        <v>#DIV/0!</v>
      </c>
      <c r="S106" s="26" t="e">
        <f>ROUND(P106,2)*Q106</f>
        <v>#DIV/0!</v>
      </c>
      <c r="T106" s="105" t="e">
        <f>Q106*dagenperjaar1</f>
        <v>#DIV/0!</v>
      </c>
      <c r="U106" s="27" t="e">
        <f>T106*ROUND(P106,2)</f>
        <v>#DIV/0!</v>
      </c>
    </row>
    <row r="107" spans="1:21" x14ac:dyDescent="0.2">
      <c r="A107" s="102" t="s">
        <v>243</v>
      </c>
      <c r="B107" s="103" t="s">
        <v>43</v>
      </c>
      <c r="C107" s="103" t="s">
        <v>358</v>
      </c>
      <c r="D107" s="103" t="s">
        <v>365</v>
      </c>
      <c r="E107" s="104" t="s">
        <v>306</v>
      </c>
      <c r="F107" s="103" t="s">
        <v>247</v>
      </c>
      <c r="G107" s="103" t="s">
        <v>197</v>
      </c>
      <c r="H107" s="103" t="s">
        <v>15</v>
      </c>
      <c r="I107" s="103" t="s">
        <v>183</v>
      </c>
      <c r="J107" s="103"/>
      <c r="K107" s="105">
        <v>56.3</v>
      </c>
      <c r="L107" s="105">
        <f>K107*VLOOKUP(H107,dagsoorttabel1,2,FALSE)</f>
        <v>28.15</v>
      </c>
      <c r="M107" s="106">
        <f>prodnorm15</f>
        <v>0</v>
      </c>
      <c r="N107" s="41">
        <f>dagwerk15</f>
        <v>0</v>
      </c>
      <c r="O107" s="103" t="s">
        <v>105</v>
      </c>
      <c r="P107" s="26">
        <f>uurtarief15</f>
        <v>0</v>
      </c>
      <c r="Q107" s="105" t="e">
        <f>IF(ISBLANK(M107),0,L107/ROUND(M107,4))</f>
        <v>#DIV/0!</v>
      </c>
      <c r="R107" s="105" t="e">
        <f>IF(ISBLANK(M107),0,Q107*ROUND(N107,2))</f>
        <v>#DIV/0!</v>
      </c>
      <c r="S107" s="26" t="e">
        <f>ROUND(P107,2)*Q107</f>
        <v>#DIV/0!</v>
      </c>
      <c r="T107" s="105" t="e">
        <f>Q107*dagenperjaar1</f>
        <v>#DIV/0!</v>
      </c>
      <c r="U107" s="27" t="e">
        <f>T107*ROUND(P107,2)</f>
        <v>#DIV/0!</v>
      </c>
    </row>
    <row r="108" spans="1:21" x14ac:dyDescent="0.2">
      <c r="A108" s="102" t="s">
        <v>243</v>
      </c>
      <c r="B108" s="103" t="s">
        <v>43</v>
      </c>
      <c r="C108" s="103" t="s">
        <v>358</v>
      </c>
      <c r="D108" s="103" t="s">
        <v>366</v>
      </c>
      <c r="E108" s="104" t="s">
        <v>306</v>
      </c>
      <c r="F108" s="103" t="s">
        <v>247</v>
      </c>
      <c r="G108" s="103" t="s">
        <v>228</v>
      </c>
      <c r="H108" s="103" t="s">
        <v>15</v>
      </c>
      <c r="I108" s="103" t="s">
        <v>222</v>
      </c>
      <c r="J108" s="103"/>
      <c r="K108" s="105">
        <v>57.4</v>
      </c>
      <c r="L108" s="105">
        <f>K108*VLOOKUP(H108,dagsoorttabel1,2,FALSE)</f>
        <v>28.7</v>
      </c>
      <c r="M108" s="106">
        <f>prodnorm6</f>
        <v>0</v>
      </c>
      <c r="N108" s="41">
        <f>dagwerk6</f>
        <v>0</v>
      </c>
      <c r="O108" s="103" t="s">
        <v>105</v>
      </c>
      <c r="P108" s="26">
        <f>uurtarief6</f>
        <v>0</v>
      </c>
      <c r="Q108" s="105" t="e">
        <f>IF(ISBLANK(M108),0,L108/ROUND(M108,4))</f>
        <v>#DIV/0!</v>
      </c>
      <c r="R108" s="105" t="e">
        <f>IF(ISBLANK(M108),0,Q108*ROUND(N108,2))</f>
        <v>#DIV/0!</v>
      </c>
      <c r="S108" s="26" t="e">
        <f>ROUND(P108,2)*Q108</f>
        <v>#DIV/0!</v>
      </c>
      <c r="T108" s="105" t="e">
        <f>Q108*dagenperjaar1</f>
        <v>#DIV/0!</v>
      </c>
      <c r="U108" s="27" t="e">
        <f>T108*ROUND(P108,2)</f>
        <v>#DIV/0!</v>
      </c>
    </row>
    <row r="109" spans="1:21" x14ac:dyDescent="0.2">
      <c r="A109" s="102" t="s">
        <v>243</v>
      </c>
      <c r="B109" s="103" t="s">
        <v>43</v>
      </c>
      <c r="C109" s="103" t="s">
        <v>358</v>
      </c>
      <c r="D109" s="103" t="s">
        <v>366</v>
      </c>
      <c r="E109" s="104" t="s">
        <v>306</v>
      </c>
      <c r="F109" s="103" t="s">
        <v>247</v>
      </c>
      <c r="G109" s="103" t="s">
        <v>197</v>
      </c>
      <c r="H109" s="103" t="s">
        <v>15</v>
      </c>
      <c r="I109" s="103" t="s">
        <v>183</v>
      </c>
      <c r="J109" s="103"/>
      <c r="K109" s="105">
        <v>57.4</v>
      </c>
      <c r="L109" s="105">
        <f>K109*VLOOKUP(H109,dagsoorttabel1,2,FALSE)</f>
        <v>28.7</v>
      </c>
      <c r="M109" s="106">
        <f>prodnorm15</f>
        <v>0</v>
      </c>
      <c r="N109" s="41">
        <f>dagwerk15</f>
        <v>0</v>
      </c>
      <c r="O109" s="103" t="s">
        <v>105</v>
      </c>
      <c r="P109" s="26">
        <f>uurtarief15</f>
        <v>0</v>
      </c>
      <c r="Q109" s="105" t="e">
        <f>IF(ISBLANK(M109),0,L109/ROUND(M109,4))</f>
        <v>#DIV/0!</v>
      </c>
      <c r="R109" s="105" t="e">
        <f>IF(ISBLANK(M109),0,Q109*ROUND(N109,2))</f>
        <v>#DIV/0!</v>
      </c>
      <c r="S109" s="26" t="e">
        <f>ROUND(P109,2)*Q109</f>
        <v>#DIV/0!</v>
      </c>
      <c r="T109" s="105" t="e">
        <f>Q109*dagenperjaar1</f>
        <v>#DIV/0!</v>
      </c>
      <c r="U109" s="27" t="e">
        <f>T109*ROUND(P109,2)</f>
        <v>#DIV/0!</v>
      </c>
    </row>
    <row r="110" spans="1:21" x14ac:dyDescent="0.2">
      <c r="A110" s="102" t="s">
        <v>243</v>
      </c>
      <c r="B110" s="103" t="s">
        <v>43</v>
      </c>
      <c r="C110" s="103" t="s">
        <v>358</v>
      </c>
      <c r="D110" s="103" t="s">
        <v>367</v>
      </c>
      <c r="E110" s="104" t="s">
        <v>306</v>
      </c>
      <c r="F110" s="103" t="s">
        <v>247</v>
      </c>
      <c r="G110" s="103" t="s">
        <v>228</v>
      </c>
      <c r="H110" s="103" t="s">
        <v>15</v>
      </c>
      <c r="I110" s="103" t="s">
        <v>222</v>
      </c>
      <c r="J110" s="103"/>
      <c r="K110" s="105">
        <v>56.5</v>
      </c>
      <c r="L110" s="105">
        <f>K110*VLOOKUP(H110,dagsoorttabel1,2,FALSE)</f>
        <v>28.25</v>
      </c>
      <c r="M110" s="106">
        <f>prodnorm6</f>
        <v>0</v>
      </c>
      <c r="N110" s="41">
        <f>dagwerk6</f>
        <v>0</v>
      </c>
      <c r="O110" s="103" t="s">
        <v>105</v>
      </c>
      <c r="P110" s="26">
        <f>uurtarief6</f>
        <v>0</v>
      </c>
      <c r="Q110" s="105" t="e">
        <f>IF(ISBLANK(M110),0,L110/ROUND(M110,4))</f>
        <v>#DIV/0!</v>
      </c>
      <c r="R110" s="105" t="e">
        <f>IF(ISBLANK(M110),0,Q110*ROUND(N110,2))</f>
        <v>#DIV/0!</v>
      </c>
      <c r="S110" s="26" t="e">
        <f>ROUND(P110,2)*Q110</f>
        <v>#DIV/0!</v>
      </c>
      <c r="T110" s="105" t="e">
        <f>Q110*dagenperjaar1</f>
        <v>#DIV/0!</v>
      </c>
      <c r="U110" s="27" t="e">
        <f>T110*ROUND(P110,2)</f>
        <v>#DIV/0!</v>
      </c>
    </row>
    <row r="111" spans="1:21" x14ac:dyDescent="0.2">
      <c r="A111" s="102" t="s">
        <v>243</v>
      </c>
      <c r="B111" s="103" t="s">
        <v>43</v>
      </c>
      <c r="C111" s="103" t="s">
        <v>358</v>
      </c>
      <c r="D111" s="103" t="s">
        <v>367</v>
      </c>
      <c r="E111" s="104" t="s">
        <v>306</v>
      </c>
      <c r="F111" s="103" t="s">
        <v>247</v>
      </c>
      <c r="G111" s="103" t="s">
        <v>197</v>
      </c>
      <c r="H111" s="103" t="s">
        <v>15</v>
      </c>
      <c r="I111" s="103" t="s">
        <v>183</v>
      </c>
      <c r="J111" s="103"/>
      <c r="K111" s="105">
        <v>56.5</v>
      </c>
      <c r="L111" s="105">
        <f>K111*VLOOKUP(H111,dagsoorttabel1,2,FALSE)</f>
        <v>28.25</v>
      </c>
      <c r="M111" s="106">
        <f>prodnorm15</f>
        <v>0</v>
      </c>
      <c r="N111" s="41">
        <f>dagwerk15</f>
        <v>0</v>
      </c>
      <c r="O111" s="103" t="s">
        <v>105</v>
      </c>
      <c r="P111" s="26">
        <f>uurtarief15</f>
        <v>0</v>
      </c>
      <c r="Q111" s="105" t="e">
        <f>IF(ISBLANK(M111),0,L111/ROUND(M111,4))</f>
        <v>#DIV/0!</v>
      </c>
      <c r="R111" s="105" t="e">
        <f>IF(ISBLANK(M111),0,Q111*ROUND(N111,2))</f>
        <v>#DIV/0!</v>
      </c>
      <c r="S111" s="26" t="e">
        <f>ROUND(P111,2)*Q111</f>
        <v>#DIV/0!</v>
      </c>
      <c r="T111" s="105" t="e">
        <f>Q111*dagenperjaar1</f>
        <v>#DIV/0!</v>
      </c>
      <c r="U111" s="27" t="e">
        <f>T111*ROUND(P111,2)</f>
        <v>#DIV/0!</v>
      </c>
    </row>
    <row r="112" spans="1:21" x14ac:dyDescent="0.2">
      <c r="A112" s="102" t="s">
        <v>243</v>
      </c>
      <c r="B112" s="103" t="s">
        <v>43</v>
      </c>
      <c r="C112" s="103" t="s">
        <v>358</v>
      </c>
      <c r="D112" s="103" t="s">
        <v>368</v>
      </c>
      <c r="E112" s="104" t="s">
        <v>272</v>
      </c>
      <c r="F112" s="103" t="s">
        <v>270</v>
      </c>
      <c r="G112" s="103" t="s">
        <v>211</v>
      </c>
      <c r="H112" s="103" t="s">
        <v>12</v>
      </c>
      <c r="I112" s="103" t="s">
        <v>183</v>
      </c>
      <c r="J112" s="103"/>
      <c r="K112" s="105">
        <v>8.5</v>
      </c>
      <c r="L112" s="105">
        <f>K112*VLOOKUP(H112,dagsoorttabel1,2,FALSE)</f>
        <v>8.5</v>
      </c>
      <c r="M112" s="106">
        <f>prodnorm22</f>
        <v>0</v>
      </c>
      <c r="N112" s="41">
        <f>dagwerk22</f>
        <v>0</v>
      </c>
      <c r="O112" s="103" t="s">
        <v>105</v>
      </c>
      <c r="P112" s="26">
        <f>uurtarief22</f>
        <v>0</v>
      </c>
      <c r="Q112" s="105" t="e">
        <f>IF(ISBLANK(M112),0,L112/ROUND(M112,4))</f>
        <v>#DIV/0!</v>
      </c>
      <c r="R112" s="105" t="e">
        <f>IF(ISBLANK(M112),0,Q112*ROUND(N112,2))</f>
        <v>#DIV/0!</v>
      </c>
      <c r="S112" s="26" t="e">
        <f>ROUND(P112,2)*Q112</f>
        <v>#DIV/0!</v>
      </c>
      <c r="T112" s="105" t="e">
        <f>Q112*dagenperjaar1</f>
        <v>#DIV/0!</v>
      </c>
      <c r="U112" s="27" t="e">
        <f>T112*ROUND(P112,2)</f>
        <v>#DIV/0!</v>
      </c>
    </row>
    <row r="113" spans="1:21" x14ac:dyDescent="0.2">
      <c r="A113" s="102" t="s">
        <v>243</v>
      </c>
      <c r="B113" s="103" t="s">
        <v>43</v>
      </c>
      <c r="C113" s="103" t="s">
        <v>358</v>
      </c>
      <c r="D113" s="103" t="s">
        <v>368</v>
      </c>
      <c r="E113" s="104" t="s">
        <v>272</v>
      </c>
      <c r="F113" s="103" t="s">
        <v>270</v>
      </c>
      <c r="G113" s="103" t="s">
        <v>213</v>
      </c>
      <c r="H113" s="103" t="s">
        <v>12</v>
      </c>
      <c r="I113" s="103" t="s">
        <v>183</v>
      </c>
      <c r="J113" s="103"/>
      <c r="K113" s="105">
        <v>8.5</v>
      </c>
      <c r="L113" s="105">
        <f>K113*VLOOKUP(H113,dagsoorttabel1,2,FALSE)</f>
        <v>8.5</v>
      </c>
      <c r="M113" s="106">
        <f>prodnorm24</f>
        <v>0</v>
      </c>
      <c r="N113" s="41">
        <f>dagwerk24</f>
        <v>0</v>
      </c>
      <c r="O113" s="103" t="s">
        <v>105</v>
      </c>
      <c r="P113" s="26">
        <f>uurtarief24</f>
        <v>0</v>
      </c>
      <c r="Q113" s="105" t="e">
        <f>IF(ISBLANK(M113),0,L113/ROUND(M113,4))</f>
        <v>#DIV/0!</v>
      </c>
      <c r="R113" s="105" t="e">
        <f>IF(ISBLANK(M113),0,Q113*ROUND(N113,2))</f>
        <v>#DIV/0!</v>
      </c>
      <c r="S113" s="26" t="e">
        <f>ROUND(P113,2)*Q113</f>
        <v>#DIV/0!</v>
      </c>
      <c r="T113" s="105" t="e">
        <f>Q113*dagenperjaar1</f>
        <v>#DIV/0!</v>
      </c>
      <c r="U113" s="27" t="e">
        <f>T113*ROUND(P113,2)</f>
        <v>#DIV/0!</v>
      </c>
    </row>
    <row r="114" spans="1:21" x14ac:dyDescent="0.2">
      <c r="A114" s="102" t="s">
        <v>243</v>
      </c>
      <c r="B114" s="103" t="s">
        <v>43</v>
      </c>
      <c r="C114" s="103" t="s">
        <v>358</v>
      </c>
      <c r="D114" s="103" t="s">
        <v>369</v>
      </c>
      <c r="E114" s="104" t="s">
        <v>276</v>
      </c>
      <c r="F114" s="103" t="s">
        <v>270</v>
      </c>
      <c r="G114" s="103" t="s">
        <v>211</v>
      </c>
      <c r="H114" s="103" t="s">
        <v>12</v>
      </c>
      <c r="I114" s="103" t="s">
        <v>183</v>
      </c>
      <c r="J114" s="103"/>
      <c r="K114" s="105">
        <v>4</v>
      </c>
      <c r="L114" s="105">
        <f>K114*VLOOKUP(H114,dagsoorttabel1,2,FALSE)</f>
        <v>4</v>
      </c>
      <c r="M114" s="106">
        <f>prodnorm22</f>
        <v>0</v>
      </c>
      <c r="N114" s="41">
        <f>dagwerk22</f>
        <v>0</v>
      </c>
      <c r="O114" s="103" t="s">
        <v>105</v>
      </c>
      <c r="P114" s="26">
        <f>uurtarief22</f>
        <v>0</v>
      </c>
      <c r="Q114" s="105" t="e">
        <f>IF(ISBLANK(M114),0,L114/ROUND(M114,4))</f>
        <v>#DIV/0!</v>
      </c>
      <c r="R114" s="105" t="e">
        <f>IF(ISBLANK(M114),0,Q114*ROUND(N114,2))</f>
        <v>#DIV/0!</v>
      </c>
      <c r="S114" s="26" t="e">
        <f>ROUND(P114,2)*Q114</f>
        <v>#DIV/0!</v>
      </c>
      <c r="T114" s="105" t="e">
        <f>Q114*dagenperjaar1</f>
        <v>#DIV/0!</v>
      </c>
      <c r="U114" s="27" t="e">
        <f>T114*ROUND(P114,2)</f>
        <v>#DIV/0!</v>
      </c>
    </row>
    <row r="115" spans="1:21" x14ac:dyDescent="0.2">
      <c r="A115" s="102" t="s">
        <v>243</v>
      </c>
      <c r="B115" s="103" t="s">
        <v>43</v>
      </c>
      <c r="C115" s="103" t="s">
        <v>358</v>
      </c>
      <c r="D115" s="103" t="s">
        <v>369</v>
      </c>
      <c r="E115" s="104" t="s">
        <v>276</v>
      </c>
      <c r="F115" s="103" t="s">
        <v>270</v>
      </c>
      <c r="G115" s="103" t="s">
        <v>213</v>
      </c>
      <c r="H115" s="103" t="s">
        <v>12</v>
      </c>
      <c r="I115" s="103" t="s">
        <v>183</v>
      </c>
      <c r="J115" s="103"/>
      <c r="K115" s="105">
        <v>4</v>
      </c>
      <c r="L115" s="105">
        <f>K115*VLOOKUP(H115,dagsoorttabel1,2,FALSE)</f>
        <v>4</v>
      </c>
      <c r="M115" s="106">
        <f>prodnorm24</f>
        <v>0</v>
      </c>
      <c r="N115" s="41">
        <f>dagwerk24</f>
        <v>0</v>
      </c>
      <c r="O115" s="103" t="s">
        <v>105</v>
      </c>
      <c r="P115" s="26">
        <f>uurtarief24</f>
        <v>0</v>
      </c>
      <c r="Q115" s="105" t="e">
        <f>IF(ISBLANK(M115),0,L115/ROUND(M115,4))</f>
        <v>#DIV/0!</v>
      </c>
      <c r="R115" s="105" t="e">
        <f>IF(ISBLANK(M115),0,Q115*ROUND(N115,2))</f>
        <v>#DIV/0!</v>
      </c>
      <c r="S115" s="26" t="e">
        <f>ROUND(P115,2)*Q115</f>
        <v>#DIV/0!</v>
      </c>
      <c r="T115" s="105" t="e">
        <f>Q115*dagenperjaar1</f>
        <v>#DIV/0!</v>
      </c>
      <c r="U115" s="27" t="e">
        <f>T115*ROUND(P115,2)</f>
        <v>#DIV/0!</v>
      </c>
    </row>
    <row r="116" spans="1:21" x14ac:dyDescent="0.2">
      <c r="A116" s="102" t="s">
        <v>243</v>
      </c>
      <c r="B116" s="103" t="s">
        <v>43</v>
      </c>
      <c r="C116" s="103" t="s">
        <v>358</v>
      </c>
      <c r="D116" s="103" t="s">
        <v>370</v>
      </c>
      <c r="E116" s="104" t="s">
        <v>322</v>
      </c>
      <c r="F116" s="103" t="s">
        <v>247</v>
      </c>
      <c r="G116" s="103" t="s">
        <v>211</v>
      </c>
      <c r="H116" s="103" t="s">
        <v>12</v>
      </c>
      <c r="I116" s="103" t="s">
        <v>183</v>
      </c>
      <c r="J116" s="103"/>
      <c r="K116" s="105">
        <v>13.6</v>
      </c>
      <c r="L116" s="105">
        <f>K116*VLOOKUP(H116,dagsoorttabel1,2,FALSE)</f>
        <v>13.6</v>
      </c>
      <c r="M116" s="106">
        <f>prodnorm22</f>
        <v>0</v>
      </c>
      <c r="N116" s="41">
        <f>dagwerk22</f>
        <v>0</v>
      </c>
      <c r="O116" s="103" t="s">
        <v>105</v>
      </c>
      <c r="P116" s="26">
        <f>uurtarief22</f>
        <v>0</v>
      </c>
      <c r="Q116" s="105" t="e">
        <f>IF(ISBLANK(M116),0,L116/ROUND(M116,4))</f>
        <v>#DIV/0!</v>
      </c>
      <c r="R116" s="105" t="e">
        <f>IF(ISBLANK(M116),0,Q116*ROUND(N116,2))</f>
        <v>#DIV/0!</v>
      </c>
      <c r="S116" s="26" t="e">
        <f>ROUND(P116,2)*Q116</f>
        <v>#DIV/0!</v>
      </c>
      <c r="T116" s="105" t="e">
        <f>Q116*dagenperjaar1</f>
        <v>#DIV/0!</v>
      </c>
      <c r="U116" s="27" t="e">
        <f>T116*ROUND(P116,2)</f>
        <v>#DIV/0!</v>
      </c>
    </row>
    <row r="117" spans="1:21" x14ac:dyDescent="0.2">
      <c r="A117" s="102" t="s">
        <v>243</v>
      </c>
      <c r="B117" s="103" t="s">
        <v>43</v>
      </c>
      <c r="C117" s="103" t="s">
        <v>358</v>
      </c>
      <c r="D117" s="103" t="s">
        <v>371</v>
      </c>
      <c r="E117" s="104" t="s">
        <v>249</v>
      </c>
      <c r="F117" s="103" t="s">
        <v>247</v>
      </c>
      <c r="G117" s="103" t="s">
        <v>215</v>
      </c>
      <c r="H117" s="103" t="s">
        <v>12</v>
      </c>
      <c r="I117" s="103" t="s">
        <v>183</v>
      </c>
      <c r="J117" s="103"/>
      <c r="K117" s="105">
        <v>20.8</v>
      </c>
      <c r="L117" s="105">
        <f>K117*VLOOKUP(H117,dagsoorttabel1,2,FALSE)</f>
        <v>20.8</v>
      </c>
      <c r="M117" s="106">
        <f>prodnorm26</f>
        <v>0</v>
      </c>
      <c r="N117" s="41">
        <f>dagwerk26</f>
        <v>0</v>
      </c>
      <c r="O117" s="103" t="s">
        <v>105</v>
      </c>
      <c r="P117" s="26">
        <f>uurtarief26</f>
        <v>0</v>
      </c>
      <c r="Q117" s="105" t="e">
        <f>IF(ISBLANK(M117),0,L117/ROUND(M117,4))</f>
        <v>#DIV/0!</v>
      </c>
      <c r="R117" s="105" t="e">
        <f>IF(ISBLANK(M117),0,Q117*ROUND(N117,2))</f>
        <v>#DIV/0!</v>
      </c>
      <c r="S117" s="26" t="e">
        <f>ROUND(P117,2)*Q117</f>
        <v>#DIV/0!</v>
      </c>
      <c r="T117" s="105" t="e">
        <f>Q117*dagenperjaar1</f>
        <v>#DIV/0!</v>
      </c>
      <c r="U117" s="27" t="e">
        <f>T117*ROUND(P117,2)</f>
        <v>#DIV/0!</v>
      </c>
    </row>
    <row r="118" spans="1:21" x14ac:dyDescent="0.2">
      <c r="A118" s="102" t="s">
        <v>243</v>
      </c>
      <c r="B118" s="103" t="s">
        <v>43</v>
      </c>
      <c r="C118" s="103" t="s">
        <v>358</v>
      </c>
      <c r="D118" s="103" t="s">
        <v>372</v>
      </c>
      <c r="E118" s="104" t="s">
        <v>306</v>
      </c>
      <c r="F118" s="103" t="s">
        <v>247</v>
      </c>
      <c r="G118" s="103" t="s">
        <v>221</v>
      </c>
      <c r="H118" s="103" t="s">
        <v>25</v>
      </c>
      <c r="I118" s="103" t="s">
        <v>222</v>
      </c>
      <c r="J118" s="103"/>
      <c r="K118" s="105">
        <v>0</v>
      </c>
      <c r="L118" s="105">
        <f>K118*VLOOKUP(H118,dagsoorttabel1,2,FALSE)</f>
        <v>0</v>
      </c>
      <c r="M118" s="106"/>
      <c r="N118" s="107"/>
      <c r="O118" s="103" t="s">
        <v>224</v>
      </c>
      <c r="P118" s="26"/>
      <c r="Q118" s="105" t="s">
        <v>225</v>
      </c>
      <c r="R118" s="108"/>
      <c r="S118" s="26">
        <f>ROUND(P118,2)*L118</f>
        <v>0</v>
      </c>
      <c r="T118" s="105"/>
      <c r="U118" s="27">
        <f>S118*dagenperjaar1</f>
        <v>0</v>
      </c>
    </row>
    <row r="119" spans="1:21" x14ac:dyDescent="0.2">
      <c r="A119" s="102" t="s">
        <v>243</v>
      </c>
      <c r="B119" s="103" t="s">
        <v>43</v>
      </c>
      <c r="C119" s="103" t="s">
        <v>358</v>
      </c>
      <c r="D119" s="103" t="s">
        <v>372</v>
      </c>
      <c r="E119" s="104" t="s">
        <v>306</v>
      </c>
      <c r="F119" s="103" t="s">
        <v>247</v>
      </c>
      <c r="G119" s="103" t="s">
        <v>197</v>
      </c>
      <c r="H119" s="103" t="s">
        <v>15</v>
      </c>
      <c r="I119" s="103" t="s">
        <v>183</v>
      </c>
      <c r="J119" s="103"/>
      <c r="K119" s="105">
        <v>56.9</v>
      </c>
      <c r="L119" s="105">
        <f>K119*VLOOKUP(H119,dagsoorttabel1,2,FALSE)</f>
        <v>28.45</v>
      </c>
      <c r="M119" s="106">
        <f>prodnorm15</f>
        <v>0</v>
      </c>
      <c r="N119" s="41">
        <f>dagwerk15</f>
        <v>0</v>
      </c>
      <c r="O119" s="103" t="s">
        <v>105</v>
      </c>
      <c r="P119" s="26">
        <f>uurtarief15</f>
        <v>0</v>
      </c>
      <c r="Q119" s="105" t="e">
        <f>IF(ISBLANK(M119),0,L119/ROUND(M119,4))</f>
        <v>#DIV/0!</v>
      </c>
      <c r="R119" s="105" t="e">
        <f>IF(ISBLANK(M119),0,Q119*ROUND(N119,2))</f>
        <v>#DIV/0!</v>
      </c>
      <c r="S119" s="26" t="e">
        <f>ROUND(P119,2)*Q119</f>
        <v>#DIV/0!</v>
      </c>
      <c r="T119" s="105" t="e">
        <f>Q119*dagenperjaar1</f>
        <v>#DIV/0!</v>
      </c>
      <c r="U119" s="27" t="e">
        <f>T119*ROUND(P119,2)</f>
        <v>#DIV/0!</v>
      </c>
    </row>
    <row r="120" spans="1:21" x14ac:dyDescent="0.2">
      <c r="A120" s="102" t="s">
        <v>243</v>
      </c>
      <c r="B120" s="103" t="s">
        <v>43</v>
      </c>
      <c r="C120" s="103" t="s">
        <v>358</v>
      </c>
      <c r="D120" s="103" t="s">
        <v>373</v>
      </c>
      <c r="E120" s="104" t="s">
        <v>306</v>
      </c>
      <c r="F120" s="103" t="s">
        <v>247</v>
      </c>
      <c r="G120" s="103" t="s">
        <v>228</v>
      </c>
      <c r="H120" s="103" t="s">
        <v>15</v>
      </c>
      <c r="I120" s="103" t="s">
        <v>222</v>
      </c>
      <c r="J120" s="103"/>
      <c r="K120" s="105">
        <v>56.6</v>
      </c>
      <c r="L120" s="105">
        <f>K120*VLOOKUP(H120,dagsoorttabel1,2,FALSE)</f>
        <v>28.3</v>
      </c>
      <c r="M120" s="106">
        <f>prodnorm6</f>
        <v>0</v>
      </c>
      <c r="N120" s="41">
        <f>dagwerk6</f>
        <v>0</v>
      </c>
      <c r="O120" s="103" t="s">
        <v>105</v>
      </c>
      <c r="P120" s="26">
        <f>uurtarief6</f>
        <v>0</v>
      </c>
      <c r="Q120" s="105" t="e">
        <f>IF(ISBLANK(M120),0,L120/ROUND(M120,4))</f>
        <v>#DIV/0!</v>
      </c>
      <c r="R120" s="105" t="e">
        <f>IF(ISBLANK(M120),0,Q120*ROUND(N120,2))</f>
        <v>#DIV/0!</v>
      </c>
      <c r="S120" s="26" t="e">
        <f>ROUND(P120,2)*Q120</f>
        <v>#DIV/0!</v>
      </c>
      <c r="T120" s="105" t="e">
        <f>Q120*dagenperjaar1</f>
        <v>#DIV/0!</v>
      </c>
      <c r="U120" s="27" t="e">
        <f>T120*ROUND(P120,2)</f>
        <v>#DIV/0!</v>
      </c>
    </row>
    <row r="121" spans="1:21" x14ac:dyDescent="0.2">
      <c r="A121" s="102" t="s">
        <v>243</v>
      </c>
      <c r="B121" s="103" t="s">
        <v>43</v>
      </c>
      <c r="C121" s="103" t="s">
        <v>358</v>
      </c>
      <c r="D121" s="103" t="s">
        <v>373</v>
      </c>
      <c r="E121" s="104" t="s">
        <v>306</v>
      </c>
      <c r="F121" s="103" t="s">
        <v>247</v>
      </c>
      <c r="G121" s="103" t="s">
        <v>197</v>
      </c>
      <c r="H121" s="103" t="s">
        <v>15</v>
      </c>
      <c r="I121" s="103" t="s">
        <v>183</v>
      </c>
      <c r="J121" s="103"/>
      <c r="K121" s="105">
        <v>56.6</v>
      </c>
      <c r="L121" s="105">
        <f>K121*VLOOKUP(H121,dagsoorttabel1,2,FALSE)</f>
        <v>28.3</v>
      </c>
      <c r="M121" s="106">
        <f>prodnorm15</f>
        <v>0</v>
      </c>
      <c r="N121" s="41">
        <f>dagwerk15</f>
        <v>0</v>
      </c>
      <c r="O121" s="103" t="s">
        <v>105</v>
      </c>
      <c r="P121" s="26">
        <f>uurtarief15</f>
        <v>0</v>
      </c>
      <c r="Q121" s="105" t="e">
        <f>IF(ISBLANK(M121),0,L121/ROUND(M121,4))</f>
        <v>#DIV/0!</v>
      </c>
      <c r="R121" s="105" t="e">
        <f>IF(ISBLANK(M121),0,Q121*ROUND(N121,2))</f>
        <v>#DIV/0!</v>
      </c>
      <c r="S121" s="26" t="e">
        <f>ROUND(P121,2)*Q121</f>
        <v>#DIV/0!</v>
      </c>
      <c r="T121" s="105" t="e">
        <f>Q121*dagenperjaar1</f>
        <v>#DIV/0!</v>
      </c>
      <c r="U121" s="27" t="e">
        <f>T121*ROUND(P121,2)</f>
        <v>#DIV/0!</v>
      </c>
    </row>
    <row r="122" spans="1:21" x14ac:dyDescent="0.2">
      <c r="A122" s="102" t="s">
        <v>243</v>
      </c>
      <c r="B122" s="103" t="s">
        <v>43</v>
      </c>
      <c r="C122" s="103" t="s">
        <v>358</v>
      </c>
      <c r="D122" s="103" t="s">
        <v>374</v>
      </c>
      <c r="E122" s="104" t="s">
        <v>306</v>
      </c>
      <c r="F122" s="103" t="s">
        <v>247</v>
      </c>
      <c r="G122" s="103" t="s">
        <v>228</v>
      </c>
      <c r="H122" s="103" t="s">
        <v>15</v>
      </c>
      <c r="I122" s="103" t="s">
        <v>222</v>
      </c>
      <c r="J122" s="103"/>
      <c r="K122" s="105">
        <v>57.8</v>
      </c>
      <c r="L122" s="105">
        <f>K122*VLOOKUP(H122,dagsoorttabel1,2,FALSE)</f>
        <v>28.9</v>
      </c>
      <c r="M122" s="106">
        <f>prodnorm6</f>
        <v>0</v>
      </c>
      <c r="N122" s="41">
        <f>dagwerk6</f>
        <v>0</v>
      </c>
      <c r="O122" s="103" t="s">
        <v>105</v>
      </c>
      <c r="P122" s="26">
        <f>uurtarief6</f>
        <v>0</v>
      </c>
      <c r="Q122" s="105" t="e">
        <f>IF(ISBLANK(M122),0,L122/ROUND(M122,4))</f>
        <v>#DIV/0!</v>
      </c>
      <c r="R122" s="105" t="e">
        <f>IF(ISBLANK(M122),0,Q122*ROUND(N122,2))</f>
        <v>#DIV/0!</v>
      </c>
      <c r="S122" s="26" t="e">
        <f>ROUND(P122,2)*Q122</f>
        <v>#DIV/0!</v>
      </c>
      <c r="T122" s="105" t="e">
        <f>Q122*dagenperjaar1</f>
        <v>#DIV/0!</v>
      </c>
      <c r="U122" s="27" t="e">
        <f>T122*ROUND(P122,2)</f>
        <v>#DIV/0!</v>
      </c>
    </row>
    <row r="123" spans="1:21" x14ac:dyDescent="0.2">
      <c r="A123" s="102" t="s">
        <v>243</v>
      </c>
      <c r="B123" s="103" t="s">
        <v>43</v>
      </c>
      <c r="C123" s="103" t="s">
        <v>358</v>
      </c>
      <c r="D123" s="103" t="s">
        <v>374</v>
      </c>
      <c r="E123" s="104" t="s">
        <v>306</v>
      </c>
      <c r="F123" s="103" t="s">
        <v>247</v>
      </c>
      <c r="G123" s="103" t="s">
        <v>197</v>
      </c>
      <c r="H123" s="103" t="s">
        <v>15</v>
      </c>
      <c r="I123" s="103" t="s">
        <v>183</v>
      </c>
      <c r="J123" s="103"/>
      <c r="K123" s="105">
        <v>57.8</v>
      </c>
      <c r="L123" s="105">
        <f>K123*VLOOKUP(H123,dagsoorttabel1,2,FALSE)</f>
        <v>28.9</v>
      </c>
      <c r="M123" s="106">
        <f>prodnorm15</f>
        <v>0</v>
      </c>
      <c r="N123" s="41">
        <f>dagwerk15</f>
        <v>0</v>
      </c>
      <c r="O123" s="103" t="s">
        <v>105</v>
      </c>
      <c r="P123" s="26">
        <f>uurtarief15</f>
        <v>0</v>
      </c>
      <c r="Q123" s="105" t="e">
        <f>IF(ISBLANK(M123),0,L123/ROUND(M123,4))</f>
        <v>#DIV/0!</v>
      </c>
      <c r="R123" s="105" t="e">
        <f>IF(ISBLANK(M123),0,Q123*ROUND(N123,2))</f>
        <v>#DIV/0!</v>
      </c>
      <c r="S123" s="26" t="e">
        <f>ROUND(P123,2)*Q123</f>
        <v>#DIV/0!</v>
      </c>
      <c r="T123" s="105" t="e">
        <f>Q123*dagenperjaar1</f>
        <v>#DIV/0!</v>
      </c>
      <c r="U123" s="27" t="e">
        <f>T123*ROUND(P123,2)</f>
        <v>#DIV/0!</v>
      </c>
    </row>
    <row r="124" spans="1:21" x14ac:dyDescent="0.2">
      <c r="A124" s="102" t="s">
        <v>243</v>
      </c>
      <c r="B124" s="103" t="s">
        <v>43</v>
      </c>
      <c r="C124" s="103" t="s">
        <v>358</v>
      </c>
      <c r="D124" s="103" t="s">
        <v>375</v>
      </c>
      <c r="E124" s="104" t="s">
        <v>306</v>
      </c>
      <c r="F124" s="103" t="s">
        <v>247</v>
      </c>
      <c r="G124" s="103" t="s">
        <v>228</v>
      </c>
      <c r="H124" s="103" t="s">
        <v>15</v>
      </c>
      <c r="I124" s="103" t="s">
        <v>222</v>
      </c>
      <c r="J124" s="103"/>
      <c r="K124" s="105">
        <v>57.1</v>
      </c>
      <c r="L124" s="105">
        <f>K124*VLOOKUP(H124,dagsoorttabel1,2,FALSE)</f>
        <v>28.55</v>
      </c>
      <c r="M124" s="106">
        <f>prodnorm6</f>
        <v>0</v>
      </c>
      <c r="N124" s="41">
        <f>dagwerk6</f>
        <v>0</v>
      </c>
      <c r="O124" s="103" t="s">
        <v>105</v>
      </c>
      <c r="P124" s="26">
        <f>uurtarief6</f>
        <v>0</v>
      </c>
      <c r="Q124" s="105" t="e">
        <f>IF(ISBLANK(M124),0,L124/ROUND(M124,4))</f>
        <v>#DIV/0!</v>
      </c>
      <c r="R124" s="105" t="e">
        <f>IF(ISBLANK(M124),0,Q124*ROUND(N124,2))</f>
        <v>#DIV/0!</v>
      </c>
      <c r="S124" s="26" t="e">
        <f>ROUND(P124,2)*Q124</f>
        <v>#DIV/0!</v>
      </c>
      <c r="T124" s="105" t="e">
        <f>Q124*dagenperjaar1</f>
        <v>#DIV/0!</v>
      </c>
      <c r="U124" s="27" t="e">
        <f>T124*ROUND(P124,2)</f>
        <v>#DIV/0!</v>
      </c>
    </row>
    <row r="125" spans="1:21" x14ac:dyDescent="0.2">
      <c r="A125" s="102" t="s">
        <v>243</v>
      </c>
      <c r="B125" s="103" t="s">
        <v>43</v>
      </c>
      <c r="C125" s="103" t="s">
        <v>358</v>
      </c>
      <c r="D125" s="103" t="s">
        <v>375</v>
      </c>
      <c r="E125" s="104" t="s">
        <v>306</v>
      </c>
      <c r="F125" s="103" t="s">
        <v>247</v>
      </c>
      <c r="G125" s="103" t="s">
        <v>197</v>
      </c>
      <c r="H125" s="103" t="s">
        <v>15</v>
      </c>
      <c r="I125" s="103" t="s">
        <v>183</v>
      </c>
      <c r="J125" s="103"/>
      <c r="K125" s="105">
        <v>57.1</v>
      </c>
      <c r="L125" s="105">
        <f>K125*VLOOKUP(H125,dagsoorttabel1,2,FALSE)</f>
        <v>28.55</v>
      </c>
      <c r="M125" s="106">
        <f>prodnorm15</f>
        <v>0</v>
      </c>
      <c r="N125" s="41">
        <f>dagwerk15</f>
        <v>0</v>
      </c>
      <c r="O125" s="103" t="s">
        <v>105</v>
      </c>
      <c r="P125" s="26">
        <f>uurtarief15</f>
        <v>0</v>
      </c>
      <c r="Q125" s="105" t="e">
        <f>IF(ISBLANK(M125),0,L125/ROUND(M125,4))</f>
        <v>#DIV/0!</v>
      </c>
      <c r="R125" s="105" t="e">
        <f>IF(ISBLANK(M125),0,Q125*ROUND(N125,2))</f>
        <v>#DIV/0!</v>
      </c>
      <c r="S125" s="26" t="e">
        <f>ROUND(P125,2)*Q125</f>
        <v>#DIV/0!</v>
      </c>
      <c r="T125" s="105" t="e">
        <f>Q125*dagenperjaar1</f>
        <v>#DIV/0!</v>
      </c>
      <c r="U125" s="27" t="e">
        <f>T125*ROUND(P125,2)</f>
        <v>#DIV/0!</v>
      </c>
    </row>
    <row r="126" spans="1:21" x14ac:dyDescent="0.2">
      <c r="A126" s="102" t="s">
        <v>243</v>
      </c>
      <c r="B126" s="103" t="s">
        <v>43</v>
      </c>
      <c r="C126" s="103" t="s">
        <v>358</v>
      </c>
      <c r="D126" s="103" t="s">
        <v>376</v>
      </c>
      <c r="E126" s="104" t="s">
        <v>306</v>
      </c>
      <c r="F126" s="103" t="s">
        <v>247</v>
      </c>
      <c r="G126" s="103" t="s">
        <v>228</v>
      </c>
      <c r="H126" s="103" t="s">
        <v>15</v>
      </c>
      <c r="I126" s="103" t="s">
        <v>222</v>
      </c>
      <c r="J126" s="103"/>
      <c r="K126" s="105">
        <v>57.1</v>
      </c>
      <c r="L126" s="105">
        <f>K126*VLOOKUP(H126,dagsoorttabel1,2,FALSE)</f>
        <v>28.55</v>
      </c>
      <c r="M126" s="106">
        <f>prodnorm6</f>
        <v>0</v>
      </c>
      <c r="N126" s="41">
        <f>dagwerk6</f>
        <v>0</v>
      </c>
      <c r="O126" s="103" t="s">
        <v>105</v>
      </c>
      <c r="P126" s="26">
        <f>uurtarief6</f>
        <v>0</v>
      </c>
      <c r="Q126" s="105" t="e">
        <f>IF(ISBLANK(M126),0,L126/ROUND(M126,4))</f>
        <v>#DIV/0!</v>
      </c>
      <c r="R126" s="105" t="e">
        <f>IF(ISBLANK(M126),0,Q126*ROUND(N126,2))</f>
        <v>#DIV/0!</v>
      </c>
      <c r="S126" s="26" t="e">
        <f>ROUND(P126,2)*Q126</f>
        <v>#DIV/0!</v>
      </c>
      <c r="T126" s="105" t="e">
        <f>Q126*dagenperjaar1</f>
        <v>#DIV/0!</v>
      </c>
      <c r="U126" s="27" t="e">
        <f>T126*ROUND(P126,2)</f>
        <v>#DIV/0!</v>
      </c>
    </row>
    <row r="127" spans="1:21" x14ac:dyDescent="0.2">
      <c r="A127" s="102" t="s">
        <v>243</v>
      </c>
      <c r="B127" s="103" t="s">
        <v>43</v>
      </c>
      <c r="C127" s="103" t="s">
        <v>358</v>
      </c>
      <c r="D127" s="103" t="s">
        <v>376</v>
      </c>
      <c r="E127" s="104" t="s">
        <v>306</v>
      </c>
      <c r="F127" s="103" t="s">
        <v>247</v>
      </c>
      <c r="G127" s="103" t="s">
        <v>197</v>
      </c>
      <c r="H127" s="103" t="s">
        <v>15</v>
      </c>
      <c r="I127" s="103" t="s">
        <v>183</v>
      </c>
      <c r="J127" s="103"/>
      <c r="K127" s="105">
        <v>57.1</v>
      </c>
      <c r="L127" s="105">
        <f>K127*VLOOKUP(H127,dagsoorttabel1,2,FALSE)</f>
        <v>28.55</v>
      </c>
      <c r="M127" s="106">
        <f>prodnorm15</f>
        <v>0</v>
      </c>
      <c r="N127" s="41">
        <f>dagwerk15</f>
        <v>0</v>
      </c>
      <c r="O127" s="103" t="s">
        <v>105</v>
      </c>
      <c r="P127" s="26">
        <f>uurtarief15</f>
        <v>0</v>
      </c>
      <c r="Q127" s="105" t="e">
        <f>IF(ISBLANK(M127),0,L127/ROUND(M127,4))</f>
        <v>#DIV/0!</v>
      </c>
      <c r="R127" s="105" t="e">
        <f>IF(ISBLANK(M127),0,Q127*ROUND(N127,2))</f>
        <v>#DIV/0!</v>
      </c>
      <c r="S127" s="26" t="e">
        <f>ROUND(P127,2)*Q127</f>
        <v>#DIV/0!</v>
      </c>
      <c r="T127" s="105" t="e">
        <f>Q127*dagenperjaar1</f>
        <v>#DIV/0!</v>
      </c>
      <c r="U127" s="27" t="e">
        <f>T127*ROUND(P127,2)</f>
        <v>#DIV/0!</v>
      </c>
    </row>
    <row r="128" spans="1:21" x14ac:dyDescent="0.2">
      <c r="A128" s="102" t="s">
        <v>243</v>
      </c>
      <c r="B128" s="103" t="s">
        <v>43</v>
      </c>
      <c r="C128" s="103" t="s">
        <v>358</v>
      </c>
      <c r="D128" s="103" t="s">
        <v>377</v>
      </c>
      <c r="E128" s="104" t="s">
        <v>306</v>
      </c>
      <c r="F128" s="103" t="s">
        <v>247</v>
      </c>
      <c r="G128" s="103" t="s">
        <v>228</v>
      </c>
      <c r="H128" s="103" t="s">
        <v>15</v>
      </c>
      <c r="I128" s="103" t="s">
        <v>222</v>
      </c>
      <c r="J128" s="103"/>
      <c r="K128" s="105">
        <v>56.3</v>
      </c>
      <c r="L128" s="105">
        <f>K128*VLOOKUP(H128,dagsoorttabel1,2,FALSE)</f>
        <v>28.15</v>
      </c>
      <c r="M128" s="106">
        <f>prodnorm6</f>
        <v>0</v>
      </c>
      <c r="N128" s="41">
        <f>dagwerk6</f>
        <v>0</v>
      </c>
      <c r="O128" s="103" t="s">
        <v>105</v>
      </c>
      <c r="P128" s="26">
        <f>uurtarief6</f>
        <v>0</v>
      </c>
      <c r="Q128" s="105" t="e">
        <f>IF(ISBLANK(M128),0,L128/ROUND(M128,4))</f>
        <v>#DIV/0!</v>
      </c>
      <c r="R128" s="105" t="e">
        <f>IF(ISBLANK(M128),0,Q128*ROUND(N128,2))</f>
        <v>#DIV/0!</v>
      </c>
      <c r="S128" s="26" t="e">
        <f>ROUND(P128,2)*Q128</f>
        <v>#DIV/0!</v>
      </c>
      <c r="T128" s="105" t="e">
        <f>Q128*dagenperjaar1</f>
        <v>#DIV/0!</v>
      </c>
      <c r="U128" s="27" t="e">
        <f>T128*ROUND(P128,2)</f>
        <v>#DIV/0!</v>
      </c>
    </row>
    <row r="129" spans="1:21" x14ac:dyDescent="0.2">
      <c r="A129" s="102" t="s">
        <v>243</v>
      </c>
      <c r="B129" s="103" t="s">
        <v>43</v>
      </c>
      <c r="C129" s="103" t="s">
        <v>358</v>
      </c>
      <c r="D129" s="103" t="s">
        <v>377</v>
      </c>
      <c r="E129" s="104" t="s">
        <v>306</v>
      </c>
      <c r="F129" s="103" t="s">
        <v>247</v>
      </c>
      <c r="G129" s="103" t="s">
        <v>197</v>
      </c>
      <c r="H129" s="103" t="s">
        <v>15</v>
      </c>
      <c r="I129" s="103" t="s">
        <v>183</v>
      </c>
      <c r="J129" s="103"/>
      <c r="K129" s="105">
        <v>56.3</v>
      </c>
      <c r="L129" s="105">
        <f>K129*VLOOKUP(H129,dagsoorttabel1,2,FALSE)</f>
        <v>28.15</v>
      </c>
      <c r="M129" s="106">
        <f>prodnorm15</f>
        <v>0</v>
      </c>
      <c r="N129" s="41">
        <f>dagwerk15</f>
        <v>0</v>
      </c>
      <c r="O129" s="103" t="s">
        <v>105</v>
      </c>
      <c r="P129" s="26">
        <f>uurtarief15</f>
        <v>0</v>
      </c>
      <c r="Q129" s="105" t="e">
        <f>IF(ISBLANK(M129),0,L129/ROUND(M129,4))</f>
        <v>#DIV/0!</v>
      </c>
      <c r="R129" s="105" t="e">
        <f>IF(ISBLANK(M129),0,Q129*ROUND(N129,2))</f>
        <v>#DIV/0!</v>
      </c>
      <c r="S129" s="26" t="e">
        <f>ROUND(P129,2)*Q129</f>
        <v>#DIV/0!</v>
      </c>
      <c r="T129" s="105" t="e">
        <f>Q129*dagenperjaar1</f>
        <v>#DIV/0!</v>
      </c>
      <c r="U129" s="27" t="e">
        <f>T129*ROUND(P129,2)</f>
        <v>#DIV/0!</v>
      </c>
    </row>
    <row r="130" spans="1:21" x14ac:dyDescent="0.2">
      <c r="A130" s="102" t="s">
        <v>243</v>
      </c>
      <c r="B130" s="103" t="s">
        <v>43</v>
      </c>
      <c r="C130" s="103" t="s">
        <v>358</v>
      </c>
      <c r="D130" s="103" t="s">
        <v>378</v>
      </c>
      <c r="E130" s="104" t="s">
        <v>306</v>
      </c>
      <c r="F130" s="103" t="s">
        <v>247</v>
      </c>
      <c r="G130" s="103" t="s">
        <v>228</v>
      </c>
      <c r="H130" s="103" t="s">
        <v>15</v>
      </c>
      <c r="I130" s="103" t="s">
        <v>222</v>
      </c>
      <c r="J130" s="103"/>
      <c r="K130" s="105">
        <v>56.3</v>
      </c>
      <c r="L130" s="105">
        <f>K130*VLOOKUP(H130,dagsoorttabel1,2,FALSE)</f>
        <v>28.15</v>
      </c>
      <c r="M130" s="106">
        <f>prodnorm6</f>
        <v>0</v>
      </c>
      <c r="N130" s="41">
        <f>dagwerk6</f>
        <v>0</v>
      </c>
      <c r="O130" s="103" t="s">
        <v>105</v>
      </c>
      <c r="P130" s="26">
        <f>uurtarief6</f>
        <v>0</v>
      </c>
      <c r="Q130" s="105" t="e">
        <f>IF(ISBLANK(M130),0,L130/ROUND(M130,4))</f>
        <v>#DIV/0!</v>
      </c>
      <c r="R130" s="105" t="e">
        <f>IF(ISBLANK(M130),0,Q130*ROUND(N130,2))</f>
        <v>#DIV/0!</v>
      </c>
      <c r="S130" s="26" t="e">
        <f>ROUND(P130,2)*Q130</f>
        <v>#DIV/0!</v>
      </c>
      <c r="T130" s="105" t="e">
        <f>Q130*dagenperjaar1</f>
        <v>#DIV/0!</v>
      </c>
      <c r="U130" s="27" t="e">
        <f>T130*ROUND(P130,2)</f>
        <v>#DIV/0!</v>
      </c>
    </row>
    <row r="131" spans="1:21" x14ac:dyDescent="0.2">
      <c r="A131" s="102" t="s">
        <v>243</v>
      </c>
      <c r="B131" s="103" t="s">
        <v>43</v>
      </c>
      <c r="C131" s="103" t="s">
        <v>358</v>
      </c>
      <c r="D131" s="103" t="s">
        <v>378</v>
      </c>
      <c r="E131" s="104" t="s">
        <v>306</v>
      </c>
      <c r="F131" s="103" t="s">
        <v>247</v>
      </c>
      <c r="G131" s="103" t="s">
        <v>197</v>
      </c>
      <c r="H131" s="103" t="s">
        <v>15</v>
      </c>
      <c r="I131" s="103" t="s">
        <v>183</v>
      </c>
      <c r="J131" s="103"/>
      <c r="K131" s="105">
        <v>56.3</v>
      </c>
      <c r="L131" s="105">
        <f>K131*VLOOKUP(H131,dagsoorttabel1,2,FALSE)</f>
        <v>28.15</v>
      </c>
      <c r="M131" s="106">
        <f>prodnorm15</f>
        <v>0</v>
      </c>
      <c r="N131" s="41">
        <f>dagwerk15</f>
        <v>0</v>
      </c>
      <c r="O131" s="103" t="s">
        <v>105</v>
      </c>
      <c r="P131" s="26">
        <f>uurtarief15</f>
        <v>0</v>
      </c>
      <c r="Q131" s="105" t="e">
        <f>IF(ISBLANK(M131),0,L131/ROUND(M131,4))</f>
        <v>#DIV/0!</v>
      </c>
      <c r="R131" s="105" t="e">
        <f>IF(ISBLANK(M131),0,Q131*ROUND(N131,2))</f>
        <v>#DIV/0!</v>
      </c>
      <c r="S131" s="26" t="e">
        <f>ROUND(P131,2)*Q131</f>
        <v>#DIV/0!</v>
      </c>
      <c r="T131" s="105" t="e">
        <f>Q131*dagenperjaar1</f>
        <v>#DIV/0!</v>
      </c>
      <c r="U131" s="27" t="e">
        <f>T131*ROUND(P131,2)</f>
        <v>#DIV/0!</v>
      </c>
    </row>
    <row r="132" spans="1:21" x14ac:dyDescent="0.2">
      <c r="A132" s="102" t="s">
        <v>243</v>
      </c>
      <c r="B132" s="103" t="s">
        <v>43</v>
      </c>
      <c r="C132" s="103" t="s">
        <v>358</v>
      </c>
      <c r="D132" s="103" t="s">
        <v>379</v>
      </c>
      <c r="E132" s="104" t="s">
        <v>306</v>
      </c>
      <c r="F132" s="103" t="s">
        <v>247</v>
      </c>
      <c r="G132" s="103" t="s">
        <v>228</v>
      </c>
      <c r="H132" s="103" t="s">
        <v>15</v>
      </c>
      <c r="I132" s="103" t="s">
        <v>222</v>
      </c>
      <c r="J132" s="103"/>
      <c r="K132" s="105">
        <v>56.3</v>
      </c>
      <c r="L132" s="105">
        <f>K132*VLOOKUP(H132,dagsoorttabel1,2,FALSE)</f>
        <v>28.15</v>
      </c>
      <c r="M132" s="106">
        <f>prodnorm6</f>
        <v>0</v>
      </c>
      <c r="N132" s="41">
        <f>dagwerk6</f>
        <v>0</v>
      </c>
      <c r="O132" s="103" t="s">
        <v>105</v>
      </c>
      <c r="P132" s="26">
        <f>uurtarief6</f>
        <v>0</v>
      </c>
      <c r="Q132" s="105" t="e">
        <f>IF(ISBLANK(M132),0,L132/ROUND(M132,4))</f>
        <v>#DIV/0!</v>
      </c>
      <c r="R132" s="105" t="e">
        <f>IF(ISBLANK(M132),0,Q132*ROUND(N132,2))</f>
        <v>#DIV/0!</v>
      </c>
      <c r="S132" s="26" t="e">
        <f>ROUND(P132,2)*Q132</f>
        <v>#DIV/0!</v>
      </c>
      <c r="T132" s="105" t="e">
        <f>Q132*dagenperjaar1</f>
        <v>#DIV/0!</v>
      </c>
      <c r="U132" s="27" t="e">
        <f>T132*ROUND(P132,2)</f>
        <v>#DIV/0!</v>
      </c>
    </row>
    <row r="133" spans="1:21" x14ac:dyDescent="0.2">
      <c r="A133" s="102" t="s">
        <v>243</v>
      </c>
      <c r="B133" s="103" t="s">
        <v>43</v>
      </c>
      <c r="C133" s="103" t="s">
        <v>358</v>
      </c>
      <c r="D133" s="103" t="s">
        <v>379</v>
      </c>
      <c r="E133" s="104" t="s">
        <v>306</v>
      </c>
      <c r="F133" s="103" t="s">
        <v>247</v>
      </c>
      <c r="G133" s="103" t="s">
        <v>197</v>
      </c>
      <c r="H133" s="103" t="s">
        <v>15</v>
      </c>
      <c r="I133" s="103" t="s">
        <v>183</v>
      </c>
      <c r="J133" s="103"/>
      <c r="K133" s="105">
        <v>56.3</v>
      </c>
      <c r="L133" s="105">
        <f>K133*VLOOKUP(H133,dagsoorttabel1,2,FALSE)</f>
        <v>28.15</v>
      </c>
      <c r="M133" s="106">
        <f>prodnorm15</f>
        <v>0</v>
      </c>
      <c r="N133" s="41">
        <f>dagwerk15</f>
        <v>0</v>
      </c>
      <c r="O133" s="103" t="s">
        <v>105</v>
      </c>
      <c r="P133" s="26">
        <f>uurtarief15</f>
        <v>0</v>
      </c>
      <c r="Q133" s="105" t="e">
        <f>IF(ISBLANK(M133),0,L133/ROUND(M133,4))</f>
        <v>#DIV/0!</v>
      </c>
      <c r="R133" s="105" t="e">
        <f>IF(ISBLANK(M133),0,Q133*ROUND(N133,2))</f>
        <v>#DIV/0!</v>
      </c>
      <c r="S133" s="26" t="e">
        <f>ROUND(P133,2)*Q133</f>
        <v>#DIV/0!</v>
      </c>
      <c r="T133" s="105" t="e">
        <f>Q133*dagenperjaar1</f>
        <v>#DIV/0!</v>
      </c>
      <c r="U133" s="27" t="e">
        <f>T133*ROUND(P133,2)</f>
        <v>#DIV/0!</v>
      </c>
    </row>
    <row r="134" spans="1:21" x14ac:dyDescent="0.2">
      <c r="A134" s="102" t="s">
        <v>243</v>
      </c>
      <c r="B134" s="103" t="s">
        <v>43</v>
      </c>
      <c r="C134" s="103" t="s">
        <v>358</v>
      </c>
      <c r="D134" s="103" t="s">
        <v>380</v>
      </c>
      <c r="E134" s="104" t="s">
        <v>306</v>
      </c>
      <c r="F134" s="103" t="s">
        <v>247</v>
      </c>
      <c r="G134" s="103" t="s">
        <v>228</v>
      </c>
      <c r="H134" s="103" t="s">
        <v>15</v>
      </c>
      <c r="I134" s="103" t="s">
        <v>222</v>
      </c>
      <c r="J134" s="103"/>
      <c r="K134" s="105">
        <v>57.1</v>
      </c>
      <c r="L134" s="105">
        <f>K134*VLOOKUP(H134,dagsoorttabel1,2,FALSE)</f>
        <v>28.55</v>
      </c>
      <c r="M134" s="106">
        <f>prodnorm6</f>
        <v>0</v>
      </c>
      <c r="N134" s="41">
        <f>dagwerk6</f>
        <v>0</v>
      </c>
      <c r="O134" s="103" t="s">
        <v>105</v>
      </c>
      <c r="P134" s="26">
        <f>uurtarief6</f>
        <v>0</v>
      </c>
      <c r="Q134" s="105" t="e">
        <f>IF(ISBLANK(M134),0,L134/ROUND(M134,4))</f>
        <v>#DIV/0!</v>
      </c>
      <c r="R134" s="105" t="e">
        <f>IF(ISBLANK(M134),0,Q134*ROUND(N134,2))</f>
        <v>#DIV/0!</v>
      </c>
      <c r="S134" s="26" t="e">
        <f>ROUND(P134,2)*Q134</f>
        <v>#DIV/0!</v>
      </c>
      <c r="T134" s="105" t="e">
        <f>Q134*dagenperjaar1</f>
        <v>#DIV/0!</v>
      </c>
      <c r="U134" s="27" t="e">
        <f>T134*ROUND(P134,2)</f>
        <v>#DIV/0!</v>
      </c>
    </row>
    <row r="135" spans="1:21" x14ac:dyDescent="0.2">
      <c r="A135" s="102" t="s">
        <v>243</v>
      </c>
      <c r="B135" s="103" t="s">
        <v>43</v>
      </c>
      <c r="C135" s="103" t="s">
        <v>358</v>
      </c>
      <c r="D135" s="103" t="s">
        <v>380</v>
      </c>
      <c r="E135" s="104" t="s">
        <v>306</v>
      </c>
      <c r="F135" s="103" t="s">
        <v>247</v>
      </c>
      <c r="G135" s="103" t="s">
        <v>197</v>
      </c>
      <c r="H135" s="103" t="s">
        <v>15</v>
      </c>
      <c r="I135" s="103" t="s">
        <v>183</v>
      </c>
      <c r="J135" s="103"/>
      <c r="K135" s="105">
        <v>57.1</v>
      </c>
      <c r="L135" s="105">
        <f>K135*VLOOKUP(H135,dagsoorttabel1,2,FALSE)</f>
        <v>28.55</v>
      </c>
      <c r="M135" s="106">
        <f>prodnorm15</f>
        <v>0</v>
      </c>
      <c r="N135" s="41">
        <f>dagwerk15</f>
        <v>0</v>
      </c>
      <c r="O135" s="103" t="s">
        <v>105</v>
      </c>
      <c r="P135" s="26">
        <f>uurtarief15</f>
        <v>0</v>
      </c>
      <c r="Q135" s="105" t="e">
        <f>IF(ISBLANK(M135),0,L135/ROUND(M135,4))</f>
        <v>#DIV/0!</v>
      </c>
      <c r="R135" s="105" t="e">
        <f>IF(ISBLANK(M135),0,Q135*ROUND(N135,2))</f>
        <v>#DIV/0!</v>
      </c>
      <c r="S135" s="26" t="e">
        <f>ROUND(P135,2)*Q135</f>
        <v>#DIV/0!</v>
      </c>
      <c r="T135" s="105" t="e">
        <f>Q135*dagenperjaar1</f>
        <v>#DIV/0!</v>
      </c>
      <c r="U135" s="27" t="e">
        <f>T135*ROUND(P135,2)</f>
        <v>#DIV/0!</v>
      </c>
    </row>
    <row r="136" spans="1:21" x14ac:dyDescent="0.2">
      <c r="A136" s="102" t="s">
        <v>243</v>
      </c>
      <c r="B136" s="103" t="s">
        <v>43</v>
      </c>
      <c r="C136" s="103" t="s">
        <v>358</v>
      </c>
      <c r="D136" s="103" t="s">
        <v>381</v>
      </c>
      <c r="E136" s="104" t="s">
        <v>306</v>
      </c>
      <c r="F136" s="103" t="s">
        <v>247</v>
      </c>
      <c r="G136" s="103" t="s">
        <v>228</v>
      </c>
      <c r="H136" s="103" t="s">
        <v>15</v>
      </c>
      <c r="I136" s="103" t="s">
        <v>222</v>
      </c>
      <c r="J136" s="103"/>
      <c r="K136" s="105">
        <v>57.1</v>
      </c>
      <c r="L136" s="105">
        <f>K136*VLOOKUP(H136,dagsoorttabel1,2,FALSE)</f>
        <v>28.55</v>
      </c>
      <c r="M136" s="106">
        <f>prodnorm6</f>
        <v>0</v>
      </c>
      <c r="N136" s="41">
        <f>dagwerk6</f>
        <v>0</v>
      </c>
      <c r="O136" s="103" t="s">
        <v>105</v>
      </c>
      <c r="P136" s="26">
        <f>uurtarief6</f>
        <v>0</v>
      </c>
      <c r="Q136" s="105" t="e">
        <f>IF(ISBLANK(M136),0,L136/ROUND(M136,4))</f>
        <v>#DIV/0!</v>
      </c>
      <c r="R136" s="105" t="e">
        <f>IF(ISBLANK(M136),0,Q136*ROUND(N136,2))</f>
        <v>#DIV/0!</v>
      </c>
      <c r="S136" s="26" t="e">
        <f>ROUND(P136,2)*Q136</f>
        <v>#DIV/0!</v>
      </c>
      <c r="T136" s="105" t="e">
        <f>Q136*dagenperjaar1</f>
        <v>#DIV/0!</v>
      </c>
      <c r="U136" s="27" t="e">
        <f>T136*ROUND(P136,2)</f>
        <v>#DIV/0!</v>
      </c>
    </row>
    <row r="137" spans="1:21" x14ac:dyDescent="0.2">
      <c r="A137" s="102" t="s">
        <v>243</v>
      </c>
      <c r="B137" s="103" t="s">
        <v>43</v>
      </c>
      <c r="C137" s="103" t="s">
        <v>358</v>
      </c>
      <c r="D137" s="103" t="s">
        <v>381</v>
      </c>
      <c r="E137" s="104" t="s">
        <v>306</v>
      </c>
      <c r="F137" s="103" t="s">
        <v>247</v>
      </c>
      <c r="G137" s="103" t="s">
        <v>197</v>
      </c>
      <c r="H137" s="103" t="s">
        <v>15</v>
      </c>
      <c r="I137" s="103" t="s">
        <v>183</v>
      </c>
      <c r="J137" s="103"/>
      <c r="K137" s="105">
        <v>57.1</v>
      </c>
      <c r="L137" s="105">
        <f>K137*VLOOKUP(H137,dagsoorttabel1,2,FALSE)</f>
        <v>28.55</v>
      </c>
      <c r="M137" s="106">
        <f>prodnorm15</f>
        <v>0</v>
      </c>
      <c r="N137" s="41">
        <f>dagwerk15</f>
        <v>0</v>
      </c>
      <c r="O137" s="103" t="s">
        <v>105</v>
      </c>
      <c r="P137" s="26">
        <f>uurtarief15</f>
        <v>0</v>
      </c>
      <c r="Q137" s="105" t="e">
        <f>IF(ISBLANK(M137),0,L137/ROUND(M137,4))</f>
        <v>#DIV/0!</v>
      </c>
      <c r="R137" s="105" t="e">
        <f>IF(ISBLANK(M137),0,Q137*ROUND(N137,2))</f>
        <v>#DIV/0!</v>
      </c>
      <c r="S137" s="26" t="e">
        <f>ROUND(P137,2)*Q137</f>
        <v>#DIV/0!</v>
      </c>
      <c r="T137" s="105" t="e">
        <f>Q137*dagenperjaar1</f>
        <v>#DIV/0!</v>
      </c>
      <c r="U137" s="27" t="e">
        <f>T137*ROUND(P137,2)</f>
        <v>#DIV/0!</v>
      </c>
    </row>
    <row r="138" spans="1:21" x14ac:dyDescent="0.2">
      <c r="A138" s="102" t="s">
        <v>243</v>
      </c>
      <c r="B138" s="103" t="s">
        <v>43</v>
      </c>
      <c r="C138" s="103" t="s">
        <v>358</v>
      </c>
      <c r="D138" s="103" t="s">
        <v>382</v>
      </c>
      <c r="E138" s="104" t="s">
        <v>306</v>
      </c>
      <c r="F138" s="103" t="s">
        <v>247</v>
      </c>
      <c r="G138" s="103" t="s">
        <v>228</v>
      </c>
      <c r="H138" s="103" t="s">
        <v>15</v>
      </c>
      <c r="I138" s="103" t="s">
        <v>222</v>
      </c>
      <c r="J138" s="103"/>
      <c r="K138" s="105">
        <v>57.8</v>
      </c>
      <c r="L138" s="105">
        <f>K138*VLOOKUP(H138,dagsoorttabel1,2,FALSE)</f>
        <v>28.9</v>
      </c>
      <c r="M138" s="106">
        <f>prodnorm6</f>
        <v>0</v>
      </c>
      <c r="N138" s="41">
        <f>dagwerk6</f>
        <v>0</v>
      </c>
      <c r="O138" s="103" t="s">
        <v>105</v>
      </c>
      <c r="P138" s="26">
        <f>uurtarief6</f>
        <v>0</v>
      </c>
      <c r="Q138" s="105" t="e">
        <f>IF(ISBLANK(M138),0,L138/ROUND(M138,4))</f>
        <v>#DIV/0!</v>
      </c>
      <c r="R138" s="105" t="e">
        <f>IF(ISBLANK(M138),0,Q138*ROUND(N138,2))</f>
        <v>#DIV/0!</v>
      </c>
      <c r="S138" s="26" t="e">
        <f>ROUND(P138,2)*Q138</f>
        <v>#DIV/0!</v>
      </c>
      <c r="T138" s="105" t="e">
        <f>Q138*dagenperjaar1</f>
        <v>#DIV/0!</v>
      </c>
      <c r="U138" s="27" t="e">
        <f>T138*ROUND(P138,2)</f>
        <v>#DIV/0!</v>
      </c>
    </row>
    <row r="139" spans="1:21" x14ac:dyDescent="0.2">
      <c r="A139" s="102" t="s">
        <v>243</v>
      </c>
      <c r="B139" s="103" t="s">
        <v>43</v>
      </c>
      <c r="C139" s="103" t="s">
        <v>358</v>
      </c>
      <c r="D139" s="103" t="s">
        <v>382</v>
      </c>
      <c r="E139" s="104" t="s">
        <v>306</v>
      </c>
      <c r="F139" s="103" t="s">
        <v>247</v>
      </c>
      <c r="G139" s="103" t="s">
        <v>197</v>
      </c>
      <c r="H139" s="103" t="s">
        <v>15</v>
      </c>
      <c r="I139" s="103" t="s">
        <v>183</v>
      </c>
      <c r="J139" s="103"/>
      <c r="K139" s="105">
        <v>57.8</v>
      </c>
      <c r="L139" s="105">
        <f>K139*VLOOKUP(H139,dagsoorttabel1,2,FALSE)</f>
        <v>28.9</v>
      </c>
      <c r="M139" s="106">
        <f>prodnorm15</f>
        <v>0</v>
      </c>
      <c r="N139" s="41">
        <f>dagwerk15</f>
        <v>0</v>
      </c>
      <c r="O139" s="103" t="s">
        <v>105</v>
      </c>
      <c r="P139" s="26">
        <f>uurtarief15</f>
        <v>0</v>
      </c>
      <c r="Q139" s="105" t="e">
        <f>IF(ISBLANK(M139),0,L139/ROUND(M139,4))</f>
        <v>#DIV/0!</v>
      </c>
      <c r="R139" s="105" t="e">
        <f>IF(ISBLANK(M139),0,Q139*ROUND(N139,2))</f>
        <v>#DIV/0!</v>
      </c>
      <c r="S139" s="26" t="e">
        <f>ROUND(P139,2)*Q139</f>
        <v>#DIV/0!</v>
      </c>
      <c r="T139" s="105" t="e">
        <f>Q139*dagenperjaar1</f>
        <v>#DIV/0!</v>
      </c>
      <c r="U139" s="27" t="e">
        <f>T139*ROUND(P139,2)</f>
        <v>#DIV/0!</v>
      </c>
    </row>
    <row r="140" spans="1:21" x14ac:dyDescent="0.2">
      <c r="A140" s="102" t="s">
        <v>243</v>
      </c>
      <c r="B140" s="103" t="s">
        <v>43</v>
      </c>
      <c r="C140" s="103" t="s">
        <v>358</v>
      </c>
      <c r="D140" s="103" t="s">
        <v>383</v>
      </c>
      <c r="E140" s="104" t="s">
        <v>306</v>
      </c>
      <c r="F140" s="103" t="s">
        <v>247</v>
      </c>
      <c r="G140" s="103" t="s">
        <v>228</v>
      </c>
      <c r="H140" s="103" t="s">
        <v>15</v>
      </c>
      <c r="I140" s="103" t="s">
        <v>222</v>
      </c>
      <c r="J140" s="103"/>
      <c r="K140" s="105">
        <v>56.6</v>
      </c>
      <c r="L140" s="105">
        <f>K140*VLOOKUP(H140,dagsoorttabel1,2,FALSE)</f>
        <v>28.3</v>
      </c>
      <c r="M140" s="106">
        <f>prodnorm6</f>
        <v>0</v>
      </c>
      <c r="N140" s="41">
        <f>dagwerk6</f>
        <v>0</v>
      </c>
      <c r="O140" s="103" t="s">
        <v>105</v>
      </c>
      <c r="P140" s="26">
        <f>uurtarief6</f>
        <v>0</v>
      </c>
      <c r="Q140" s="105" t="e">
        <f>IF(ISBLANK(M140),0,L140/ROUND(M140,4))</f>
        <v>#DIV/0!</v>
      </c>
      <c r="R140" s="105" t="e">
        <f>IF(ISBLANK(M140),0,Q140*ROUND(N140,2))</f>
        <v>#DIV/0!</v>
      </c>
      <c r="S140" s="26" t="e">
        <f>ROUND(P140,2)*Q140</f>
        <v>#DIV/0!</v>
      </c>
      <c r="T140" s="105" t="e">
        <f>Q140*dagenperjaar1</f>
        <v>#DIV/0!</v>
      </c>
      <c r="U140" s="27" t="e">
        <f>T140*ROUND(P140,2)</f>
        <v>#DIV/0!</v>
      </c>
    </row>
    <row r="141" spans="1:21" x14ac:dyDescent="0.2">
      <c r="A141" s="102" t="s">
        <v>243</v>
      </c>
      <c r="B141" s="103" t="s">
        <v>43</v>
      </c>
      <c r="C141" s="103" t="s">
        <v>358</v>
      </c>
      <c r="D141" s="103" t="s">
        <v>383</v>
      </c>
      <c r="E141" s="104" t="s">
        <v>306</v>
      </c>
      <c r="F141" s="103" t="s">
        <v>247</v>
      </c>
      <c r="G141" s="103" t="s">
        <v>197</v>
      </c>
      <c r="H141" s="103" t="s">
        <v>15</v>
      </c>
      <c r="I141" s="103" t="s">
        <v>183</v>
      </c>
      <c r="J141" s="103"/>
      <c r="K141" s="105">
        <v>56.6</v>
      </c>
      <c r="L141" s="105">
        <f>K141*VLOOKUP(H141,dagsoorttabel1,2,FALSE)</f>
        <v>28.3</v>
      </c>
      <c r="M141" s="106">
        <f>prodnorm15</f>
        <v>0</v>
      </c>
      <c r="N141" s="41">
        <f>dagwerk15</f>
        <v>0</v>
      </c>
      <c r="O141" s="103" t="s">
        <v>105</v>
      </c>
      <c r="P141" s="26">
        <f>uurtarief15</f>
        <v>0</v>
      </c>
      <c r="Q141" s="105" t="e">
        <f>IF(ISBLANK(M141),0,L141/ROUND(M141,4))</f>
        <v>#DIV/0!</v>
      </c>
      <c r="R141" s="105" t="e">
        <f>IF(ISBLANK(M141),0,Q141*ROUND(N141,2))</f>
        <v>#DIV/0!</v>
      </c>
      <c r="S141" s="26" t="e">
        <f>ROUND(P141,2)*Q141</f>
        <v>#DIV/0!</v>
      </c>
      <c r="T141" s="105" t="e">
        <f>Q141*dagenperjaar1</f>
        <v>#DIV/0!</v>
      </c>
      <c r="U141" s="27" t="e">
        <f>T141*ROUND(P141,2)</f>
        <v>#DIV/0!</v>
      </c>
    </row>
    <row r="142" spans="1:21" x14ac:dyDescent="0.2">
      <c r="A142" s="102" t="s">
        <v>243</v>
      </c>
      <c r="B142" s="103" t="s">
        <v>43</v>
      </c>
      <c r="C142" s="103" t="s">
        <v>358</v>
      </c>
      <c r="D142" s="103" t="s">
        <v>384</v>
      </c>
      <c r="E142" s="104" t="s">
        <v>306</v>
      </c>
      <c r="F142" s="103" t="s">
        <v>247</v>
      </c>
      <c r="G142" s="103" t="s">
        <v>228</v>
      </c>
      <c r="H142" s="103" t="s">
        <v>15</v>
      </c>
      <c r="I142" s="103" t="s">
        <v>222</v>
      </c>
      <c r="J142" s="103"/>
      <c r="K142" s="105">
        <v>56.6</v>
      </c>
      <c r="L142" s="105">
        <f>K142*VLOOKUP(H142,dagsoorttabel1,2,FALSE)</f>
        <v>28.3</v>
      </c>
      <c r="M142" s="106">
        <f>prodnorm6</f>
        <v>0</v>
      </c>
      <c r="N142" s="41">
        <f>dagwerk6</f>
        <v>0</v>
      </c>
      <c r="O142" s="103" t="s">
        <v>105</v>
      </c>
      <c r="P142" s="26">
        <f>uurtarief6</f>
        <v>0</v>
      </c>
      <c r="Q142" s="105" t="e">
        <f>IF(ISBLANK(M142),0,L142/ROUND(M142,4))</f>
        <v>#DIV/0!</v>
      </c>
      <c r="R142" s="105" t="e">
        <f>IF(ISBLANK(M142),0,Q142*ROUND(N142,2))</f>
        <v>#DIV/0!</v>
      </c>
      <c r="S142" s="26" t="e">
        <f>ROUND(P142,2)*Q142</f>
        <v>#DIV/0!</v>
      </c>
      <c r="T142" s="105" t="e">
        <f>Q142*dagenperjaar1</f>
        <v>#DIV/0!</v>
      </c>
      <c r="U142" s="27" t="e">
        <f>T142*ROUND(P142,2)</f>
        <v>#DIV/0!</v>
      </c>
    </row>
    <row r="143" spans="1:21" x14ac:dyDescent="0.2">
      <c r="A143" s="102" t="s">
        <v>243</v>
      </c>
      <c r="B143" s="103" t="s">
        <v>43</v>
      </c>
      <c r="C143" s="103" t="s">
        <v>358</v>
      </c>
      <c r="D143" s="103" t="s">
        <v>384</v>
      </c>
      <c r="E143" s="104" t="s">
        <v>306</v>
      </c>
      <c r="F143" s="103" t="s">
        <v>247</v>
      </c>
      <c r="G143" s="103" t="s">
        <v>197</v>
      </c>
      <c r="H143" s="103" t="s">
        <v>15</v>
      </c>
      <c r="I143" s="103" t="s">
        <v>183</v>
      </c>
      <c r="J143" s="103"/>
      <c r="K143" s="105">
        <v>56.6</v>
      </c>
      <c r="L143" s="105">
        <f>K143*VLOOKUP(H143,dagsoorttabel1,2,FALSE)</f>
        <v>28.3</v>
      </c>
      <c r="M143" s="106">
        <f>prodnorm15</f>
        <v>0</v>
      </c>
      <c r="N143" s="41">
        <f>dagwerk15</f>
        <v>0</v>
      </c>
      <c r="O143" s="103" t="s">
        <v>105</v>
      </c>
      <c r="P143" s="26">
        <f>uurtarief15</f>
        <v>0</v>
      </c>
      <c r="Q143" s="105" t="e">
        <f>IF(ISBLANK(M143),0,L143/ROUND(M143,4))</f>
        <v>#DIV/0!</v>
      </c>
      <c r="R143" s="105" t="e">
        <f>IF(ISBLANK(M143),0,Q143*ROUND(N143,2))</f>
        <v>#DIV/0!</v>
      </c>
      <c r="S143" s="26" t="e">
        <f>ROUND(P143,2)*Q143</f>
        <v>#DIV/0!</v>
      </c>
      <c r="T143" s="105" t="e">
        <f>Q143*dagenperjaar1</f>
        <v>#DIV/0!</v>
      </c>
      <c r="U143" s="27" t="e">
        <f>T143*ROUND(P143,2)</f>
        <v>#DIV/0!</v>
      </c>
    </row>
    <row r="144" spans="1:21" x14ac:dyDescent="0.2">
      <c r="A144" s="102" t="s">
        <v>243</v>
      </c>
      <c r="B144" s="103" t="s">
        <v>43</v>
      </c>
      <c r="C144" s="103" t="s">
        <v>358</v>
      </c>
      <c r="D144" s="103" t="s">
        <v>385</v>
      </c>
      <c r="E144" s="104" t="s">
        <v>306</v>
      </c>
      <c r="F144" s="103" t="s">
        <v>247</v>
      </c>
      <c r="G144" s="103" t="s">
        <v>228</v>
      </c>
      <c r="H144" s="103" t="s">
        <v>15</v>
      </c>
      <c r="I144" s="103" t="s">
        <v>222</v>
      </c>
      <c r="J144" s="103"/>
      <c r="K144" s="105">
        <v>57.8</v>
      </c>
      <c r="L144" s="105">
        <f>K144*VLOOKUP(H144,dagsoorttabel1,2,FALSE)</f>
        <v>28.9</v>
      </c>
      <c r="M144" s="106">
        <f>prodnorm6</f>
        <v>0</v>
      </c>
      <c r="N144" s="41">
        <f>dagwerk6</f>
        <v>0</v>
      </c>
      <c r="O144" s="103" t="s">
        <v>105</v>
      </c>
      <c r="P144" s="26">
        <f>uurtarief6</f>
        <v>0</v>
      </c>
      <c r="Q144" s="105" t="e">
        <f>IF(ISBLANK(M144),0,L144/ROUND(M144,4))</f>
        <v>#DIV/0!</v>
      </c>
      <c r="R144" s="105" t="e">
        <f>IF(ISBLANK(M144),0,Q144*ROUND(N144,2))</f>
        <v>#DIV/0!</v>
      </c>
      <c r="S144" s="26" t="e">
        <f>ROUND(P144,2)*Q144</f>
        <v>#DIV/0!</v>
      </c>
      <c r="T144" s="105" t="e">
        <f>Q144*dagenperjaar1</f>
        <v>#DIV/0!</v>
      </c>
      <c r="U144" s="27" t="e">
        <f>T144*ROUND(P144,2)</f>
        <v>#DIV/0!</v>
      </c>
    </row>
    <row r="145" spans="1:21" x14ac:dyDescent="0.2">
      <c r="A145" s="102" t="s">
        <v>243</v>
      </c>
      <c r="B145" s="103" t="s">
        <v>43</v>
      </c>
      <c r="C145" s="103" t="s">
        <v>358</v>
      </c>
      <c r="D145" s="103" t="s">
        <v>385</v>
      </c>
      <c r="E145" s="104" t="s">
        <v>306</v>
      </c>
      <c r="F145" s="103" t="s">
        <v>247</v>
      </c>
      <c r="G145" s="103" t="s">
        <v>197</v>
      </c>
      <c r="H145" s="103" t="s">
        <v>15</v>
      </c>
      <c r="I145" s="103" t="s">
        <v>183</v>
      </c>
      <c r="J145" s="103"/>
      <c r="K145" s="105">
        <v>57.8</v>
      </c>
      <c r="L145" s="105">
        <f>K145*VLOOKUP(H145,dagsoorttabel1,2,FALSE)</f>
        <v>28.9</v>
      </c>
      <c r="M145" s="106">
        <f>prodnorm15</f>
        <v>0</v>
      </c>
      <c r="N145" s="41">
        <f>dagwerk15</f>
        <v>0</v>
      </c>
      <c r="O145" s="103" t="s">
        <v>105</v>
      </c>
      <c r="P145" s="26">
        <f>uurtarief15</f>
        <v>0</v>
      </c>
      <c r="Q145" s="105" t="e">
        <f>IF(ISBLANK(M145),0,L145/ROUND(M145,4))</f>
        <v>#DIV/0!</v>
      </c>
      <c r="R145" s="105" t="e">
        <f>IF(ISBLANK(M145),0,Q145*ROUND(N145,2))</f>
        <v>#DIV/0!</v>
      </c>
      <c r="S145" s="26" t="e">
        <f>ROUND(P145,2)*Q145</f>
        <v>#DIV/0!</v>
      </c>
      <c r="T145" s="105" t="e">
        <f>Q145*dagenperjaar1</f>
        <v>#DIV/0!</v>
      </c>
      <c r="U145" s="27" t="e">
        <f>T145*ROUND(P145,2)</f>
        <v>#DIV/0!</v>
      </c>
    </row>
    <row r="146" spans="1:21" x14ac:dyDescent="0.2">
      <c r="A146" s="102" t="s">
        <v>243</v>
      </c>
      <c r="B146" s="103" t="s">
        <v>43</v>
      </c>
      <c r="C146" s="103" t="s">
        <v>358</v>
      </c>
      <c r="D146" s="103" t="s">
        <v>386</v>
      </c>
      <c r="E146" s="104" t="s">
        <v>249</v>
      </c>
      <c r="F146" s="103" t="s">
        <v>247</v>
      </c>
      <c r="G146" s="103" t="s">
        <v>215</v>
      </c>
      <c r="H146" s="103" t="s">
        <v>12</v>
      </c>
      <c r="I146" s="103" t="s">
        <v>183</v>
      </c>
      <c r="J146" s="103"/>
      <c r="K146" s="105">
        <v>21.4</v>
      </c>
      <c r="L146" s="105">
        <f>K146*VLOOKUP(H146,dagsoorttabel1,2,FALSE)</f>
        <v>21.4</v>
      </c>
      <c r="M146" s="106">
        <f>prodnorm26</f>
        <v>0</v>
      </c>
      <c r="N146" s="41">
        <f>dagwerk26</f>
        <v>0</v>
      </c>
      <c r="O146" s="103" t="s">
        <v>105</v>
      </c>
      <c r="P146" s="26">
        <f>uurtarief26</f>
        <v>0</v>
      </c>
      <c r="Q146" s="105" t="e">
        <f>IF(ISBLANK(M146),0,L146/ROUND(M146,4))</f>
        <v>#DIV/0!</v>
      </c>
      <c r="R146" s="105" t="e">
        <f>IF(ISBLANK(M146),0,Q146*ROUND(N146,2))</f>
        <v>#DIV/0!</v>
      </c>
      <c r="S146" s="26" t="e">
        <f>ROUND(P146,2)*Q146</f>
        <v>#DIV/0!</v>
      </c>
      <c r="T146" s="105" t="e">
        <f>Q146*dagenperjaar1</f>
        <v>#DIV/0!</v>
      </c>
      <c r="U146" s="27" t="e">
        <f>T146*ROUND(P146,2)</f>
        <v>#DIV/0!</v>
      </c>
    </row>
    <row r="147" spans="1:21" x14ac:dyDescent="0.2">
      <c r="A147" s="102" t="s">
        <v>243</v>
      </c>
      <c r="B147" s="103" t="s">
        <v>43</v>
      </c>
      <c r="C147" s="103" t="s">
        <v>358</v>
      </c>
      <c r="D147" s="103" t="s">
        <v>387</v>
      </c>
      <c r="E147" s="104" t="s">
        <v>388</v>
      </c>
      <c r="F147" s="103" t="s">
        <v>247</v>
      </c>
      <c r="G147" s="103" t="s">
        <v>228</v>
      </c>
      <c r="H147" s="103" t="s">
        <v>15</v>
      </c>
      <c r="I147" s="103" t="s">
        <v>222</v>
      </c>
      <c r="J147" s="103"/>
      <c r="K147" s="105">
        <v>48.2</v>
      </c>
      <c r="L147" s="105">
        <f>K147*VLOOKUP(H147,dagsoorttabel1,2,FALSE)</f>
        <v>24.1</v>
      </c>
      <c r="M147" s="106">
        <f>prodnorm6</f>
        <v>0</v>
      </c>
      <c r="N147" s="41">
        <f>dagwerk6</f>
        <v>0</v>
      </c>
      <c r="O147" s="103" t="s">
        <v>105</v>
      </c>
      <c r="P147" s="26">
        <f>uurtarief6</f>
        <v>0</v>
      </c>
      <c r="Q147" s="105" t="e">
        <f>IF(ISBLANK(M147),0,L147/ROUND(M147,4))</f>
        <v>#DIV/0!</v>
      </c>
      <c r="R147" s="105" t="e">
        <f>IF(ISBLANK(M147),0,Q147*ROUND(N147,2))</f>
        <v>#DIV/0!</v>
      </c>
      <c r="S147" s="26" t="e">
        <f>ROUND(P147,2)*Q147</f>
        <v>#DIV/0!</v>
      </c>
      <c r="T147" s="105" t="e">
        <f>Q147*dagenperjaar1</f>
        <v>#DIV/0!</v>
      </c>
      <c r="U147" s="27" t="e">
        <f>T147*ROUND(P147,2)</f>
        <v>#DIV/0!</v>
      </c>
    </row>
    <row r="148" spans="1:21" x14ac:dyDescent="0.2">
      <c r="A148" s="102" t="s">
        <v>243</v>
      </c>
      <c r="B148" s="103" t="s">
        <v>43</v>
      </c>
      <c r="C148" s="103" t="s">
        <v>358</v>
      </c>
      <c r="D148" s="103" t="s">
        <v>387</v>
      </c>
      <c r="E148" s="104" t="s">
        <v>388</v>
      </c>
      <c r="F148" s="103" t="s">
        <v>247</v>
      </c>
      <c r="G148" s="103" t="s">
        <v>187</v>
      </c>
      <c r="H148" s="103" t="s">
        <v>15</v>
      </c>
      <c r="I148" s="103" t="s">
        <v>183</v>
      </c>
      <c r="J148" s="103"/>
      <c r="K148" s="105">
        <v>48.2</v>
      </c>
      <c r="L148" s="105">
        <f>K148*VLOOKUP(H148,dagsoorttabel1,2,FALSE)</f>
        <v>24.1</v>
      </c>
      <c r="M148" s="106">
        <f>prodnorm9</f>
        <v>0</v>
      </c>
      <c r="N148" s="41">
        <f>dagwerk9</f>
        <v>0</v>
      </c>
      <c r="O148" s="103" t="s">
        <v>105</v>
      </c>
      <c r="P148" s="26">
        <f>uurtarief9</f>
        <v>0</v>
      </c>
      <c r="Q148" s="105" t="e">
        <f>IF(ISBLANK(M148),0,L148/ROUND(M148,4))</f>
        <v>#DIV/0!</v>
      </c>
      <c r="R148" s="105" t="e">
        <f>IF(ISBLANK(M148),0,Q148*ROUND(N148,2))</f>
        <v>#DIV/0!</v>
      </c>
      <c r="S148" s="26" t="e">
        <f>ROUND(P148,2)*Q148</f>
        <v>#DIV/0!</v>
      </c>
      <c r="T148" s="105" t="e">
        <f>Q148*dagenperjaar1</f>
        <v>#DIV/0!</v>
      </c>
      <c r="U148" s="27" t="e">
        <f>T148*ROUND(P148,2)</f>
        <v>#DIV/0!</v>
      </c>
    </row>
    <row r="149" spans="1:21" x14ac:dyDescent="0.2">
      <c r="A149" s="102" t="s">
        <v>243</v>
      </c>
      <c r="B149" s="103" t="s">
        <v>43</v>
      </c>
      <c r="C149" s="103" t="s">
        <v>358</v>
      </c>
      <c r="D149" s="103" t="s">
        <v>389</v>
      </c>
      <c r="E149" s="104" t="s">
        <v>390</v>
      </c>
      <c r="F149" s="103" t="s">
        <v>247</v>
      </c>
      <c r="G149" s="103" t="s">
        <v>228</v>
      </c>
      <c r="H149" s="103" t="s">
        <v>15</v>
      </c>
      <c r="I149" s="103" t="s">
        <v>222</v>
      </c>
      <c r="J149" s="103"/>
      <c r="K149" s="105">
        <v>13.6</v>
      </c>
      <c r="L149" s="105">
        <f>K149*VLOOKUP(H149,dagsoorttabel1,2,FALSE)</f>
        <v>6.8</v>
      </c>
      <c r="M149" s="106">
        <f>prodnorm6</f>
        <v>0</v>
      </c>
      <c r="N149" s="41">
        <f>dagwerk6</f>
        <v>0</v>
      </c>
      <c r="O149" s="103" t="s">
        <v>105</v>
      </c>
      <c r="P149" s="26">
        <f>uurtarief6</f>
        <v>0</v>
      </c>
      <c r="Q149" s="105" t="e">
        <f>IF(ISBLANK(M149),0,L149/ROUND(M149,4))</f>
        <v>#DIV/0!</v>
      </c>
      <c r="R149" s="105" t="e">
        <f>IF(ISBLANK(M149),0,Q149*ROUND(N149,2))</f>
        <v>#DIV/0!</v>
      </c>
      <c r="S149" s="26" t="e">
        <f>ROUND(P149,2)*Q149</f>
        <v>#DIV/0!</v>
      </c>
      <c r="T149" s="105" t="e">
        <f>Q149*dagenperjaar1</f>
        <v>#DIV/0!</v>
      </c>
      <c r="U149" s="27" t="e">
        <f>T149*ROUND(P149,2)</f>
        <v>#DIV/0!</v>
      </c>
    </row>
    <row r="150" spans="1:21" x14ac:dyDescent="0.2">
      <c r="A150" s="102" t="s">
        <v>243</v>
      </c>
      <c r="B150" s="103" t="s">
        <v>43</v>
      </c>
      <c r="C150" s="103" t="s">
        <v>358</v>
      </c>
      <c r="D150" s="103" t="s">
        <v>389</v>
      </c>
      <c r="E150" s="104" t="s">
        <v>390</v>
      </c>
      <c r="F150" s="103" t="s">
        <v>247</v>
      </c>
      <c r="G150" s="103" t="s">
        <v>187</v>
      </c>
      <c r="H150" s="103" t="s">
        <v>15</v>
      </c>
      <c r="I150" s="103" t="s">
        <v>183</v>
      </c>
      <c r="J150" s="103"/>
      <c r="K150" s="105">
        <v>13.6</v>
      </c>
      <c r="L150" s="105">
        <f>K150*VLOOKUP(H150,dagsoorttabel1,2,FALSE)</f>
        <v>6.8</v>
      </c>
      <c r="M150" s="106">
        <f>prodnorm9</f>
        <v>0</v>
      </c>
      <c r="N150" s="41">
        <f>dagwerk9</f>
        <v>0</v>
      </c>
      <c r="O150" s="103" t="s">
        <v>105</v>
      </c>
      <c r="P150" s="26">
        <f>uurtarief9</f>
        <v>0</v>
      </c>
      <c r="Q150" s="105" t="e">
        <f>IF(ISBLANK(M150),0,L150/ROUND(M150,4))</f>
        <v>#DIV/0!</v>
      </c>
      <c r="R150" s="105" t="e">
        <f>IF(ISBLANK(M150),0,Q150*ROUND(N150,2))</f>
        <v>#DIV/0!</v>
      </c>
      <c r="S150" s="26" t="e">
        <f>ROUND(P150,2)*Q150</f>
        <v>#DIV/0!</v>
      </c>
      <c r="T150" s="105" t="e">
        <f>Q150*dagenperjaar1</f>
        <v>#DIV/0!</v>
      </c>
      <c r="U150" s="27" t="e">
        <f>T150*ROUND(P150,2)</f>
        <v>#DIV/0!</v>
      </c>
    </row>
    <row r="151" spans="1:21" x14ac:dyDescent="0.2">
      <c r="A151" s="102" t="s">
        <v>243</v>
      </c>
      <c r="B151" s="103" t="s">
        <v>43</v>
      </c>
      <c r="C151" s="103" t="s">
        <v>358</v>
      </c>
      <c r="D151" s="103" t="s">
        <v>391</v>
      </c>
      <c r="E151" s="104" t="s">
        <v>390</v>
      </c>
      <c r="F151" s="103" t="s">
        <v>247</v>
      </c>
      <c r="G151" s="103" t="s">
        <v>228</v>
      </c>
      <c r="H151" s="103" t="s">
        <v>15</v>
      </c>
      <c r="I151" s="103" t="s">
        <v>222</v>
      </c>
      <c r="J151" s="103"/>
      <c r="K151" s="105">
        <v>13.6</v>
      </c>
      <c r="L151" s="105">
        <f>K151*VLOOKUP(H151,dagsoorttabel1,2,FALSE)</f>
        <v>6.8</v>
      </c>
      <c r="M151" s="106">
        <f>prodnorm6</f>
        <v>0</v>
      </c>
      <c r="N151" s="41">
        <f>dagwerk6</f>
        <v>0</v>
      </c>
      <c r="O151" s="103" t="s">
        <v>105</v>
      </c>
      <c r="P151" s="26">
        <f>uurtarief6</f>
        <v>0</v>
      </c>
      <c r="Q151" s="105" t="e">
        <f>IF(ISBLANK(M151),0,L151/ROUND(M151,4))</f>
        <v>#DIV/0!</v>
      </c>
      <c r="R151" s="105" t="e">
        <f>IF(ISBLANK(M151),0,Q151*ROUND(N151,2))</f>
        <v>#DIV/0!</v>
      </c>
      <c r="S151" s="26" t="e">
        <f>ROUND(P151,2)*Q151</f>
        <v>#DIV/0!</v>
      </c>
      <c r="T151" s="105" t="e">
        <f>Q151*dagenperjaar1</f>
        <v>#DIV/0!</v>
      </c>
      <c r="U151" s="27" t="e">
        <f>T151*ROUND(P151,2)</f>
        <v>#DIV/0!</v>
      </c>
    </row>
    <row r="152" spans="1:21" x14ac:dyDescent="0.2">
      <c r="A152" s="102" t="s">
        <v>243</v>
      </c>
      <c r="B152" s="103" t="s">
        <v>43</v>
      </c>
      <c r="C152" s="103" t="s">
        <v>358</v>
      </c>
      <c r="D152" s="103" t="s">
        <v>391</v>
      </c>
      <c r="E152" s="104" t="s">
        <v>390</v>
      </c>
      <c r="F152" s="103" t="s">
        <v>247</v>
      </c>
      <c r="G152" s="103" t="s">
        <v>187</v>
      </c>
      <c r="H152" s="103" t="s">
        <v>15</v>
      </c>
      <c r="I152" s="103" t="s">
        <v>183</v>
      </c>
      <c r="J152" s="103"/>
      <c r="K152" s="105">
        <v>13.6</v>
      </c>
      <c r="L152" s="105">
        <f>K152*VLOOKUP(H152,dagsoorttabel1,2,FALSE)</f>
        <v>6.8</v>
      </c>
      <c r="M152" s="106">
        <f>prodnorm9</f>
        <v>0</v>
      </c>
      <c r="N152" s="41">
        <f>dagwerk9</f>
        <v>0</v>
      </c>
      <c r="O152" s="103" t="s">
        <v>105</v>
      </c>
      <c r="P152" s="26">
        <f>uurtarief9</f>
        <v>0</v>
      </c>
      <c r="Q152" s="105" t="e">
        <f>IF(ISBLANK(M152),0,L152/ROUND(M152,4))</f>
        <v>#DIV/0!</v>
      </c>
      <c r="R152" s="105" t="e">
        <f>IF(ISBLANK(M152),0,Q152*ROUND(N152,2))</f>
        <v>#DIV/0!</v>
      </c>
      <c r="S152" s="26" t="e">
        <f>ROUND(P152,2)*Q152</f>
        <v>#DIV/0!</v>
      </c>
      <c r="T152" s="105" t="e">
        <f>Q152*dagenperjaar1</f>
        <v>#DIV/0!</v>
      </c>
      <c r="U152" s="27" t="e">
        <f>T152*ROUND(P152,2)</f>
        <v>#DIV/0!</v>
      </c>
    </row>
    <row r="153" spans="1:21" x14ac:dyDescent="0.2">
      <c r="A153" s="102" t="s">
        <v>243</v>
      </c>
      <c r="B153" s="103" t="s">
        <v>43</v>
      </c>
      <c r="C153" s="103" t="s">
        <v>358</v>
      </c>
      <c r="D153" s="103" t="s">
        <v>392</v>
      </c>
      <c r="E153" s="104" t="s">
        <v>393</v>
      </c>
      <c r="F153" s="103" t="s">
        <v>247</v>
      </c>
      <c r="G153" s="103" t="s">
        <v>217</v>
      </c>
      <c r="H153" s="103" t="s">
        <v>12</v>
      </c>
      <c r="I153" s="103" t="s">
        <v>183</v>
      </c>
      <c r="J153" s="103"/>
      <c r="K153" s="105">
        <v>310.89999999999998</v>
      </c>
      <c r="L153" s="105">
        <f>K153*VLOOKUP(H153,dagsoorttabel1,2,FALSE)</f>
        <v>310.89999999999998</v>
      </c>
      <c r="M153" s="106">
        <f>prodnorm27</f>
        <v>0</v>
      </c>
      <c r="N153" s="41">
        <f>dagwerk27</f>
        <v>0</v>
      </c>
      <c r="O153" s="103" t="s">
        <v>105</v>
      </c>
      <c r="P153" s="26">
        <f>uurtarief27</f>
        <v>0</v>
      </c>
      <c r="Q153" s="105" t="e">
        <f>IF(ISBLANK(M153),0,L153/ROUND(M153,4))</f>
        <v>#DIV/0!</v>
      </c>
      <c r="R153" s="105" t="e">
        <f>IF(ISBLANK(M153),0,Q153*ROUND(N153,2))</f>
        <v>#DIV/0!</v>
      </c>
      <c r="S153" s="26" t="e">
        <f>ROUND(P153,2)*Q153</f>
        <v>#DIV/0!</v>
      </c>
      <c r="T153" s="105" t="e">
        <f>Q153*dagenperjaar1</f>
        <v>#DIV/0!</v>
      </c>
      <c r="U153" s="27" t="e">
        <f>T153*ROUND(P153,2)</f>
        <v>#DIV/0!</v>
      </c>
    </row>
    <row r="154" spans="1:21" x14ac:dyDescent="0.2">
      <c r="A154" s="102" t="s">
        <v>243</v>
      </c>
      <c r="B154" s="103" t="s">
        <v>43</v>
      </c>
      <c r="C154" s="103" t="s">
        <v>358</v>
      </c>
      <c r="D154" s="103" t="s">
        <v>394</v>
      </c>
      <c r="E154" s="104" t="s">
        <v>395</v>
      </c>
      <c r="F154" s="103" t="s">
        <v>247</v>
      </c>
      <c r="G154" s="103" t="s">
        <v>221</v>
      </c>
      <c r="H154" s="103" t="s">
        <v>25</v>
      </c>
      <c r="I154" s="103" t="s">
        <v>222</v>
      </c>
      <c r="J154" s="103"/>
      <c r="K154" s="105">
        <v>0</v>
      </c>
      <c r="L154" s="105">
        <f>K154*VLOOKUP(H154,dagsoorttabel1,2,FALSE)</f>
        <v>0</v>
      </c>
      <c r="M154" s="106"/>
      <c r="N154" s="107"/>
      <c r="O154" s="103" t="s">
        <v>224</v>
      </c>
      <c r="P154" s="26"/>
      <c r="Q154" s="105" t="s">
        <v>225</v>
      </c>
      <c r="R154" s="108"/>
      <c r="S154" s="26">
        <f>ROUND(P154,2)*L154</f>
        <v>0</v>
      </c>
      <c r="T154" s="105"/>
      <c r="U154" s="27">
        <f>S154*dagenperjaar1</f>
        <v>0</v>
      </c>
    </row>
    <row r="155" spans="1:21" x14ac:dyDescent="0.2">
      <c r="A155" s="102" t="s">
        <v>243</v>
      </c>
      <c r="B155" s="103" t="s">
        <v>43</v>
      </c>
      <c r="C155" s="103" t="s">
        <v>358</v>
      </c>
      <c r="D155" s="103" t="s">
        <v>394</v>
      </c>
      <c r="E155" s="104" t="s">
        <v>395</v>
      </c>
      <c r="F155" s="103" t="s">
        <v>247</v>
      </c>
      <c r="G155" s="103" t="s">
        <v>187</v>
      </c>
      <c r="H155" s="103" t="s">
        <v>15</v>
      </c>
      <c r="I155" s="103" t="s">
        <v>183</v>
      </c>
      <c r="J155" s="103"/>
      <c r="K155" s="105">
        <v>99.4</v>
      </c>
      <c r="L155" s="105">
        <f>K155*VLOOKUP(H155,dagsoorttabel1,2,FALSE)</f>
        <v>49.7</v>
      </c>
      <c r="M155" s="106">
        <f>prodnorm9</f>
        <v>0</v>
      </c>
      <c r="N155" s="41">
        <f>dagwerk9</f>
        <v>0</v>
      </c>
      <c r="O155" s="103" t="s">
        <v>105</v>
      </c>
      <c r="P155" s="26">
        <f>uurtarief9</f>
        <v>0</v>
      </c>
      <c r="Q155" s="105" t="e">
        <f>IF(ISBLANK(M155),0,L155/ROUND(M155,4))</f>
        <v>#DIV/0!</v>
      </c>
      <c r="R155" s="105" t="e">
        <f>IF(ISBLANK(M155),0,Q155*ROUND(N155,2))</f>
        <v>#DIV/0!</v>
      </c>
      <c r="S155" s="26" t="e">
        <f>ROUND(P155,2)*Q155</f>
        <v>#DIV/0!</v>
      </c>
      <c r="T155" s="105" t="e">
        <f>Q155*dagenperjaar1</f>
        <v>#DIV/0!</v>
      </c>
      <c r="U155" s="27" t="e">
        <f>T155*ROUND(P155,2)</f>
        <v>#DIV/0!</v>
      </c>
    </row>
    <row r="156" spans="1:21" x14ac:dyDescent="0.2">
      <c r="A156" s="102" t="s">
        <v>243</v>
      </c>
      <c r="B156" s="103" t="s">
        <v>43</v>
      </c>
      <c r="C156" s="103" t="s">
        <v>358</v>
      </c>
      <c r="D156" s="103" t="s">
        <v>396</v>
      </c>
      <c r="E156" s="104" t="s">
        <v>393</v>
      </c>
      <c r="F156" s="103" t="s">
        <v>247</v>
      </c>
      <c r="G156" s="103" t="s">
        <v>217</v>
      </c>
      <c r="H156" s="103" t="s">
        <v>12</v>
      </c>
      <c r="I156" s="103" t="s">
        <v>183</v>
      </c>
      <c r="J156" s="103"/>
      <c r="K156" s="105">
        <v>22.3</v>
      </c>
      <c r="L156" s="105">
        <f>K156*VLOOKUP(H156,dagsoorttabel1,2,FALSE)</f>
        <v>22.3</v>
      </c>
      <c r="M156" s="106">
        <f>prodnorm27</f>
        <v>0</v>
      </c>
      <c r="N156" s="41">
        <f>dagwerk27</f>
        <v>0</v>
      </c>
      <c r="O156" s="103" t="s">
        <v>105</v>
      </c>
      <c r="P156" s="26">
        <f>uurtarief27</f>
        <v>0</v>
      </c>
      <c r="Q156" s="105" t="e">
        <f>IF(ISBLANK(M156),0,L156/ROUND(M156,4))</f>
        <v>#DIV/0!</v>
      </c>
      <c r="R156" s="105" t="e">
        <f>IF(ISBLANK(M156),0,Q156*ROUND(N156,2))</f>
        <v>#DIV/0!</v>
      </c>
      <c r="S156" s="26" t="e">
        <f>ROUND(P156,2)*Q156</f>
        <v>#DIV/0!</v>
      </c>
      <c r="T156" s="105" t="e">
        <f>Q156*dagenperjaar1</f>
        <v>#DIV/0!</v>
      </c>
      <c r="U156" s="27" t="e">
        <f>T156*ROUND(P156,2)</f>
        <v>#DIV/0!</v>
      </c>
    </row>
    <row r="157" spans="1:21" x14ac:dyDescent="0.2">
      <c r="A157" s="102" t="s">
        <v>243</v>
      </c>
      <c r="B157" s="103" t="s">
        <v>43</v>
      </c>
      <c r="C157" s="103" t="s">
        <v>358</v>
      </c>
      <c r="D157" s="103" t="s">
        <v>397</v>
      </c>
      <c r="E157" s="104" t="s">
        <v>393</v>
      </c>
      <c r="F157" s="103" t="s">
        <v>247</v>
      </c>
      <c r="G157" s="103" t="s">
        <v>217</v>
      </c>
      <c r="H157" s="103" t="s">
        <v>12</v>
      </c>
      <c r="I157" s="103" t="s">
        <v>183</v>
      </c>
      <c r="J157" s="103"/>
      <c r="K157" s="105">
        <v>116.1</v>
      </c>
      <c r="L157" s="105">
        <f>K157*VLOOKUP(H157,dagsoorttabel1,2,FALSE)</f>
        <v>116.1</v>
      </c>
      <c r="M157" s="106">
        <f>prodnorm27</f>
        <v>0</v>
      </c>
      <c r="N157" s="41">
        <f>dagwerk27</f>
        <v>0</v>
      </c>
      <c r="O157" s="103" t="s">
        <v>105</v>
      </c>
      <c r="P157" s="26">
        <f>uurtarief27</f>
        <v>0</v>
      </c>
      <c r="Q157" s="105" t="e">
        <f>IF(ISBLANK(M157),0,L157/ROUND(M157,4))</f>
        <v>#DIV/0!</v>
      </c>
      <c r="R157" s="105" t="e">
        <f>IF(ISBLANK(M157),0,Q157*ROUND(N157,2))</f>
        <v>#DIV/0!</v>
      </c>
      <c r="S157" s="26" t="e">
        <f>ROUND(P157,2)*Q157</f>
        <v>#DIV/0!</v>
      </c>
      <c r="T157" s="105" t="e">
        <f>Q157*dagenperjaar1</f>
        <v>#DIV/0!</v>
      </c>
      <c r="U157" s="27" t="e">
        <f>T157*ROUND(P157,2)</f>
        <v>#DIV/0!</v>
      </c>
    </row>
    <row r="158" spans="1:21" x14ac:dyDescent="0.2">
      <c r="A158" s="102" t="s">
        <v>243</v>
      </c>
      <c r="B158" s="103" t="s">
        <v>43</v>
      </c>
      <c r="C158" s="103" t="s">
        <v>358</v>
      </c>
      <c r="D158" s="103" t="s">
        <v>398</v>
      </c>
      <c r="E158" s="104" t="s">
        <v>399</v>
      </c>
      <c r="F158" s="103" t="s">
        <v>247</v>
      </c>
      <c r="G158" s="103" t="s">
        <v>217</v>
      </c>
      <c r="H158" s="103" t="s">
        <v>12</v>
      </c>
      <c r="I158" s="103" t="s">
        <v>183</v>
      </c>
      <c r="J158" s="103"/>
      <c r="K158" s="105">
        <v>55.2</v>
      </c>
      <c r="L158" s="105">
        <f>K158*VLOOKUP(H158,dagsoorttabel1,2,FALSE)</f>
        <v>55.2</v>
      </c>
      <c r="M158" s="106">
        <f>prodnorm27</f>
        <v>0</v>
      </c>
      <c r="N158" s="41">
        <f>dagwerk27</f>
        <v>0</v>
      </c>
      <c r="O158" s="103" t="s">
        <v>105</v>
      </c>
      <c r="P158" s="26">
        <f>uurtarief27</f>
        <v>0</v>
      </c>
      <c r="Q158" s="105" t="e">
        <f>IF(ISBLANK(M158),0,L158/ROUND(M158,4))</f>
        <v>#DIV/0!</v>
      </c>
      <c r="R158" s="105" t="e">
        <f>IF(ISBLANK(M158),0,Q158*ROUND(N158,2))</f>
        <v>#DIV/0!</v>
      </c>
      <c r="S158" s="26" t="e">
        <f>ROUND(P158,2)*Q158</f>
        <v>#DIV/0!</v>
      </c>
      <c r="T158" s="105" t="e">
        <f>Q158*dagenperjaar1</f>
        <v>#DIV/0!</v>
      </c>
      <c r="U158" s="27" t="e">
        <f>T158*ROUND(P158,2)</f>
        <v>#DIV/0!</v>
      </c>
    </row>
    <row r="159" spans="1:21" x14ac:dyDescent="0.2">
      <c r="A159" s="102" t="s">
        <v>243</v>
      </c>
      <c r="B159" s="103" t="s">
        <v>43</v>
      </c>
      <c r="C159" s="103" t="s">
        <v>400</v>
      </c>
      <c r="D159" s="103" t="s">
        <v>401</v>
      </c>
      <c r="E159" s="104" t="s">
        <v>402</v>
      </c>
      <c r="F159" s="103" t="s">
        <v>247</v>
      </c>
      <c r="G159" s="103" t="s">
        <v>209</v>
      </c>
      <c r="H159" s="103" t="s">
        <v>15</v>
      </c>
      <c r="I159" s="103" t="s">
        <v>183</v>
      </c>
      <c r="J159" s="103"/>
      <c r="K159" s="105">
        <v>86</v>
      </c>
      <c r="L159" s="105">
        <f>K159*VLOOKUP(H159,dagsoorttabel1,2,FALSE)</f>
        <v>43</v>
      </c>
      <c r="M159" s="106">
        <f>prodnorm21</f>
        <v>0</v>
      </c>
      <c r="N159" s="41">
        <f>dagwerk21</f>
        <v>0</v>
      </c>
      <c r="O159" s="103" t="s">
        <v>105</v>
      </c>
      <c r="P159" s="26">
        <f>uurtarief21</f>
        <v>0</v>
      </c>
      <c r="Q159" s="105" t="e">
        <f>IF(ISBLANK(M159),0,L159/ROUND(M159,4))</f>
        <v>#DIV/0!</v>
      </c>
      <c r="R159" s="105" t="e">
        <f>IF(ISBLANK(M159),0,Q159*ROUND(N159,2))</f>
        <v>#DIV/0!</v>
      </c>
      <c r="S159" s="26" t="e">
        <f>ROUND(P159,2)*Q159</f>
        <v>#DIV/0!</v>
      </c>
      <c r="T159" s="105" t="e">
        <f>Q159*dagenperjaar1</f>
        <v>#DIV/0!</v>
      </c>
      <c r="U159" s="27" t="e">
        <f>T159*ROUND(P159,2)</f>
        <v>#DIV/0!</v>
      </c>
    </row>
    <row r="160" spans="1:21" x14ac:dyDescent="0.2">
      <c r="A160" s="102" t="s">
        <v>243</v>
      </c>
      <c r="B160" s="103" t="s">
        <v>43</v>
      </c>
      <c r="C160" s="103" t="s">
        <v>400</v>
      </c>
      <c r="D160" s="103" t="s">
        <v>403</v>
      </c>
      <c r="E160" s="104" t="s">
        <v>404</v>
      </c>
      <c r="F160" s="103" t="s">
        <v>247</v>
      </c>
      <c r="G160" s="103" t="s">
        <v>228</v>
      </c>
      <c r="H160" s="103" t="s">
        <v>15</v>
      </c>
      <c r="I160" s="103" t="s">
        <v>222</v>
      </c>
      <c r="J160" s="103"/>
      <c r="K160" s="105">
        <v>58</v>
      </c>
      <c r="L160" s="105">
        <f>K160*VLOOKUP(H160,dagsoorttabel1,2,FALSE)</f>
        <v>29</v>
      </c>
      <c r="M160" s="106">
        <f>prodnorm6</f>
        <v>0</v>
      </c>
      <c r="N160" s="41">
        <f>dagwerk6</f>
        <v>0</v>
      </c>
      <c r="O160" s="103" t="s">
        <v>105</v>
      </c>
      <c r="P160" s="26">
        <f>uurtarief6</f>
        <v>0</v>
      </c>
      <c r="Q160" s="105" t="e">
        <f>IF(ISBLANK(M160),0,L160/ROUND(M160,4))</f>
        <v>#DIV/0!</v>
      </c>
      <c r="R160" s="105" t="e">
        <f>IF(ISBLANK(M160),0,Q160*ROUND(N160,2))</f>
        <v>#DIV/0!</v>
      </c>
      <c r="S160" s="26" t="e">
        <f>ROUND(P160,2)*Q160</f>
        <v>#DIV/0!</v>
      </c>
      <c r="T160" s="105" t="e">
        <f>Q160*dagenperjaar1</f>
        <v>#DIV/0!</v>
      </c>
      <c r="U160" s="27" t="e">
        <f>T160*ROUND(P160,2)</f>
        <v>#DIV/0!</v>
      </c>
    </row>
    <row r="161" spans="1:21" x14ac:dyDescent="0.2">
      <c r="A161" s="102" t="s">
        <v>243</v>
      </c>
      <c r="B161" s="103" t="s">
        <v>43</v>
      </c>
      <c r="C161" s="103" t="s">
        <v>400</v>
      </c>
      <c r="D161" s="103" t="s">
        <v>403</v>
      </c>
      <c r="E161" s="104" t="s">
        <v>404</v>
      </c>
      <c r="F161" s="103" t="s">
        <v>247</v>
      </c>
      <c r="G161" s="103" t="s">
        <v>228</v>
      </c>
      <c r="H161" s="103" t="s">
        <v>15</v>
      </c>
      <c r="I161" s="103" t="s">
        <v>222</v>
      </c>
      <c r="J161" s="103"/>
      <c r="K161" s="105">
        <v>58</v>
      </c>
      <c r="L161" s="105">
        <f>K161*VLOOKUP(H161,dagsoorttabel1,2,FALSE)</f>
        <v>29</v>
      </c>
      <c r="M161" s="106">
        <f>prodnorm6</f>
        <v>0</v>
      </c>
      <c r="N161" s="41">
        <f>dagwerk6</f>
        <v>0</v>
      </c>
      <c r="O161" s="103" t="s">
        <v>105</v>
      </c>
      <c r="P161" s="26">
        <f>uurtarief6</f>
        <v>0</v>
      </c>
      <c r="Q161" s="105" t="e">
        <f>IF(ISBLANK(M161),0,L161/ROUND(M161,4))</f>
        <v>#DIV/0!</v>
      </c>
      <c r="R161" s="105" t="e">
        <f>IF(ISBLANK(M161),0,Q161*ROUND(N161,2))</f>
        <v>#DIV/0!</v>
      </c>
      <c r="S161" s="26" t="e">
        <f>ROUND(P161,2)*Q161</f>
        <v>#DIV/0!</v>
      </c>
      <c r="T161" s="105" t="e">
        <f>Q161*dagenperjaar1</f>
        <v>#DIV/0!</v>
      </c>
      <c r="U161" s="27" t="e">
        <f>T161*ROUND(P161,2)</f>
        <v>#DIV/0!</v>
      </c>
    </row>
    <row r="162" spans="1:21" x14ac:dyDescent="0.2">
      <c r="A162" s="102" t="s">
        <v>243</v>
      </c>
      <c r="B162" s="103" t="s">
        <v>43</v>
      </c>
      <c r="C162" s="103" t="s">
        <v>400</v>
      </c>
      <c r="D162" s="103" t="s">
        <v>405</v>
      </c>
      <c r="E162" s="104" t="s">
        <v>249</v>
      </c>
      <c r="F162" s="103" t="s">
        <v>247</v>
      </c>
      <c r="G162" s="103" t="s">
        <v>215</v>
      </c>
      <c r="H162" s="103" t="s">
        <v>12</v>
      </c>
      <c r="I162" s="103" t="s">
        <v>183</v>
      </c>
      <c r="J162" s="103"/>
      <c r="K162" s="105">
        <v>10.3</v>
      </c>
      <c r="L162" s="105">
        <f>K162*VLOOKUP(H162,dagsoorttabel1,2,FALSE)</f>
        <v>10.3</v>
      </c>
      <c r="M162" s="106">
        <f>prodnorm26</f>
        <v>0</v>
      </c>
      <c r="N162" s="41">
        <f>dagwerk26</f>
        <v>0</v>
      </c>
      <c r="O162" s="103" t="s">
        <v>105</v>
      </c>
      <c r="P162" s="26">
        <f>uurtarief26</f>
        <v>0</v>
      </c>
      <c r="Q162" s="105" t="e">
        <f>IF(ISBLANK(M162),0,L162/ROUND(M162,4))</f>
        <v>#DIV/0!</v>
      </c>
      <c r="R162" s="105" t="e">
        <f>IF(ISBLANK(M162),0,Q162*ROUND(N162,2))</f>
        <v>#DIV/0!</v>
      </c>
      <c r="S162" s="26" t="e">
        <f>ROUND(P162,2)*Q162</f>
        <v>#DIV/0!</v>
      </c>
      <c r="T162" s="105" t="e">
        <f>Q162*dagenperjaar1</f>
        <v>#DIV/0!</v>
      </c>
      <c r="U162" s="27" t="e">
        <f>T162*ROUND(P162,2)</f>
        <v>#DIV/0!</v>
      </c>
    </row>
    <row r="163" spans="1:21" x14ac:dyDescent="0.2">
      <c r="A163" s="102" t="s">
        <v>243</v>
      </c>
      <c r="B163" s="103" t="s">
        <v>43</v>
      </c>
      <c r="C163" s="103" t="s">
        <v>400</v>
      </c>
      <c r="D163" s="103" t="s">
        <v>406</v>
      </c>
      <c r="E163" s="104" t="s">
        <v>249</v>
      </c>
      <c r="F163" s="103" t="s">
        <v>247</v>
      </c>
      <c r="G163" s="103" t="s">
        <v>215</v>
      </c>
      <c r="H163" s="103" t="s">
        <v>12</v>
      </c>
      <c r="I163" s="103" t="s">
        <v>183</v>
      </c>
      <c r="J163" s="103"/>
      <c r="K163" s="105">
        <v>6.3</v>
      </c>
      <c r="L163" s="105">
        <f>K163*VLOOKUP(H163,dagsoorttabel1,2,FALSE)</f>
        <v>6.3</v>
      </c>
      <c r="M163" s="106">
        <f>prodnorm26</f>
        <v>0</v>
      </c>
      <c r="N163" s="41">
        <f>dagwerk26</f>
        <v>0</v>
      </c>
      <c r="O163" s="103" t="s">
        <v>105</v>
      </c>
      <c r="P163" s="26">
        <f>uurtarief26</f>
        <v>0</v>
      </c>
      <c r="Q163" s="105" t="e">
        <f>IF(ISBLANK(M163),0,L163/ROUND(M163,4))</f>
        <v>#DIV/0!</v>
      </c>
      <c r="R163" s="105" t="e">
        <f>IF(ISBLANK(M163),0,Q163*ROUND(N163,2))</f>
        <v>#DIV/0!</v>
      </c>
      <c r="S163" s="26" t="e">
        <f>ROUND(P163,2)*Q163</f>
        <v>#DIV/0!</v>
      </c>
      <c r="T163" s="105" t="e">
        <f>Q163*dagenperjaar1</f>
        <v>#DIV/0!</v>
      </c>
      <c r="U163" s="27" t="e">
        <f>T163*ROUND(P163,2)</f>
        <v>#DIV/0!</v>
      </c>
    </row>
    <row r="164" spans="1:21" x14ac:dyDescent="0.2">
      <c r="A164" s="102" t="s">
        <v>243</v>
      </c>
      <c r="B164" s="103" t="s">
        <v>43</v>
      </c>
      <c r="C164" s="103" t="s">
        <v>400</v>
      </c>
      <c r="D164" s="103" t="s">
        <v>407</v>
      </c>
      <c r="E164" s="104" t="s">
        <v>363</v>
      </c>
      <c r="F164" s="103" t="s">
        <v>247</v>
      </c>
      <c r="G164" s="103" t="s">
        <v>228</v>
      </c>
      <c r="H164" s="103" t="s">
        <v>15</v>
      </c>
      <c r="I164" s="103" t="s">
        <v>222</v>
      </c>
      <c r="J164" s="103"/>
      <c r="K164" s="105">
        <v>31.4</v>
      </c>
      <c r="L164" s="105">
        <f>K164*VLOOKUP(H164,dagsoorttabel1,2,FALSE)</f>
        <v>15.7</v>
      </c>
      <c r="M164" s="106">
        <f>prodnorm6</f>
        <v>0</v>
      </c>
      <c r="N164" s="41">
        <f>dagwerk6</f>
        <v>0</v>
      </c>
      <c r="O164" s="103" t="s">
        <v>105</v>
      </c>
      <c r="P164" s="26">
        <f>uurtarief6</f>
        <v>0</v>
      </c>
      <c r="Q164" s="105" t="e">
        <f>IF(ISBLANK(M164),0,L164/ROUND(M164,4))</f>
        <v>#DIV/0!</v>
      </c>
      <c r="R164" s="105" t="e">
        <f>IF(ISBLANK(M164),0,Q164*ROUND(N164,2))</f>
        <v>#DIV/0!</v>
      </c>
      <c r="S164" s="26" t="e">
        <f>ROUND(P164,2)*Q164</f>
        <v>#DIV/0!</v>
      </c>
      <c r="T164" s="105" t="e">
        <f>Q164*dagenperjaar1</f>
        <v>#DIV/0!</v>
      </c>
      <c r="U164" s="27" t="e">
        <f>T164*ROUND(P164,2)</f>
        <v>#DIV/0!</v>
      </c>
    </row>
    <row r="165" spans="1:21" x14ac:dyDescent="0.2">
      <c r="A165" s="102" t="s">
        <v>243</v>
      </c>
      <c r="B165" s="103" t="s">
        <v>43</v>
      </c>
      <c r="C165" s="103" t="s">
        <v>400</v>
      </c>
      <c r="D165" s="103" t="s">
        <v>407</v>
      </c>
      <c r="E165" s="104" t="s">
        <v>363</v>
      </c>
      <c r="F165" s="103" t="s">
        <v>247</v>
      </c>
      <c r="G165" s="103" t="s">
        <v>187</v>
      </c>
      <c r="H165" s="103" t="s">
        <v>15</v>
      </c>
      <c r="I165" s="103" t="s">
        <v>183</v>
      </c>
      <c r="J165" s="103"/>
      <c r="K165" s="105">
        <v>31.4</v>
      </c>
      <c r="L165" s="105">
        <f>K165*VLOOKUP(H165,dagsoorttabel1,2,FALSE)</f>
        <v>15.7</v>
      </c>
      <c r="M165" s="106">
        <f>prodnorm9</f>
        <v>0</v>
      </c>
      <c r="N165" s="41">
        <f>dagwerk9</f>
        <v>0</v>
      </c>
      <c r="O165" s="103" t="s">
        <v>105</v>
      </c>
      <c r="P165" s="26">
        <f>uurtarief9</f>
        <v>0</v>
      </c>
      <c r="Q165" s="105" t="e">
        <f>IF(ISBLANK(M165),0,L165/ROUND(M165,4))</f>
        <v>#DIV/0!</v>
      </c>
      <c r="R165" s="105" t="e">
        <f>IF(ISBLANK(M165),0,Q165*ROUND(N165,2))</f>
        <v>#DIV/0!</v>
      </c>
      <c r="S165" s="26" t="e">
        <f>ROUND(P165,2)*Q165</f>
        <v>#DIV/0!</v>
      </c>
      <c r="T165" s="105" t="e">
        <f>Q165*dagenperjaar1</f>
        <v>#DIV/0!</v>
      </c>
      <c r="U165" s="27" t="e">
        <f>T165*ROUND(P165,2)</f>
        <v>#DIV/0!</v>
      </c>
    </row>
    <row r="166" spans="1:21" x14ac:dyDescent="0.2">
      <c r="A166" s="102" t="s">
        <v>243</v>
      </c>
      <c r="B166" s="103" t="s">
        <v>43</v>
      </c>
      <c r="C166" s="103" t="s">
        <v>400</v>
      </c>
      <c r="D166" s="103" t="s">
        <v>408</v>
      </c>
      <c r="E166" s="104" t="s">
        <v>306</v>
      </c>
      <c r="F166" s="103" t="s">
        <v>247</v>
      </c>
      <c r="G166" s="103" t="s">
        <v>228</v>
      </c>
      <c r="H166" s="103" t="s">
        <v>15</v>
      </c>
      <c r="I166" s="103" t="s">
        <v>222</v>
      </c>
      <c r="J166" s="103"/>
      <c r="K166" s="105">
        <v>57.3</v>
      </c>
      <c r="L166" s="105">
        <f>K166*VLOOKUP(H166,dagsoorttabel1,2,FALSE)</f>
        <v>28.65</v>
      </c>
      <c r="M166" s="106">
        <f>prodnorm6</f>
        <v>0</v>
      </c>
      <c r="N166" s="41">
        <f>dagwerk6</f>
        <v>0</v>
      </c>
      <c r="O166" s="103" t="s">
        <v>105</v>
      </c>
      <c r="P166" s="26">
        <f>uurtarief6</f>
        <v>0</v>
      </c>
      <c r="Q166" s="105" t="e">
        <f>IF(ISBLANK(M166),0,L166/ROUND(M166,4))</f>
        <v>#DIV/0!</v>
      </c>
      <c r="R166" s="105" t="e">
        <f>IF(ISBLANK(M166),0,Q166*ROUND(N166,2))</f>
        <v>#DIV/0!</v>
      </c>
      <c r="S166" s="26" t="e">
        <f>ROUND(P166,2)*Q166</f>
        <v>#DIV/0!</v>
      </c>
      <c r="T166" s="105" t="e">
        <f>Q166*dagenperjaar1</f>
        <v>#DIV/0!</v>
      </c>
      <c r="U166" s="27" t="e">
        <f>T166*ROUND(P166,2)</f>
        <v>#DIV/0!</v>
      </c>
    </row>
    <row r="167" spans="1:21" x14ac:dyDescent="0.2">
      <c r="A167" s="102" t="s">
        <v>243</v>
      </c>
      <c r="B167" s="103" t="s">
        <v>43</v>
      </c>
      <c r="C167" s="103" t="s">
        <v>400</v>
      </c>
      <c r="D167" s="103" t="s">
        <v>408</v>
      </c>
      <c r="E167" s="104" t="s">
        <v>306</v>
      </c>
      <c r="F167" s="103" t="s">
        <v>247</v>
      </c>
      <c r="G167" s="103" t="s">
        <v>197</v>
      </c>
      <c r="H167" s="103" t="s">
        <v>15</v>
      </c>
      <c r="I167" s="103" t="s">
        <v>183</v>
      </c>
      <c r="J167" s="103"/>
      <c r="K167" s="105">
        <v>57.3</v>
      </c>
      <c r="L167" s="105">
        <f>K167*VLOOKUP(H167,dagsoorttabel1,2,FALSE)</f>
        <v>28.65</v>
      </c>
      <c r="M167" s="106">
        <f>prodnorm15</f>
        <v>0</v>
      </c>
      <c r="N167" s="41">
        <f>dagwerk15</f>
        <v>0</v>
      </c>
      <c r="O167" s="103" t="s">
        <v>105</v>
      </c>
      <c r="P167" s="26">
        <f>uurtarief15</f>
        <v>0</v>
      </c>
      <c r="Q167" s="105" t="e">
        <f>IF(ISBLANK(M167),0,L167/ROUND(M167,4))</f>
        <v>#DIV/0!</v>
      </c>
      <c r="R167" s="105" t="e">
        <f>IF(ISBLANK(M167),0,Q167*ROUND(N167,2))</f>
        <v>#DIV/0!</v>
      </c>
      <c r="S167" s="26" t="e">
        <f>ROUND(P167,2)*Q167</f>
        <v>#DIV/0!</v>
      </c>
      <c r="T167" s="105" t="e">
        <f>Q167*dagenperjaar1</f>
        <v>#DIV/0!</v>
      </c>
      <c r="U167" s="27" t="e">
        <f>T167*ROUND(P167,2)</f>
        <v>#DIV/0!</v>
      </c>
    </row>
    <row r="168" spans="1:21" ht="25.5" x14ac:dyDescent="0.2">
      <c r="A168" s="102" t="s">
        <v>243</v>
      </c>
      <c r="B168" s="103" t="s">
        <v>43</v>
      </c>
      <c r="C168" s="103" t="s">
        <v>400</v>
      </c>
      <c r="D168" s="103" t="s">
        <v>409</v>
      </c>
      <c r="E168" s="104" t="s">
        <v>410</v>
      </c>
      <c r="F168" s="103" t="s">
        <v>247</v>
      </c>
      <c r="G168" s="103" t="s">
        <v>228</v>
      </c>
      <c r="H168" s="103" t="s">
        <v>15</v>
      </c>
      <c r="I168" s="103" t="s">
        <v>222</v>
      </c>
      <c r="J168" s="103"/>
      <c r="K168" s="105">
        <v>132.69999999999999</v>
      </c>
      <c r="L168" s="105">
        <f>K168*VLOOKUP(H168,dagsoorttabel1,2,FALSE)</f>
        <v>66.349999999999994</v>
      </c>
      <c r="M168" s="106">
        <f>prodnorm6</f>
        <v>0</v>
      </c>
      <c r="N168" s="41">
        <f>dagwerk6</f>
        <v>0</v>
      </c>
      <c r="O168" s="103" t="s">
        <v>105</v>
      </c>
      <c r="P168" s="26">
        <f>uurtarief6</f>
        <v>0</v>
      </c>
      <c r="Q168" s="105" t="e">
        <f>IF(ISBLANK(M168),0,L168/ROUND(M168,4))</f>
        <v>#DIV/0!</v>
      </c>
      <c r="R168" s="105" t="e">
        <f>IF(ISBLANK(M168),0,Q168*ROUND(N168,2))</f>
        <v>#DIV/0!</v>
      </c>
      <c r="S168" s="26" t="e">
        <f>ROUND(P168,2)*Q168</f>
        <v>#DIV/0!</v>
      </c>
      <c r="T168" s="105" t="e">
        <f>Q168*dagenperjaar1</f>
        <v>#DIV/0!</v>
      </c>
      <c r="U168" s="27" t="e">
        <f>T168*ROUND(P168,2)</f>
        <v>#DIV/0!</v>
      </c>
    </row>
    <row r="169" spans="1:21" ht="25.5" x14ac:dyDescent="0.2">
      <c r="A169" s="102" t="s">
        <v>243</v>
      </c>
      <c r="B169" s="103" t="s">
        <v>43</v>
      </c>
      <c r="C169" s="103" t="s">
        <v>400</v>
      </c>
      <c r="D169" s="103" t="s">
        <v>409</v>
      </c>
      <c r="E169" s="104" t="s">
        <v>410</v>
      </c>
      <c r="F169" s="103" t="s">
        <v>247</v>
      </c>
      <c r="G169" s="103" t="s">
        <v>187</v>
      </c>
      <c r="H169" s="103" t="s">
        <v>15</v>
      </c>
      <c r="I169" s="103" t="s">
        <v>183</v>
      </c>
      <c r="J169" s="103"/>
      <c r="K169" s="105">
        <v>132.69999999999999</v>
      </c>
      <c r="L169" s="105">
        <f>K169*VLOOKUP(H169,dagsoorttabel1,2,FALSE)</f>
        <v>66.349999999999994</v>
      </c>
      <c r="M169" s="106">
        <f>prodnorm9</f>
        <v>0</v>
      </c>
      <c r="N169" s="41">
        <f>dagwerk9</f>
        <v>0</v>
      </c>
      <c r="O169" s="103" t="s">
        <v>105</v>
      </c>
      <c r="P169" s="26">
        <f>uurtarief9</f>
        <v>0</v>
      </c>
      <c r="Q169" s="105" t="e">
        <f>IF(ISBLANK(M169),0,L169/ROUND(M169,4))</f>
        <v>#DIV/0!</v>
      </c>
      <c r="R169" s="105" t="e">
        <f>IF(ISBLANK(M169),0,Q169*ROUND(N169,2))</f>
        <v>#DIV/0!</v>
      </c>
      <c r="S169" s="26" t="e">
        <f>ROUND(P169,2)*Q169</f>
        <v>#DIV/0!</v>
      </c>
      <c r="T169" s="105" t="e">
        <f>Q169*dagenperjaar1</f>
        <v>#DIV/0!</v>
      </c>
      <c r="U169" s="27" t="e">
        <f>T169*ROUND(P169,2)</f>
        <v>#DIV/0!</v>
      </c>
    </row>
    <row r="170" spans="1:21" x14ac:dyDescent="0.2">
      <c r="A170" s="102" t="s">
        <v>243</v>
      </c>
      <c r="B170" s="103" t="s">
        <v>43</v>
      </c>
      <c r="C170" s="103" t="s">
        <v>400</v>
      </c>
      <c r="D170" s="103" t="s">
        <v>411</v>
      </c>
      <c r="E170" s="104" t="s">
        <v>306</v>
      </c>
      <c r="F170" s="103" t="s">
        <v>247</v>
      </c>
      <c r="G170" s="103" t="s">
        <v>228</v>
      </c>
      <c r="H170" s="103" t="s">
        <v>15</v>
      </c>
      <c r="I170" s="103" t="s">
        <v>222</v>
      </c>
      <c r="J170" s="103"/>
      <c r="K170" s="105">
        <v>57.3</v>
      </c>
      <c r="L170" s="105">
        <f>K170*VLOOKUP(H170,dagsoorttabel1,2,FALSE)</f>
        <v>28.65</v>
      </c>
      <c r="M170" s="106">
        <f>prodnorm6</f>
        <v>0</v>
      </c>
      <c r="N170" s="41">
        <f>dagwerk6</f>
        <v>0</v>
      </c>
      <c r="O170" s="103" t="s">
        <v>105</v>
      </c>
      <c r="P170" s="26">
        <f>uurtarief6</f>
        <v>0</v>
      </c>
      <c r="Q170" s="105" t="e">
        <f>IF(ISBLANK(M170),0,L170/ROUND(M170,4))</f>
        <v>#DIV/0!</v>
      </c>
      <c r="R170" s="105" t="e">
        <f>IF(ISBLANK(M170),0,Q170*ROUND(N170,2))</f>
        <v>#DIV/0!</v>
      </c>
      <c r="S170" s="26" t="e">
        <f>ROUND(P170,2)*Q170</f>
        <v>#DIV/0!</v>
      </c>
      <c r="T170" s="105" t="e">
        <f>Q170*dagenperjaar1</f>
        <v>#DIV/0!</v>
      </c>
      <c r="U170" s="27" t="e">
        <f>T170*ROUND(P170,2)</f>
        <v>#DIV/0!</v>
      </c>
    </row>
    <row r="171" spans="1:21" x14ac:dyDescent="0.2">
      <c r="A171" s="102" t="s">
        <v>243</v>
      </c>
      <c r="B171" s="103" t="s">
        <v>43</v>
      </c>
      <c r="C171" s="103" t="s">
        <v>400</v>
      </c>
      <c r="D171" s="103" t="s">
        <v>411</v>
      </c>
      <c r="E171" s="104" t="s">
        <v>306</v>
      </c>
      <c r="F171" s="103" t="s">
        <v>247</v>
      </c>
      <c r="G171" s="103" t="s">
        <v>197</v>
      </c>
      <c r="H171" s="103" t="s">
        <v>15</v>
      </c>
      <c r="I171" s="103" t="s">
        <v>183</v>
      </c>
      <c r="J171" s="103"/>
      <c r="K171" s="105">
        <v>57.3</v>
      </c>
      <c r="L171" s="105">
        <f>K171*VLOOKUP(H171,dagsoorttabel1,2,FALSE)</f>
        <v>28.65</v>
      </c>
      <c r="M171" s="106">
        <f>prodnorm15</f>
        <v>0</v>
      </c>
      <c r="N171" s="41">
        <f>dagwerk15</f>
        <v>0</v>
      </c>
      <c r="O171" s="103" t="s">
        <v>105</v>
      </c>
      <c r="P171" s="26">
        <f>uurtarief15</f>
        <v>0</v>
      </c>
      <c r="Q171" s="105" t="e">
        <f>IF(ISBLANK(M171),0,L171/ROUND(M171,4))</f>
        <v>#DIV/0!</v>
      </c>
      <c r="R171" s="105" t="e">
        <f>IF(ISBLANK(M171),0,Q171*ROUND(N171,2))</f>
        <v>#DIV/0!</v>
      </c>
      <c r="S171" s="26" t="e">
        <f>ROUND(P171,2)*Q171</f>
        <v>#DIV/0!</v>
      </c>
      <c r="T171" s="105" t="e">
        <f>Q171*dagenperjaar1</f>
        <v>#DIV/0!</v>
      </c>
      <c r="U171" s="27" t="e">
        <f>T171*ROUND(P171,2)</f>
        <v>#DIV/0!</v>
      </c>
    </row>
    <row r="172" spans="1:21" x14ac:dyDescent="0.2">
      <c r="A172" s="102" t="s">
        <v>243</v>
      </c>
      <c r="B172" s="103" t="s">
        <v>43</v>
      </c>
      <c r="C172" s="103" t="s">
        <v>400</v>
      </c>
      <c r="D172" s="103" t="s">
        <v>412</v>
      </c>
      <c r="E172" s="104" t="s">
        <v>413</v>
      </c>
      <c r="F172" s="103" t="s">
        <v>247</v>
      </c>
      <c r="G172" s="103" t="s">
        <v>211</v>
      </c>
      <c r="H172" s="103" t="s">
        <v>10</v>
      </c>
      <c r="I172" s="103" t="s">
        <v>183</v>
      </c>
      <c r="J172" s="103"/>
      <c r="K172" s="105">
        <v>14.1</v>
      </c>
      <c r="L172" s="105">
        <f>K172*VLOOKUP(H172,dagsoorttabel1,2,FALSE)</f>
        <v>14.805</v>
      </c>
      <c r="M172" s="106">
        <f>prodnorm23</f>
        <v>0</v>
      </c>
      <c r="N172" s="41">
        <f>dagwerk23</f>
        <v>0</v>
      </c>
      <c r="O172" s="103" t="s">
        <v>105</v>
      </c>
      <c r="P172" s="26">
        <f>uurtarief23</f>
        <v>0</v>
      </c>
      <c r="Q172" s="105" t="e">
        <f>IF(ISBLANK(M172),0,L172/ROUND(M172,4))</f>
        <v>#DIV/0!</v>
      </c>
      <c r="R172" s="105" t="e">
        <f>IF(ISBLANK(M172),0,Q172*ROUND(N172,2))</f>
        <v>#DIV/0!</v>
      </c>
      <c r="S172" s="26" t="e">
        <f>ROUND(P172,2)*Q172</f>
        <v>#DIV/0!</v>
      </c>
      <c r="T172" s="105" t="e">
        <f>Q172*dagenperjaar1</f>
        <v>#DIV/0!</v>
      </c>
      <c r="U172" s="27" t="e">
        <f>T172*ROUND(P172,2)</f>
        <v>#DIV/0!</v>
      </c>
    </row>
    <row r="173" spans="1:21" x14ac:dyDescent="0.2">
      <c r="A173" s="102" t="s">
        <v>243</v>
      </c>
      <c r="B173" s="103" t="s">
        <v>43</v>
      </c>
      <c r="C173" s="103" t="s">
        <v>400</v>
      </c>
      <c r="D173" s="103" t="s">
        <v>412</v>
      </c>
      <c r="E173" s="104" t="s">
        <v>413</v>
      </c>
      <c r="F173" s="103" t="s">
        <v>247</v>
      </c>
      <c r="G173" s="103" t="s">
        <v>213</v>
      </c>
      <c r="H173" s="103" t="s">
        <v>9</v>
      </c>
      <c r="I173" s="103" t="s">
        <v>183</v>
      </c>
      <c r="J173" s="103"/>
      <c r="K173" s="105">
        <v>14.1</v>
      </c>
      <c r="L173" s="105">
        <f>K173*VLOOKUP(H173,dagsoorttabel1,2,FALSE)</f>
        <v>28.2</v>
      </c>
      <c r="M173" s="106">
        <f>prodnorm25</f>
        <v>0</v>
      </c>
      <c r="N173" s="41">
        <f>dagwerk25</f>
        <v>0</v>
      </c>
      <c r="O173" s="103" t="s">
        <v>105</v>
      </c>
      <c r="P173" s="26">
        <f>uurtarief25</f>
        <v>0</v>
      </c>
      <c r="Q173" s="105" t="e">
        <f>IF(ISBLANK(M173),0,L173/ROUND(M173,4))</f>
        <v>#DIV/0!</v>
      </c>
      <c r="R173" s="105" t="e">
        <f>IF(ISBLANK(M173),0,Q173*ROUND(N173,2))</f>
        <v>#DIV/0!</v>
      </c>
      <c r="S173" s="26" t="e">
        <f>ROUND(P173,2)*Q173</f>
        <v>#DIV/0!</v>
      </c>
      <c r="T173" s="105" t="e">
        <f>Q173*dagenperjaar1</f>
        <v>#DIV/0!</v>
      </c>
      <c r="U173" s="27" t="e">
        <f>T173*ROUND(P173,2)</f>
        <v>#DIV/0!</v>
      </c>
    </row>
    <row r="174" spans="1:21" x14ac:dyDescent="0.2">
      <c r="A174" s="102" t="s">
        <v>243</v>
      </c>
      <c r="B174" s="103" t="s">
        <v>43</v>
      </c>
      <c r="C174" s="103" t="s">
        <v>400</v>
      </c>
      <c r="D174" s="103" t="s">
        <v>414</v>
      </c>
      <c r="E174" s="104" t="s">
        <v>415</v>
      </c>
      <c r="F174" s="103" t="s">
        <v>247</v>
      </c>
      <c r="G174" s="103" t="s">
        <v>211</v>
      </c>
      <c r="H174" s="103" t="s">
        <v>10</v>
      </c>
      <c r="I174" s="103" t="s">
        <v>183</v>
      </c>
      <c r="J174" s="103"/>
      <c r="K174" s="105">
        <v>10.4</v>
      </c>
      <c r="L174" s="105">
        <f>K174*VLOOKUP(H174,dagsoorttabel1,2,FALSE)</f>
        <v>10.920000000000002</v>
      </c>
      <c r="M174" s="106">
        <f>prodnorm23</f>
        <v>0</v>
      </c>
      <c r="N174" s="41">
        <f>dagwerk23</f>
        <v>0</v>
      </c>
      <c r="O174" s="103" t="s">
        <v>105</v>
      </c>
      <c r="P174" s="26">
        <f>uurtarief23</f>
        <v>0</v>
      </c>
      <c r="Q174" s="105" t="e">
        <f>IF(ISBLANK(M174),0,L174/ROUND(M174,4))</f>
        <v>#DIV/0!</v>
      </c>
      <c r="R174" s="105" t="e">
        <f>IF(ISBLANK(M174),0,Q174*ROUND(N174,2))</f>
        <v>#DIV/0!</v>
      </c>
      <c r="S174" s="26" t="e">
        <f>ROUND(P174,2)*Q174</f>
        <v>#DIV/0!</v>
      </c>
      <c r="T174" s="105" t="e">
        <f>Q174*dagenperjaar1</f>
        <v>#DIV/0!</v>
      </c>
      <c r="U174" s="27" t="e">
        <f>T174*ROUND(P174,2)</f>
        <v>#DIV/0!</v>
      </c>
    </row>
    <row r="175" spans="1:21" x14ac:dyDescent="0.2">
      <c r="A175" s="102" t="s">
        <v>243</v>
      </c>
      <c r="B175" s="103" t="s">
        <v>43</v>
      </c>
      <c r="C175" s="103" t="s">
        <v>400</v>
      </c>
      <c r="D175" s="103" t="s">
        <v>414</v>
      </c>
      <c r="E175" s="104" t="s">
        <v>415</v>
      </c>
      <c r="F175" s="103" t="s">
        <v>247</v>
      </c>
      <c r="G175" s="103" t="s">
        <v>213</v>
      </c>
      <c r="H175" s="103" t="s">
        <v>9</v>
      </c>
      <c r="I175" s="103" t="s">
        <v>183</v>
      </c>
      <c r="J175" s="103"/>
      <c r="K175" s="105">
        <v>10.4</v>
      </c>
      <c r="L175" s="105">
        <f>K175*VLOOKUP(H175,dagsoorttabel1,2,FALSE)</f>
        <v>20.8</v>
      </c>
      <c r="M175" s="106">
        <f>prodnorm25</f>
        <v>0</v>
      </c>
      <c r="N175" s="41">
        <f>dagwerk25</f>
        <v>0</v>
      </c>
      <c r="O175" s="103" t="s">
        <v>105</v>
      </c>
      <c r="P175" s="26">
        <f>uurtarief25</f>
        <v>0</v>
      </c>
      <c r="Q175" s="105" t="e">
        <f>IF(ISBLANK(M175),0,L175/ROUND(M175,4))</f>
        <v>#DIV/0!</v>
      </c>
      <c r="R175" s="105" t="e">
        <f>IF(ISBLANK(M175),0,Q175*ROUND(N175,2))</f>
        <v>#DIV/0!</v>
      </c>
      <c r="S175" s="26" t="e">
        <f>ROUND(P175,2)*Q175</f>
        <v>#DIV/0!</v>
      </c>
      <c r="T175" s="105" t="e">
        <f>Q175*dagenperjaar1</f>
        <v>#DIV/0!</v>
      </c>
      <c r="U175" s="27" t="e">
        <f>T175*ROUND(P175,2)</f>
        <v>#DIV/0!</v>
      </c>
    </row>
    <row r="176" spans="1:21" x14ac:dyDescent="0.2">
      <c r="A176" s="102" t="s">
        <v>243</v>
      </c>
      <c r="B176" s="103" t="s">
        <v>43</v>
      </c>
      <c r="C176" s="103" t="s">
        <v>400</v>
      </c>
      <c r="D176" s="103" t="s">
        <v>416</v>
      </c>
      <c r="E176" s="104" t="s">
        <v>417</v>
      </c>
      <c r="F176" s="103" t="s">
        <v>247</v>
      </c>
      <c r="G176" s="103" t="s">
        <v>211</v>
      </c>
      <c r="H176" s="103" t="s">
        <v>10</v>
      </c>
      <c r="I176" s="103" t="s">
        <v>183</v>
      </c>
      <c r="J176" s="103"/>
      <c r="K176" s="105">
        <v>2.6</v>
      </c>
      <c r="L176" s="105">
        <f>K176*VLOOKUP(H176,dagsoorttabel1,2,FALSE)</f>
        <v>2.7300000000000004</v>
      </c>
      <c r="M176" s="106">
        <f>prodnorm23</f>
        <v>0</v>
      </c>
      <c r="N176" s="41">
        <f>dagwerk23</f>
        <v>0</v>
      </c>
      <c r="O176" s="103" t="s">
        <v>105</v>
      </c>
      <c r="P176" s="26">
        <f>uurtarief23</f>
        <v>0</v>
      </c>
      <c r="Q176" s="105" t="e">
        <f>IF(ISBLANK(M176),0,L176/ROUND(M176,4))</f>
        <v>#DIV/0!</v>
      </c>
      <c r="R176" s="105" t="e">
        <f>IF(ISBLANK(M176),0,Q176*ROUND(N176,2))</f>
        <v>#DIV/0!</v>
      </c>
      <c r="S176" s="26" t="e">
        <f>ROUND(P176,2)*Q176</f>
        <v>#DIV/0!</v>
      </c>
      <c r="T176" s="105" t="e">
        <f>Q176*dagenperjaar1</f>
        <v>#DIV/0!</v>
      </c>
      <c r="U176" s="27" t="e">
        <f>T176*ROUND(P176,2)</f>
        <v>#DIV/0!</v>
      </c>
    </row>
    <row r="177" spans="1:21" x14ac:dyDescent="0.2">
      <c r="A177" s="102" t="s">
        <v>243</v>
      </c>
      <c r="B177" s="103" t="s">
        <v>43</v>
      </c>
      <c r="C177" s="103" t="s">
        <v>400</v>
      </c>
      <c r="D177" s="103" t="s">
        <v>418</v>
      </c>
      <c r="E177" s="104" t="s">
        <v>249</v>
      </c>
      <c r="F177" s="103" t="s">
        <v>247</v>
      </c>
      <c r="G177" s="103" t="s">
        <v>215</v>
      </c>
      <c r="H177" s="103" t="s">
        <v>12</v>
      </c>
      <c r="I177" s="103" t="s">
        <v>183</v>
      </c>
      <c r="J177" s="103"/>
      <c r="K177" s="105">
        <v>6.6</v>
      </c>
      <c r="L177" s="105">
        <f>K177*VLOOKUP(H177,dagsoorttabel1,2,FALSE)</f>
        <v>6.6</v>
      </c>
      <c r="M177" s="106">
        <f>prodnorm26</f>
        <v>0</v>
      </c>
      <c r="N177" s="41">
        <f>dagwerk26</f>
        <v>0</v>
      </c>
      <c r="O177" s="103" t="s">
        <v>105</v>
      </c>
      <c r="P177" s="26">
        <f>uurtarief26</f>
        <v>0</v>
      </c>
      <c r="Q177" s="105" t="e">
        <f>IF(ISBLANK(M177),0,L177/ROUND(M177,4))</f>
        <v>#DIV/0!</v>
      </c>
      <c r="R177" s="105" t="e">
        <f>IF(ISBLANK(M177),0,Q177*ROUND(N177,2))</f>
        <v>#DIV/0!</v>
      </c>
      <c r="S177" s="26" t="e">
        <f>ROUND(P177,2)*Q177</f>
        <v>#DIV/0!</v>
      </c>
      <c r="T177" s="105" t="e">
        <f>Q177*dagenperjaar1</f>
        <v>#DIV/0!</v>
      </c>
      <c r="U177" s="27" t="e">
        <f>T177*ROUND(P177,2)</f>
        <v>#DIV/0!</v>
      </c>
    </row>
    <row r="178" spans="1:21" x14ac:dyDescent="0.2">
      <c r="A178" s="102" t="s">
        <v>243</v>
      </c>
      <c r="B178" s="103" t="s">
        <v>43</v>
      </c>
      <c r="C178" s="103" t="s">
        <v>400</v>
      </c>
      <c r="D178" s="103" t="s">
        <v>419</v>
      </c>
      <c r="E178" s="104" t="s">
        <v>249</v>
      </c>
      <c r="F178" s="103" t="s">
        <v>247</v>
      </c>
      <c r="G178" s="103" t="s">
        <v>215</v>
      </c>
      <c r="H178" s="103" t="s">
        <v>12</v>
      </c>
      <c r="I178" s="103" t="s">
        <v>183</v>
      </c>
      <c r="J178" s="103"/>
      <c r="K178" s="105">
        <v>14.8</v>
      </c>
      <c r="L178" s="105">
        <f>K178*VLOOKUP(H178,dagsoorttabel1,2,FALSE)</f>
        <v>14.8</v>
      </c>
      <c r="M178" s="106">
        <f>prodnorm26</f>
        <v>0</v>
      </c>
      <c r="N178" s="41">
        <f>dagwerk26</f>
        <v>0</v>
      </c>
      <c r="O178" s="103" t="s">
        <v>105</v>
      </c>
      <c r="P178" s="26">
        <f>uurtarief26</f>
        <v>0</v>
      </c>
      <c r="Q178" s="105" t="e">
        <f>IF(ISBLANK(M178),0,L178/ROUND(M178,4))</f>
        <v>#DIV/0!</v>
      </c>
      <c r="R178" s="105" t="e">
        <f>IF(ISBLANK(M178),0,Q178*ROUND(N178,2))</f>
        <v>#DIV/0!</v>
      </c>
      <c r="S178" s="26" t="e">
        <f>ROUND(P178,2)*Q178</f>
        <v>#DIV/0!</v>
      </c>
      <c r="T178" s="105" t="e">
        <f>Q178*dagenperjaar1</f>
        <v>#DIV/0!</v>
      </c>
      <c r="U178" s="27" t="e">
        <f>T178*ROUND(P178,2)</f>
        <v>#DIV/0!</v>
      </c>
    </row>
    <row r="179" spans="1:21" x14ac:dyDescent="0.2">
      <c r="A179" s="102" t="s">
        <v>243</v>
      </c>
      <c r="B179" s="103" t="s">
        <v>43</v>
      </c>
      <c r="C179" s="103" t="s">
        <v>400</v>
      </c>
      <c r="D179" s="103" t="s">
        <v>420</v>
      </c>
      <c r="E179" s="104" t="s">
        <v>421</v>
      </c>
      <c r="F179" s="103" t="s">
        <v>258</v>
      </c>
      <c r="G179" s="103" t="s">
        <v>228</v>
      </c>
      <c r="H179" s="103" t="s">
        <v>15</v>
      </c>
      <c r="I179" s="103" t="s">
        <v>222</v>
      </c>
      <c r="J179" s="103"/>
      <c r="K179" s="105">
        <v>59.8</v>
      </c>
      <c r="L179" s="105">
        <f>K179*VLOOKUP(H179,dagsoorttabel1,2,FALSE)</f>
        <v>29.9</v>
      </c>
      <c r="M179" s="106">
        <f>prodnorm6</f>
        <v>0</v>
      </c>
      <c r="N179" s="41">
        <f>dagwerk6</f>
        <v>0</v>
      </c>
      <c r="O179" s="103" t="s">
        <v>105</v>
      </c>
      <c r="P179" s="26">
        <f>uurtarief6</f>
        <v>0</v>
      </c>
      <c r="Q179" s="105" t="e">
        <f>IF(ISBLANK(M179),0,L179/ROUND(M179,4))</f>
        <v>#DIV/0!</v>
      </c>
      <c r="R179" s="105" t="e">
        <f>IF(ISBLANK(M179),0,Q179*ROUND(N179,2))</f>
        <v>#DIV/0!</v>
      </c>
      <c r="S179" s="26" t="e">
        <f>ROUND(P179,2)*Q179</f>
        <v>#DIV/0!</v>
      </c>
      <c r="T179" s="105" t="e">
        <f>Q179*dagenperjaar1</f>
        <v>#DIV/0!</v>
      </c>
      <c r="U179" s="27" t="e">
        <f>T179*ROUND(P179,2)</f>
        <v>#DIV/0!</v>
      </c>
    </row>
    <row r="180" spans="1:21" x14ac:dyDescent="0.2">
      <c r="A180" s="102" t="s">
        <v>243</v>
      </c>
      <c r="B180" s="103" t="s">
        <v>43</v>
      </c>
      <c r="C180" s="103" t="s">
        <v>400</v>
      </c>
      <c r="D180" s="103" t="s">
        <v>420</v>
      </c>
      <c r="E180" s="104" t="s">
        <v>421</v>
      </c>
      <c r="F180" s="103" t="s">
        <v>258</v>
      </c>
      <c r="G180" s="103" t="s">
        <v>189</v>
      </c>
      <c r="H180" s="103" t="s">
        <v>15</v>
      </c>
      <c r="I180" s="103" t="s">
        <v>183</v>
      </c>
      <c r="J180" s="103"/>
      <c r="K180" s="105">
        <v>59.8</v>
      </c>
      <c r="L180" s="105">
        <f>K180*VLOOKUP(H180,dagsoorttabel1,2,FALSE)</f>
        <v>29.9</v>
      </c>
      <c r="M180" s="106">
        <f>prodnorm10</f>
        <v>0</v>
      </c>
      <c r="N180" s="41">
        <f>dagwerk10</f>
        <v>0</v>
      </c>
      <c r="O180" s="103" t="s">
        <v>105</v>
      </c>
      <c r="P180" s="26">
        <f>uurtarief10</f>
        <v>0</v>
      </c>
      <c r="Q180" s="105" t="e">
        <f>IF(ISBLANK(M180),0,L180/ROUND(M180,4))</f>
        <v>#DIV/0!</v>
      </c>
      <c r="R180" s="105" t="e">
        <f>IF(ISBLANK(M180),0,Q180*ROUND(N180,2))</f>
        <v>#DIV/0!</v>
      </c>
      <c r="S180" s="26" t="e">
        <f>ROUND(P180,2)*Q180</f>
        <v>#DIV/0!</v>
      </c>
      <c r="T180" s="105" t="e">
        <f>Q180*dagenperjaar1</f>
        <v>#DIV/0!</v>
      </c>
      <c r="U180" s="27" t="e">
        <f>T180*ROUND(P180,2)</f>
        <v>#DIV/0!</v>
      </c>
    </row>
    <row r="181" spans="1:21" x14ac:dyDescent="0.2">
      <c r="A181" s="102" t="s">
        <v>243</v>
      </c>
      <c r="B181" s="103" t="s">
        <v>43</v>
      </c>
      <c r="C181" s="103" t="s">
        <v>400</v>
      </c>
      <c r="D181" s="103" t="s">
        <v>422</v>
      </c>
      <c r="E181" s="104" t="s">
        <v>423</v>
      </c>
      <c r="F181" s="103" t="s">
        <v>258</v>
      </c>
      <c r="G181" s="103" t="s">
        <v>228</v>
      </c>
      <c r="H181" s="103" t="s">
        <v>15</v>
      </c>
      <c r="I181" s="103" t="s">
        <v>222</v>
      </c>
      <c r="J181" s="103"/>
      <c r="K181" s="105">
        <v>29.4</v>
      </c>
      <c r="L181" s="105">
        <f>K181*VLOOKUP(H181,dagsoorttabel1,2,FALSE)</f>
        <v>14.7</v>
      </c>
      <c r="M181" s="106">
        <f>prodnorm6</f>
        <v>0</v>
      </c>
      <c r="N181" s="41">
        <f>dagwerk6</f>
        <v>0</v>
      </c>
      <c r="O181" s="103" t="s">
        <v>105</v>
      </c>
      <c r="P181" s="26">
        <f>uurtarief6</f>
        <v>0</v>
      </c>
      <c r="Q181" s="105" t="e">
        <f>IF(ISBLANK(M181),0,L181/ROUND(M181,4))</f>
        <v>#DIV/0!</v>
      </c>
      <c r="R181" s="105" t="e">
        <f>IF(ISBLANK(M181),0,Q181*ROUND(N181,2))</f>
        <v>#DIV/0!</v>
      </c>
      <c r="S181" s="26" t="e">
        <f>ROUND(P181,2)*Q181</f>
        <v>#DIV/0!</v>
      </c>
      <c r="T181" s="105" t="e">
        <f>Q181*dagenperjaar1</f>
        <v>#DIV/0!</v>
      </c>
      <c r="U181" s="27" t="e">
        <f>T181*ROUND(P181,2)</f>
        <v>#DIV/0!</v>
      </c>
    </row>
    <row r="182" spans="1:21" x14ac:dyDescent="0.2">
      <c r="A182" s="102" t="s">
        <v>243</v>
      </c>
      <c r="B182" s="103" t="s">
        <v>43</v>
      </c>
      <c r="C182" s="103" t="s">
        <v>400</v>
      </c>
      <c r="D182" s="103" t="s">
        <v>422</v>
      </c>
      <c r="E182" s="104" t="s">
        <v>423</v>
      </c>
      <c r="F182" s="103" t="s">
        <v>258</v>
      </c>
      <c r="G182" s="103" t="s">
        <v>189</v>
      </c>
      <c r="H182" s="103" t="s">
        <v>15</v>
      </c>
      <c r="I182" s="103" t="s">
        <v>183</v>
      </c>
      <c r="J182" s="103"/>
      <c r="K182" s="105">
        <v>29.4</v>
      </c>
      <c r="L182" s="105">
        <f>K182*VLOOKUP(H182,dagsoorttabel1,2,FALSE)</f>
        <v>14.7</v>
      </c>
      <c r="M182" s="106">
        <f>prodnorm10</f>
        <v>0</v>
      </c>
      <c r="N182" s="41">
        <f>dagwerk10</f>
        <v>0</v>
      </c>
      <c r="O182" s="103" t="s">
        <v>105</v>
      </c>
      <c r="P182" s="26">
        <f>uurtarief10</f>
        <v>0</v>
      </c>
      <c r="Q182" s="105" t="e">
        <f>IF(ISBLANK(M182),0,L182/ROUND(M182,4))</f>
        <v>#DIV/0!</v>
      </c>
      <c r="R182" s="105" t="e">
        <f>IF(ISBLANK(M182),0,Q182*ROUND(N182,2))</f>
        <v>#DIV/0!</v>
      </c>
      <c r="S182" s="26" t="e">
        <f>ROUND(P182,2)*Q182</f>
        <v>#DIV/0!</v>
      </c>
      <c r="T182" s="105" t="e">
        <f>Q182*dagenperjaar1</f>
        <v>#DIV/0!</v>
      </c>
      <c r="U182" s="27" t="e">
        <f>T182*ROUND(P182,2)</f>
        <v>#DIV/0!</v>
      </c>
    </row>
    <row r="183" spans="1:21" x14ac:dyDescent="0.2">
      <c r="A183" s="102" t="s">
        <v>243</v>
      </c>
      <c r="B183" s="103" t="s">
        <v>43</v>
      </c>
      <c r="C183" s="103" t="s">
        <v>400</v>
      </c>
      <c r="D183" s="103" t="s">
        <v>424</v>
      </c>
      <c r="E183" s="104" t="s">
        <v>423</v>
      </c>
      <c r="F183" s="103" t="s">
        <v>258</v>
      </c>
      <c r="G183" s="103" t="s">
        <v>228</v>
      </c>
      <c r="H183" s="103" t="s">
        <v>15</v>
      </c>
      <c r="I183" s="103" t="s">
        <v>222</v>
      </c>
      <c r="J183" s="103"/>
      <c r="K183" s="105">
        <v>29.4</v>
      </c>
      <c r="L183" s="105">
        <f>K183*VLOOKUP(H183,dagsoorttabel1,2,FALSE)</f>
        <v>14.7</v>
      </c>
      <c r="M183" s="106">
        <f>prodnorm6</f>
        <v>0</v>
      </c>
      <c r="N183" s="41">
        <f>dagwerk6</f>
        <v>0</v>
      </c>
      <c r="O183" s="103" t="s">
        <v>105</v>
      </c>
      <c r="P183" s="26">
        <f>uurtarief6</f>
        <v>0</v>
      </c>
      <c r="Q183" s="105" t="e">
        <f>IF(ISBLANK(M183),0,L183/ROUND(M183,4))</f>
        <v>#DIV/0!</v>
      </c>
      <c r="R183" s="105" t="e">
        <f>IF(ISBLANK(M183),0,Q183*ROUND(N183,2))</f>
        <v>#DIV/0!</v>
      </c>
      <c r="S183" s="26" t="e">
        <f>ROUND(P183,2)*Q183</f>
        <v>#DIV/0!</v>
      </c>
      <c r="T183" s="105" t="e">
        <f>Q183*dagenperjaar1</f>
        <v>#DIV/0!</v>
      </c>
      <c r="U183" s="27" t="e">
        <f>T183*ROUND(P183,2)</f>
        <v>#DIV/0!</v>
      </c>
    </row>
    <row r="184" spans="1:21" x14ac:dyDescent="0.2">
      <c r="A184" s="102" t="s">
        <v>243</v>
      </c>
      <c r="B184" s="103" t="s">
        <v>43</v>
      </c>
      <c r="C184" s="103" t="s">
        <v>400</v>
      </c>
      <c r="D184" s="103" t="s">
        <v>424</v>
      </c>
      <c r="E184" s="104" t="s">
        <v>423</v>
      </c>
      <c r="F184" s="103" t="s">
        <v>258</v>
      </c>
      <c r="G184" s="103" t="s">
        <v>189</v>
      </c>
      <c r="H184" s="103" t="s">
        <v>15</v>
      </c>
      <c r="I184" s="103" t="s">
        <v>183</v>
      </c>
      <c r="J184" s="103"/>
      <c r="K184" s="105">
        <v>29.4</v>
      </c>
      <c r="L184" s="105">
        <f>K184*VLOOKUP(H184,dagsoorttabel1,2,FALSE)</f>
        <v>14.7</v>
      </c>
      <c r="M184" s="106">
        <f>prodnorm10</f>
        <v>0</v>
      </c>
      <c r="N184" s="41">
        <f>dagwerk10</f>
        <v>0</v>
      </c>
      <c r="O184" s="103" t="s">
        <v>105</v>
      </c>
      <c r="P184" s="26">
        <f>uurtarief10</f>
        <v>0</v>
      </c>
      <c r="Q184" s="105" t="e">
        <f>IF(ISBLANK(M184),0,L184/ROUND(M184,4))</f>
        <v>#DIV/0!</v>
      </c>
      <c r="R184" s="105" t="e">
        <f>IF(ISBLANK(M184),0,Q184*ROUND(N184,2))</f>
        <v>#DIV/0!</v>
      </c>
      <c r="S184" s="26" t="e">
        <f>ROUND(P184,2)*Q184</f>
        <v>#DIV/0!</v>
      </c>
      <c r="T184" s="105" t="e">
        <f>Q184*dagenperjaar1</f>
        <v>#DIV/0!</v>
      </c>
      <c r="U184" s="27" t="e">
        <f>T184*ROUND(P184,2)</f>
        <v>#DIV/0!</v>
      </c>
    </row>
    <row r="185" spans="1:21" x14ac:dyDescent="0.2">
      <c r="A185" s="102" t="s">
        <v>243</v>
      </c>
      <c r="B185" s="103" t="s">
        <v>43</v>
      </c>
      <c r="C185" s="103" t="s">
        <v>400</v>
      </c>
      <c r="D185" s="103" t="s">
        <v>425</v>
      </c>
      <c r="E185" s="104" t="s">
        <v>426</v>
      </c>
      <c r="F185" s="103" t="s">
        <v>247</v>
      </c>
      <c r="G185" s="103" t="s">
        <v>228</v>
      </c>
      <c r="H185" s="103" t="s">
        <v>15</v>
      </c>
      <c r="I185" s="103" t="s">
        <v>222</v>
      </c>
      <c r="J185" s="103"/>
      <c r="K185" s="105">
        <v>55.6</v>
      </c>
      <c r="L185" s="105">
        <f>K185*VLOOKUP(H185,dagsoorttabel1,2,FALSE)</f>
        <v>27.8</v>
      </c>
      <c r="M185" s="106">
        <f>prodnorm6</f>
        <v>0</v>
      </c>
      <c r="N185" s="41">
        <f>dagwerk6</f>
        <v>0</v>
      </c>
      <c r="O185" s="103" t="s">
        <v>105</v>
      </c>
      <c r="P185" s="26">
        <f>uurtarief6</f>
        <v>0</v>
      </c>
      <c r="Q185" s="105" t="e">
        <f>IF(ISBLANK(M185),0,L185/ROUND(M185,4))</f>
        <v>#DIV/0!</v>
      </c>
      <c r="R185" s="105" t="e">
        <f>IF(ISBLANK(M185),0,Q185*ROUND(N185,2))</f>
        <v>#DIV/0!</v>
      </c>
      <c r="S185" s="26" t="e">
        <f>ROUND(P185,2)*Q185</f>
        <v>#DIV/0!</v>
      </c>
      <c r="T185" s="105" t="e">
        <f>Q185*dagenperjaar1</f>
        <v>#DIV/0!</v>
      </c>
      <c r="U185" s="27" t="e">
        <f>T185*ROUND(P185,2)</f>
        <v>#DIV/0!</v>
      </c>
    </row>
    <row r="186" spans="1:21" x14ac:dyDescent="0.2">
      <c r="A186" s="102" t="s">
        <v>243</v>
      </c>
      <c r="B186" s="103" t="s">
        <v>43</v>
      </c>
      <c r="C186" s="103" t="s">
        <v>400</v>
      </c>
      <c r="D186" s="103" t="s">
        <v>425</v>
      </c>
      <c r="E186" s="104" t="s">
        <v>426</v>
      </c>
      <c r="F186" s="103" t="s">
        <v>247</v>
      </c>
      <c r="G186" s="103" t="s">
        <v>197</v>
      </c>
      <c r="H186" s="103" t="s">
        <v>15</v>
      </c>
      <c r="I186" s="103" t="s">
        <v>183</v>
      </c>
      <c r="J186" s="103"/>
      <c r="K186" s="105">
        <v>55.6</v>
      </c>
      <c r="L186" s="105">
        <f>K186*VLOOKUP(H186,dagsoorttabel1,2,FALSE)</f>
        <v>27.8</v>
      </c>
      <c r="M186" s="106">
        <f>prodnorm15</f>
        <v>0</v>
      </c>
      <c r="N186" s="41">
        <f>dagwerk15</f>
        <v>0</v>
      </c>
      <c r="O186" s="103" t="s">
        <v>105</v>
      </c>
      <c r="P186" s="26">
        <f>uurtarief15</f>
        <v>0</v>
      </c>
      <c r="Q186" s="105" t="e">
        <f>IF(ISBLANK(M186),0,L186/ROUND(M186,4))</f>
        <v>#DIV/0!</v>
      </c>
      <c r="R186" s="105" t="e">
        <f>IF(ISBLANK(M186),0,Q186*ROUND(N186,2))</f>
        <v>#DIV/0!</v>
      </c>
      <c r="S186" s="26" t="e">
        <f>ROUND(P186,2)*Q186</f>
        <v>#DIV/0!</v>
      </c>
      <c r="T186" s="105" t="e">
        <f>Q186*dagenperjaar1</f>
        <v>#DIV/0!</v>
      </c>
      <c r="U186" s="27" t="e">
        <f>T186*ROUND(P186,2)</f>
        <v>#DIV/0!</v>
      </c>
    </row>
    <row r="187" spans="1:21" x14ac:dyDescent="0.2">
      <c r="A187" s="102" t="s">
        <v>243</v>
      </c>
      <c r="B187" s="103" t="s">
        <v>43</v>
      </c>
      <c r="C187" s="103" t="s">
        <v>400</v>
      </c>
      <c r="D187" s="103" t="s">
        <v>427</v>
      </c>
      <c r="E187" s="104" t="s">
        <v>428</v>
      </c>
      <c r="F187" s="103" t="s">
        <v>247</v>
      </c>
      <c r="G187" s="103" t="s">
        <v>228</v>
      </c>
      <c r="H187" s="103" t="s">
        <v>15</v>
      </c>
      <c r="I187" s="103" t="s">
        <v>222</v>
      </c>
      <c r="J187" s="103"/>
      <c r="K187" s="105">
        <v>60.3</v>
      </c>
      <c r="L187" s="105">
        <f>K187*VLOOKUP(H187,dagsoorttabel1,2,FALSE)</f>
        <v>30.15</v>
      </c>
      <c r="M187" s="106">
        <f>prodnorm6</f>
        <v>0</v>
      </c>
      <c r="N187" s="41">
        <f>dagwerk6</f>
        <v>0</v>
      </c>
      <c r="O187" s="103" t="s">
        <v>105</v>
      </c>
      <c r="P187" s="26">
        <f>uurtarief6</f>
        <v>0</v>
      </c>
      <c r="Q187" s="105" t="e">
        <f>IF(ISBLANK(M187),0,L187/ROUND(M187,4))</f>
        <v>#DIV/0!</v>
      </c>
      <c r="R187" s="105" t="e">
        <f>IF(ISBLANK(M187),0,Q187*ROUND(N187,2))</f>
        <v>#DIV/0!</v>
      </c>
      <c r="S187" s="26" t="e">
        <f>ROUND(P187,2)*Q187</f>
        <v>#DIV/0!</v>
      </c>
      <c r="T187" s="105" t="e">
        <f>Q187*dagenperjaar1</f>
        <v>#DIV/0!</v>
      </c>
      <c r="U187" s="27" t="e">
        <f>T187*ROUND(P187,2)</f>
        <v>#DIV/0!</v>
      </c>
    </row>
    <row r="188" spans="1:21" x14ac:dyDescent="0.2">
      <c r="A188" s="102" t="s">
        <v>243</v>
      </c>
      <c r="B188" s="103" t="s">
        <v>43</v>
      </c>
      <c r="C188" s="103" t="s">
        <v>400</v>
      </c>
      <c r="D188" s="103" t="s">
        <v>427</v>
      </c>
      <c r="E188" s="104" t="s">
        <v>428</v>
      </c>
      <c r="F188" s="103" t="s">
        <v>247</v>
      </c>
      <c r="G188" s="103" t="s">
        <v>209</v>
      </c>
      <c r="H188" s="103" t="s">
        <v>15</v>
      </c>
      <c r="I188" s="103" t="s">
        <v>183</v>
      </c>
      <c r="J188" s="103"/>
      <c r="K188" s="105">
        <v>60.3</v>
      </c>
      <c r="L188" s="105">
        <f>K188*VLOOKUP(H188,dagsoorttabel1,2,FALSE)</f>
        <v>30.15</v>
      </c>
      <c r="M188" s="106">
        <f>prodnorm21</f>
        <v>0</v>
      </c>
      <c r="N188" s="41">
        <f>dagwerk21</f>
        <v>0</v>
      </c>
      <c r="O188" s="103" t="s">
        <v>105</v>
      </c>
      <c r="P188" s="26">
        <f>uurtarief21</f>
        <v>0</v>
      </c>
      <c r="Q188" s="105" t="e">
        <f>IF(ISBLANK(M188),0,L188/ROUND(M188,4))</f>
        <v>#DIV/0!</v>
      </c>
      <c r="R188" s="105" t="e">
        <f>IF(ISBLANK(M188),0,Q188*ROUND(N188,2))</f>
        <v>#DIV/0!</v>
      </c>
      <c r="S188" s="26" t="e">
        <f>ROUND(P188,2)*Q188</f>
        <v>#DIV/0!</v>
      </c>
      <c r="T188" s="105" t="e">
        <f>Q188*dagenperjaar1</f>
        <v>#DIV/0!</v>
      </c>
      <c r="U188" s="27" t="e">
        <f>T188*ROUND(P188,2)</f>
        <v>#DIV/0!</v>
      </c>
    </row>
    <row r="189" spans="1:21" x14ac:dyDescent="0.2">
      <c r="A189" s="102" t="s">
        <v>243</v>
      </c>
      <c r="B189" s="103" t="s">
        <v>43</v>
      </c>
      <c r="C189" s="103" t="s">
        <v>400</v>
      </c>
      <c r="D189" s="103" t="s">
        <v>429</v>
      </c>
      <c r="E189" s="104" t="s">
        <v>430</v>
      </c>
      <c r="F189" s="103" t="s">
        <v>247</v>
      </c>
      <c r="G189" s="103" t="s">
        <v>228</v>
      </c>
      <c r="H189" s="103" t="s">
        <v>15</v>
      </c>
      <c r="I189" s="103" t="s">
        <v>222</v>
      </c>
      <c r="J189" s="103"/>
      <c r="K189" s="105">
        <v>60</v>
      </c>
      <c r="L189" s="105">
        <f>K189*VLOOKUP(H189,dagsoorttabel1,2,FALSE)</f>
        <v>30</v>
      </c>
      <c r="M189" s="106">
        <f>prodnorm6</f>
        <v>0</v>
      </c>
      <c r="N189" s="41">
        <f>dagwerk6</f>
        <v>0</v>
      </c>
      <c r="O189" s="103" t="s">
        <v>105</v>
      </c>
      <c r="P189" s="26">
        <f>uurtarief6</f>
        <v>0</v>
      </c>
      <c r="Q189" s="105" t="e">
        <f>IF(ISBLANK(M189),0,L189/ROUND(M189,4))</f>
        <v>#DIV/0!</v>
      </c>
      <c r="R189" s="105" t="e">
        <f>IF(ISBLANK(M189),0,Q189*ROUND(N189,2))</f>
        <v>#DIV/0!</v>
      </c>
      <c r="S189" s="26" t="e">
        <f>ROUND(P189,2)*Q189</f>
        <v>#DIV/0!</v>
      </c>
      <c r="T189" s="105" t="e">
        <f>Q189*dagenperjaar1</f>
        <v>#DIV/0!</v>
      </c>
      <c r="U189" s="27" t="e">
        <f>T189*ROUND(P189,2)</f>
        <v>#DIV/0!</v>
      </c>
    </row>
    <row r="190" spans="1:21" x14ac:dyDescent="0.2">
      <c r="A190" s="102" t="s">
        <v>243</v>
      </c>
      <c r="B190" s="103" t="s">
        <v>43</v>
      </c>
      <c r="C190" s="103" t="s">
        <v>400</v>
      </c>
      <c r="D190" s="103" t="s">
        <v>429</v>
      </c>
      <c r="E190" s="104" t="s">
        <v>430</v>
      </c>
      <c r="F190" s="103" t="s">
        <v>247</v>
      </c>
      <c r="G190" s="103" t="s">
        <v>209</v>
      </c>
      <c r="H190" s="103" t="s">
        <v>15</v>
      </c>
      <c r="I190" s="103" t="s">
        <v>183</v>
      </c>
      <c r="J190" s="103"/>
      <c r="K190" s="105">
        <v>60</v>
      </c>
      <c r="L190" s="105">
        <f>K190*VLOOKUP(H190,dagsoorttabel1,2,FALSE)</f>
        <v>30</v>
      </c>
      <c r="M190" s="106">
        <f>prodnorm21</f>
        <v>0</v>
      </c>
      <c r="N190" s="41">
        <f>dagwerk21</f>
        <v>0</v>
      </c>
      <c r="O190" s="103" t="s">
        <v>105</v>
      </c>
      <c r="P190" s="26">
        <f>uurtarief21</f>
        <v>0</v>
      </c>
      <c r="Q190" s="105" t="e">
        <f>IF(ISBLANK(M190),0,L190/ROUND(M190,4))</f>
        <v>#DIV/0!</v>
      </c>
      <c r="R190" s="105" t="e">
        <f>IF(ISBLANK(M190),0,Q190*ROUND(N190,2))</f>
        <v>#DIV/0!</v>
      </c>
      <c r="S190" s="26" t="e">
        <f>ROUND(P190,2)*Q190</f>
        <v>#DIV/0!</v>
      </c>
      <c r="T190" s="105" t="e">
        <f>Q190*dagenperjaar1</f>
        <v>#DIV/0!</v>
      </c>
      <c r="U190" s="27" t="e">
        <f>T190*ROUND(P190,2)</f>
        <v>#DIV/0!</v>
      </c>
    </row>
    <row r="191" spans="1:21" x14ac:dyDescent="0.2">
      <c r="A191" s="102" t="s">
        <v>243</v>
      </c>
      <c r="B191" s="103" t="s">
        <v>43</v>
      </c>
      <c r="C191" s="103" t="s">
        <v>400</v>
      </c>
      <c r="D191" s="103" t="s">
        <v>431</v>
      </c>
      <c r="E191" s="104" t="s">
        <v>432</v>
      </c>
      <c r="F191" s="103" t="s">
        <v>247</v>
      </c>
      <c r="G191" s="103" t="s">
        <v>228</v>
      </c>
      <c r="H191" s="103" t="s">
        <v>15</v>
      </c>
      <c r="I191" s="103" t="s">
        <v>222</v>
      </c>
      <c r="J191" s="103"/>
      <c r="K191" s="105">
        <v>38.200000000000003</v>
      </c>
      <c r="L191" s="105">
        <f>K191*VLOOKUP(H191,dagsoorttabel1,2,FALSE)</f>
        <v>19.100000000000001</v>
      </c>
      <c r="M191" s="106">
        <f>prodnorm6</f>
        <v>0</v>
      </c>
      <c r="N191" s="41">
        <f>dagwerk6</f>
        <v>0</v>
      </c>
      <c r="O191" s="103" t="s">
        <v>105</v>
      </c>
      <c r="P191" s="26">
        <f>uurtarief6</f>
        <v>0</v>
      </c>
      <c r="Q191" s="105" t="e">
        <f>IF(ISBLANK(M191),0,L191/ROUND(M191,4))</f>
        <v>#DIV/0!</v>
      </c>
      <c r="R191" s="105" t="e">
        <f>IF(ISBLANK(M191),0,Q191*ROUND(N191,2))</f>
        <v>#DIV/0!</v>
      </c>
      <c r="S191" s="26" t="e">
        <f>ROUND(P191,2)*Q191</f>
        <v>#DIV/0!</v>
      </c>
      <c r="T191" s="105" t="e">
        <f>Q191*dagenperjaar1</f>
        <v>#DIV/0!</v>
      </c>
      <c r="U191" s="27" t="e">
        <f>T191*ROUND(P191,2)</f>
        <v>#DIV/0!</v>
      </c>
    </row>
    <row r="192" spans="1:21" x14ac:dyDescent="0.2">
      <c r="A192" s="102" t="s">
        <v>243</v>
      </c>
      <c r="B192" s="103" t="s">
        <v>43</v>
      </c>
      <c r="C192" s="103" t="s">
        <v>400</v>
      </c>
      <c r="D192" s="103" t="s">
        <v>431</v>
      </c>
      <c r="E192" s="104" t="s">
        <v>432</v>
      </c>
      <c r="F192" s="103" t="s">
        <v>247</v>
      </c>
      <c r="G192" s="103" t="s">
        <v>187</v>
      </c>
      <c r="H192" s="103" t="s">
        <v>15</v>
      </c>
      <c r="I192" s="103" t="s">
        <v>183</v>
      </c>
      <c r="J192" s="103"/>
      <c r="K192" s="105">
        <v>38.200000000000003</v>
      </c>
      <c r="L192" s="105">
        <f>K192*VLOOKUP(H192,dagsoorttabel1,2,FALSE)</f>
        <v>19.100000000000001</v>
      </c>
      <c r="M192" s="106">
        <f>prodnorm9</f>
        <v>0</v>
      </c>
      <c r="N192" s="41">
        <f>dagwerk9</f>
        <v>0</v>
      </c>
      <c r="O192" s="103" t="s">
        <v>105</v>
      </c>
      <c r="P192" s="26">
        <f>uurtarief9</f>
        <v>0</v>
      </c>
      <c r="Q192" s="105" t="e">
        <f>IF(ISBLANK(M192),0,L192/ROUND(M192,4))</f>
        <v>#DIV/0!</v>
      </c>
      <c r="R192" s="105" t="e">
        <f>IF(ISBLANK(M192),0,Q192*ROUND(N192,2))</f>
        <v>#DIV/0!</v>
      </c>
      <c r="S192" s="26" t="e">
        <f>ROUND(P192,2)*Q192</f>
        <v>#DIV/0!</v>
      </c>
      <c r="T192" s="105" t="e">
        <f>Q192*dagenperjaar1</f>
        <v>#DIV/0!</v>
      </c>
      <c r="U192" s="27" t="e">
        <f>T192*ROUND(P192,2)</f>
        <v>#DIV/0!</v>
      </c>
    </row>
    <row r="193" spans="1:21" x14ac:dyDescent="0.2">
      <c r="A193" s="102" t="s">
        <v>243</v>
      </c>
      <c r="B193" s="103" t="s">
        <v>43</v>
      </c>
      <c r="C193" s="103" t="s">
        <v>400</v>
      </c>
      <c r="D193" s="103" t="s">
        <v>433</v>
      </c>
      <c r="E193" s="104" t="s">
        <v>306</v>
      </c>
      <c r="F193" s="103" t="s">
        <v>247</v>
      </c>
      <c r="G193" s="103" t="s">
        <v>228</v>
      </c>
      <c r="H193" s="103" t="s">
        <v>15</v>
      </c>
      <c r="I193" s="103" t="s">
        <v>222</v>
      </c>
      <c r="J193" s="103"/>
      <c r="K193" s="105">
        <v>73</v>
      </c>
      <c r="L193" s="105">
        <f>K193*VLOOKUP(H193,dagsoorttabel1,2,FALSE)</f>
        <v>36.5</v>
      </c>
      <c r="M193" s="106">
        <f>prodnorm6</f>
        <v>0</v>
      </c>
      <c r="N193" s="41">
        <f>dagwerk6</f>
        <v>0</v>
      </c>
      <c r="O193" s="103" t="s">
        <v>105</v>
      </c>
      <c r="P193" s="26">
        <f>uurtarief6</f>
        <v>0</v>
      </c>
      <c r="Q193" s="105" t="e">
        <f>IF(ISBLANK(M193),0,L193/ROUND(M193,4))</f>
        <v>#DIV/0!</v>
      </c>
      <c r="R193" s="105" t="e">
        <f>IF(ISBLANK(M193),0,Q193*ROUND(N193,2))</f>
        <v>#DIV/0!</v>
      </c>
      <c r="S193" s="26" t="e">
        <f>ROUND(P193,2)*Q193</f>
        <v>#DIV/0!</v>
      </c>
      <c r="T193" s="105" t="e">
        <f>Q193*dagenperjaar1</f>
        <v>#DIV/0!</v>
      </c>
      <c r="U193" s="27" t="e">
        <f>T193*ROUND(P193,2)</f>
        <v>#DIV/0!</v>
      </c>
    </row>
    <row r="194" spans="1:21" x14ac:dyDescent="0.2">
      <c r="A194" s="102" t="s">
        <v>243</v>
      </c>
      <c r="B194" s="103" t="s">
        <v>43</v>
      </c>
      <c r="C194" s="103" t="s">
        <v>400</v>
      </c>
      <c r="D194" s="103" t="s">
        <v>433</v>
      </c>
      <c r="E194" s="104" t="s">
        <v>306</v>
      </c>
      <c r="F194" s="103" t="s">
        <v>247</v>
      </c>
      <c r="G194" s="103" t="s">
        <v>197</v>
      </c>
      <c r="H194" s="103" t="s">
        <v>15</v>
      </c>
      <c r="I194" s="103" t="s">
        <v>183</v>
      </c>
      <c r="J194" s="103"/>
      <c r="K194" s="105">
        <v>73</v>
      </c>
      <c r="L194" s="105">
        <f>K194*VLOOKUP(H194,dagsoorttabel1,2,FALSE)</f>
        <v>36.5</v>
      </c>
      <c r="M194" s="106">
        <f>prodnorm15</f>
        <v>0</v>
      </c>
      <c r="N194" s="41">
        <f>dagwerk15</f>
        <v>0</v>
      </c>
      <c r="O194" s="103" t="s">
        <v>105</v>
      </c>
      <c r="P194" s="26">
        <f>uurtarief15</f>
        <v>0</v>
      </c>
      <c r="Q194" s="105" t="e">
        <f>IF(ISBLANK(M194),0,L194/ROUND(M194,4))</f>
        <v>#DIV/0!</v>
      </c>
      <c r="R194" s="105" t="e">
        <f>IF(ISBLANK(M194),0,Q194*ROUND(N194,2))</f>
        <v>#DIV/0!</v>
      </c>
      <c r="S194" s="26" t="e">
        <f>ROUND(P194,2)*Q194</f>
        <v>#DIV/0!</v>
      </c>
      <c r="T194" s="105" t="e">
        <f>Q194*dagenperjaar1</f>
        <v>#DIV/0!</v>
      </c>
      <c r="U194" s="27" t="e">
        <f>T194*ROUND(P194,2)</f>
        <v>#DIV/0!</v>
      </c>
    </row>
    <row r="195" spans="1:21" x14ac:dyDescent="0.2">
      <c r="A195" s="102" t="s">
        <v>243</v>
      </c>
      <c r="B195" s="103" t="s">
        <v>43</v>
      </c>
      <c r="C195" s="103" t="s">
        <v>400</v>
      </c>
      <c r="D195" s="103" t="s">
        <v>434</v>
      </c>
      <c r="E195" s="104" t="s">
        <v>435</v>
      </c>
      <c r="F195" s="103" t="s">
        <v>247</v>
      </c>
      <c r="G195" s="103" t="s">
        <v>228</v>
      </c>
      <c r="H195" s="103" t="s">
        <v>15</v>
      </c>
      <c r="I195" s="103" t="s">
        <v>222</v>
      </c>
      <c r="J195" s="103"/>
      <c r="K195" s="105">
        <v>64.900000000000006</v>
      </c>
      <c r="L195" s="105">
        <f>K195*VLOOKUP(H195,dagsoorttabel1,2,FALSE)</f>
        <v>32.450000000000003</v>
      </c>
      <c r="M195" s="106">
        <f>prodnorm6</f>
        <v>0</v>
      </c>
      <c r="N195" s="41">
        <f>dagwerk6</f>
        <v>0</v>
      </c>
      <c r="O195" s="103" t="s">
        <v>105</v>
      </c>
      <c r="P195" s="26">
        <f>uurtarief6</f>
        <v>0</v>
      </c>
      <c r="Q195" s="105" t="e">
        <f>IF(ISBLANK(M195),0,L195/ROUND(M195,4))</f>
        <v>#DIV/0!</v>
      </c>
      <c r="R195" s="105" t="e">
        <f>IF(ISBLANK(M195),0,Q195*ROUND(N195,2))</f>
        <v>#DIV/0!</v>
      </c>
      <c r="S195" s="26" t="e">
        <f>ROUND(P195,2)*Q195</f>
        <v>#DIV/0!</v>
      </c>
      <c r="T195" s="105" t="e">
        <f>Q195*dagenperjaar1</f>
        <v>#DIV/0!</v>
      </c>
      <c r="U195" s="27" t="e">
        <f>T195*ROUND(P195,2)</f>
        <v>#DIV/0!</v>
      </c>
    </row>
    <row r="196" spans="1:21" x14ac:dyDescent="0.2">
      <c r="A196" s="102" t="s">
        <v>243</v>
      </c>
      <c r="B196" s="103" t="s">
        <v>43</v>
      </c>
      <c r="C196" s="103" t="s">
        <v>400</v>
      </c>
      <c r="D196" s="103" t="s">
        <v>434</v>
      </c>
      <c r="E196" s="104" t="s">
        <v>435</v>
      </c>
      <c r="F196" s="103" t="s">
        <v>247</v>
      </c>
      <c r="G196" s="103" t="s">
        <v>209</v>
      </c>
      <c r="H196" s="103" t="s">
        <v>15</v>
      </c>
      <c r="I196" s="103" t="s">
        <v>183</v>
      </c>
      <c r="J196" s="103"/>
      <c r="K196" s="105">
        <v>64.900000000000006</v>
      </c>
      <c r="L196" s="105">
        <f>K196*VLOOKUP(H196,dagsoorttabel1,2,FALSE)</f>
        <v>32.450000000000003</v>
      </c>
      <c r="M196" s="106">
        <f>prodnorm21</f>
        <v>0</v>
      </c>
      <c r="N196" s="41">
        <f>dagwerk21</f>
        <v>0</v>
      </c>
      <c r="O196" s="103" t="s">
        <v>105</v>
      </c>
      <c r="P196" s="26">
        <f>uurtarief21</f>
        <v>0</v>
      </c>
      <c r="Q196" s="105" t="e">
        <f>IF(ISBLANK(M196),0,L196/ROUND(M196,4))</f>
        <v>#DIV/0!</v>
      </c>
      <c r="R196" s="105" t="e">
        <f>IF(ISBLANK(M196),0,Q196*ROUND(N196,2))</f>
        <v>#DIV/0!</v>
      </c>
      <c r="S196" s="26" t="e">
        <f>ROUND(P196,2)*Q196</f>
        <v>#DIV/0!</v>
      </c>
      <c r="T196" s="105" t="e">
        <f>Q196*dagenperjaar1</f>
        <v>#DIV/0!</v>
      </c>
      <c r="U196" s="27" t="e">
        <f>T196*ROUND(P196,2)</f>
        <v>#DIV/0!</v>
      </c>
    </row>
    <row r="197" spans="1:21" x14ac:dyDescent="0.2">
      <c r="A197" s="102" t="s">
        <v>243</v>
      </c>
      <c r="B197" s="103" t="s">
        <v>43</v>
      </c>
      <c r="C197" s="103" t="s">
        <v>400</v>
      </c>
      <c r="D197" s="103" t="s">
        <v>436</v>
      </c>
      <c r="E197" s="104" t="s">
        <v>306</v>
      </c>
      <c r="F197" s="103" t="s">
        <v>247</v>
      </c>
      <c r="G197" s="103" t="s">
        <v>228</v>
      </c>
      <c r="H197" s="103" t="s">
        <v>15</v>
      </c>
      <c r="I197" s="103" t="s">
        <v>222</v>
      </c>
      <c r="J197" s="103"/>
      <c r="K197" s="105">
        <v>50</v>
      </c>
      <c r="L197" s="105">
        <f>K197*VLOOKUP(H197,dagsoorttabel1,2,FALSE)</f>
        <v>25</v>
      </c>
      <c r="M197" s="106">
        <f>prodnorm6</f>
        <v>0</v>
      </c>
      <c r="N197" s="41">
        <f>dagwerk6</f>
        <v>0</v>
      </c>
      <c r="O197" s="103" t="s">
        <v>105</v>
      </c>
      <c r="P197" s="26">
        <f>uurtarief6</f>
        <v>0</v>
      </c>
      <c r="Q197" s="105" t="e">
        <f>IF(ISBLANK(M197),0,L197/ROUND(M197,4))</f>
        <v>#DIV/0!</v>
      </c>
      <c r="R197" s="105" t="e">
        <f>IF(ISBLANK(M197),0,Q197*ROUND(N197,2))</f>
        <v>#DIV/0!</v>
      </c>
      <c r="S197" s="26" t="e">
        <f>ROUND(P197,2)*Q197</f>
        <v>#DIV/0!</v>
      </c>
      <c r="T197" s="105" t="e">
        <f>Q197*dagenperjaar1</f>
        <v>#DIV/0!</v>
      </c>
      <c r="U197" s="27" t="e">
        <f>T197*ROUND(P197,2)</f>
        <v>#DIV/0!</v>
      </c>
    </row>
    <row r="198" spans="1:21" x14ac:dyDescent="0.2">
      <c r="A198" s="102" t="s">
        <v>243</v>
      </c>
      <c r="B198" s="103" t="s">
        <v>43</v>
      </c>
      <c r="C198" s="103" t="s">
        <v>400</v>
      </c>
      <c r="D198" s="103" t="s">
        <v>436</v>
      </c>
      <c r="E198" s="104" t="s">
        <v>306</v>
      </c>
      <c r="F198" s="103" t="s">
        <v>247</v>
      </c>
      <c r="G198" s="103" t="s">
        <v>197</v>
      </c>
      <c r="H198" s="103" t="s">
        <v>15</v>
      </c>
      <c r="I198" s="103" t="s">
        <v>183</v>
      </c>
      <c r="J198" s="103"/>
      <c r="K198" s="105">
        <v>50</v>
      </c>
      <c r="L198" s="105">
        <f>K198*VLOOKUP(H198,dagsoorttabel1,2,FALSE)</f>
        <v>25</v>
      </c>
      <c r="M198" s="106">
        <f>prodnorm15</f>
        <v>0</v>
      </c>
      <c r="N198" s="41">
        <f>dagwerk15</f>
        <v>0</v>
      </c>
      <c r="O198" s="103" t="s">
        <v>105</v>
      </c>
      <c r="P198" s="26">
        <f>uurtarief15</f>
        <v>0</v>
      </c>
      <c r="Q198" s="105" t="e">
        <f>IF(ISBLANK(M198),0,L198/ROUND(M198,4))</f>
        <v>#DIV/0!</v>
      </c>
      <c r="R198" s="105" t="e">
        <f>IF(ISBLANK(M198),0,Q198*ROUND(N198,2))</f>
        <v>#DIV/0!</v>
      </c>
      <c r="S198" s="26" t="e">
        <f>ROUND(P198,2)*Q198</f>
        <v>#DIV/0!</v>
      </c>
      <c r="T198" s="105" t="e">
        <f>Q198*dagenperjaar1</f>
        <v>#DIV/0!</v>
      </c>
      <c r="U198" s="27" t="e">
        <f>T198*ROUND(P198,2)</f>
        <v>#DIV/0!</v>
      </c>
    </row>
    <row r="199" spans="1:21" x14ac:dyDescent="0.2">
      <c r="A199" s="102" t="s">
        <v>243</v>
      </c>
      <c r="B199" s="103" t="s">
        <v>43</v>
      </c>
      <c r="C199" s="103" t="s">
        <v>400</v>
      </c>
      <c r="D199" s="103" t="s">
        <v>437</v>
      </c>
      <c r="E199" s="104" t="s">
        <v>306</v>
      </c>
      <c r="F199" s="103" t="s">
        <v>247</v>
      </c>
      <c r="G199" s="103" t="s">
        <v>228</v>
      </c>
      <c r="H199" s="103" t="s">
        <v>15</v>
      </c>
      <c r="I199" s="103" t="s">
        <v>222</v>
      </c>
      <c r="J199" s="103"/>
      <c r="K199" s="105">
        <v>52</v>
      </c>
      <c r="L199" s="105">
        <f>K199*VLOOKUP(H199,dagsoorttabel1,2,FALSE)</f>
        <v>26</v>
      </c>
      <c r="M199" s="106">
        <f>prodnorm6</f>
        <v>0</v>
      </c>
      <c r="N199" s="41">
        <f>dagwerk6</f>
        <v>0</v>
      </c>
      <c r="O199" s="103" t="s">
        <v>105</v>
      </c>
      <c r="P199" s="26">
        <f>uurtarief6</f>
        <v>0</v>
      </c>
      <c r="Q199" s="105" t="e">
        <f>IF(ISBLANK(M199),0,L199/ROUND(M199,4))</f>
        <v>#DIV/0!</v>
      </c>
      <c r="R199" s="105" t="e">
        <f>IF(ISBLANK(M199),0,Q199*ROUND(N199,2))</f>
        <v>#DIV/0!</v>
      </c>
      <c r="S199" s="26" t="e">
        <f>ROUND(P199,2)*Q199</f>
        <v>#DIV/0!</v>
      </c>
      <c r="T199" s="105" t="e">
        <f>Q199*dagenperjaar1</f>
        <v>#DIV/0!</v>
      </c>
      <c r="U199" s="27" t="e">
        <f>T199*ROUND(P199,2)</f>
        <v>#DIV/0!</v>
      </c>
    </row>
    <row r="200" spans="1:21" x14ac:dyDescent="0.2">
      <c r="A200" s="102" t="s">
        <v>243</v>
      </c>
      <c r="B200" s="103" t="s">
        <v>43</v>
      </c>
      <c r="C200" s="103" t="s">
        <v>400</v>
      </c>
      <c r="D200" s="103" t="s">
        <v>437</v>
      </c>
      <c r="E200" s="104" t="s">
        <v>306</v>
      </c>
      <c r="F200" s="103" t="s">
        <v>247</v>
      </c>
      <c r="G200" s="103" t="s">
        <v>197</v>
      </c>
      <c r="H200" s="103" t="s">
        <v>15</v>
      </c>
      <c r="I200" s="103" t="s">
        <v>183</v>
      </c>
      <c r="J200" s="103"/>
      <c r="K200" s="105">
        <v>52</v>
      </c>
      <c r="L200" s="105">
        <f>K200*VLOOKUP(H200,dagsoorttabel1,2,FALSE)</f>
        <v>26</v>
      </c>
      <c r="M200" s="106">
        <f>prodnorm15</f>
        <v>0</v>
      </c>
      <c r="N200" s="41">
        <f>dagwerk15</f>
        <v>0</v>
      </c>
      <c r="O200" s="103" t="s">
        <v>105</v>
      </c>
      <c r="P200" s="26">
        <f>uurtarief15</f>
        <v>0</v>
      </c>
      <c r="Q200" s="105" t="e">
        <f>IF(ISBLANK(M200),0,L200/ROUND(M200,4))</f>
        <v>#DIV/0!</v>
      </c>
      <c r="R200" s="105" t="e">
        <f>IF(ISBLANK(M200),0,Q200*ROUND(N200,2))</f>
        <v>#DIV/0!</v>
      </c>
      <c r="S200" s="26" t="e">
        <f>ROUND(P200,2)*Q200</f>
        <v>#DIV/0!</v>
      </c>
      <c r="T200" s="105" t="e">
        <f>Q200*dagenperjaar1</f>
        <v>#DIV/0!</v>
      </c>
      <c r="U200" s="27" t="e">
        <f>T200*ROUND(P200,2)</f>
        <v>#DIV/0!</v>
      </c>
    </row>
    <row r="201" spans="1:21" x14ac:dyDescent="0.2">
      <c r="A201" s="102" t="s">
        <v>243</v>
      </c>
      <c r="B201" s="103" t="s">
        <v>43</v>
      </c>
      <c r="C201" s="103" t="s">
        <v>400</v>
      </c>
      <c r="D201" s="103" t="s">
        <v>438</v>
      </c>
      <c r="E201" s="104" t="s">
        <v>435</v>
      </c>
      <c r="F201" s="103" t="s">
        <v>247</v>
      </c>
      <c r="G201" s="103" t="s">
        <v>228</v>
      </c>
      <c r="H201" s="103" t="s">
        <v>15</v>
      </c>
      <c r="I201" s="103" t="s">
        <v>222</v>
      </c>
      <c r="J201" s="103"/>
      <c r="K201" s="105">
        <v>67.2</v>
      </c>
      <c r="L201" s="105">
        <f>K201*VLOOKUP(H201,dagsoorttabel1,2,FALSE)</f>
        <v>33.6</v>
      </c>
      <c r="M201" s="106">
        <f>prodnorm6</f>
        <v>0</v>
      </c>
      <c r="N201" s="41">
        <f>dagwerk6</f>
        <v>0</v>
      </c>
      <c r="O201" s="103" t="s">
        <v>105</v>
      </c>
      <c r="P201" s="26">
        <f>uurtarief6</f>
        <v>0</v>
      </c>
      <c r="Q201" s="105" t="e">
        <f>IF(ISBLANK(M201),0,L201/ROUND(M201,4))</f>
        <v>#DIV/0!</v>
      </c>
      <c r="R201" s="105" t="e">
        <f>IF(ISBLANK(M201),0,Q201*ROUND(N201,2))</f>
        <v>#DIV/0!</v>
      </c>
      <c r="S201" s="26" t="e">
        <f>ROUND(P201,2)*Q201</f>
        <v>#DIV/0!</v>
      </c>
      <c r="T201" s="105" t="e">
        <f>Q201*dagenperjaar1</f>
        <v>#DIV/0!</v>
      </c>
      <c r="U201" s="27" t="e">
        <f>T201*ROUND(P201,2)</f>
        <v>#DIV/0!</v>
      </c>
    </row>
    <row r="202" spans="1:21" x14ac:dyDescent="0.2">
      <c r="A202" s="102" t="s">
        <v>243</v>
      </c>
      <c r="B202" s="103" t="s">
        <v>43</v>
      </c>
      <c r="C202" s="103" t="s">
        <v>400</v>
      </c>
      <c r="D202" s="103" t="s">
        <v>438</v>
      </c>
      <c r="E202" s="104" t="s">
        <v>435</v>
      </c>
      <c r="F202" s="103" t="s">
        <v>247</v>
      </c>
      <c r="G202" s="103" t="s">
        <v>197</v>
      </c>
      <c r="H202" s="103" t="s">
        <v>15</v>
      </c>
      <c r="I202" s="103" t="s">
        <v>183</v>
      </c>
      <c r="J202" s="103"/>
      <c r="K202" s="105">
        <v>67.2</v>
      </c>
      <c r="L202" s="105">
        <f>K202*VLOOKUP(H202,dagsoorttabel1,2,FALSE)</f>
        <v>33.6</v>
      </c>
      <c r="M202" s="106">
        <f>prodnorm15</f>
        <v>0</v>
      </c>
      <c r="N202" s="41">
        <f>dagwerk15</f>
        <v>0</v>
      </c>
      <c r="O202" s="103" t="s">
        <v>105</v>
      </c>
      <c r="P202" s="26">
        <f>uurtarief15</f>
        <v>0</v>
      </c>
      <c r="Q202" s="105" t="e">
        <f>IF(ISBLANK(M202),0,L202/ROUND(M202,4))</f>
        <v>#DIV/0!</v>
      </c>
      <c r="R202" s="105" t="e">
        <f>IF(ISBLANK(M202),0,Q202*ROUND(N202,2))</f>
        <v>#DIV/0!</v>
      </c>
      <c r="S202" s="26" t="e">
        <f>ROUND(P202,2)*Q202</f>
        <v>#DIV/0!</v>
      </c>
      <c r="T202" s="105" t="e">
        <f>Q202*dagenperjaar1</f>
        <v>#DIV/0!</v>
      </c>
      <c r="U202" s="27" t="e">
        <f>T202*ROUND(P202,2)</f>
        <v>#DIV/0!</v>
      </c>
    </row>
    <row r="203" spans="1:21" x14ac:dyDescent="0.2">
      <c r="A203" s="102" t="s">
        <v>243</v>
      </c>
      <c r="B203" s="103" t="s">
        <v>43</v>
      </c>
      <c r="C203" s="103" t="s">
        <v>400</v>
      </c>
      <c r="D203" s="103" t="s">
        <v>439</v>
      </c>
      <c r="E203" s="104" t="s">
        <v>435</v>
      </c>
      <c r="F203" s="103" t="s">
        <v>247</v>
      </c>
      <c r="G203" s="103" t="s">
        <v>228</v>
      </c>
      <c r="H203" s="103" t="s">
        <v>15</v>
      </c>
      <c r="I203" s="103" t="s">
        <v>222</v>
      </c>
      <c r="J203" s="103"/>
      <c r="K203" s="105">
        <v>66.7</v>
      </c>
      <c r="L203" s="105">
        <f>K203*VLOOKUP(H203,dagsoorttabel1,2,FALSE)</f>
        <v>33.35</v>
      </c>
      <c r="M203" s="106">
        <f>prodnorm6</f>
        <v>0</v>
      </c>
      <c r="N203" s="41">
        <f>dagwerk6</f>
        <v>0</v>
      </c>
      <c r="O203" s="103" t="s">
        <v>105</v>
      </c>
      <c r="P203" s="26">
        <f>uurtarief6</f>
        <v>0</v>
      </c>
      <c r="Q203" s="105" t="e">
        <f>IF(ISBLANK(M203),0,L203/ROUND(M203,4))</f>
        <v>#DIV/0!</v>
      </c>
      <c r="R203" s="105" t="e">
        <f>IF(ISBLANK(M203),0,Q203*ROUND(N203,2))</f>
        <v>#DIV/0!</v>
      </c>
      <c r="S203" s="26" t="e">
        <f>ROUND(P203,2)*Q203</f>
        <v>#DIV/0!</v>
      </c>
      <c r="T203" s="105" t="e">
        <f>Q203*dagenperjaar1</f>
        <v>#DIV/0!</v>
      </c>
      <c r="U203" s="27" t="e">
        <f>T203*ROUND(P203,2)</f>
        <v>#DIV/0!</v>
      </c>
    </row>
    <row r="204" spans="1:21" x14ac:dyDescent="0.2">
      <c r="A204" s="102" t="s">
        <v>243</v>
      </c>
      <c r="B204" s="103" t="s">
        <v>43</v>
      </c>
      <c r="C204" s="103" t="s">
        <v>400</v>
      </c>
      <c r="D204" s="103" t="s">
        <v>439</v>
      </c>
      <c r="E204" s="104" t="s">
        <v>435</v>
      </c>
      <c r="F204" s="103" t="s">
        <v>247</v>
      </c>
      <c r="G204" s="103" t="s">
        <v>197</v>
      </c>
      <c r="H204" s="103" t="s">
        <v>15</v>
      </c>
      <c r="I204" s="103" t="s">
        <v>183</v>
      </c>
      <c r="J204" s="103"/>
      <c r="K204" s="105">
        <v>66.7</v>
      </c>
      <c r="L204" s="105">
        <f>K204*VLOOKUP(H204,dagsoorttabel1,2,FALSE)</f>
        <v>33.35</v>
      </c>
      <c r="M204" s="106">
        <f>prodnorm15</f>
        <v>0</v>
      </c>
      <c r="N204" s="41">
        <f>dagwerk15</f>
        <v>0</v>
      </c>
      <c r="O204" s="103" t="s">
        <v>105</v>
      </c>
      <c r="P204" s="26">
        <f>uurtarief15</f>
        <v>0</v>
      </c>
      <c r="Q204" s="105" t="e">
        <f>IF(ISBLANK(M204),0,L204/ROUND(M204,4))</f>
        <v>#DIV/0!</v>
      </c>
      <c r="R204" s="105" t="e">
        <f>IF(ISBLANK(M204),0,Q204*ROUND(N204,2))</f>
        <v>#DIV/0!</v>
      </c>
      <c r="S204" s="26" t="e">
        <f>ROUND(P204,2)*Q204</f>
        <v>#DIV/0!</v>
      </c>
      <c r="T204" s="105" t="e">
        <f>Q204*dagenperjaar1</f>
        <v>#DIV/0!</v>
      </c>
      <c r="U204" s="27" t="e">
        <f>T204*ROUND(P204,2)</f>
        <v>#DIV/0!</v>
      </c>
    </row>
    <row r="205" spans="1:21" x14ac:dyDescent="0.2">
      <c r="A205" s="102" t="s">
        <v>243</v>
      </c>
      <c r="B205" s="103" t="s">
        <v>43</v>
      </c>
      <c r="C205" s="103" t="s">
        <v>400</v>
      </c>
      <c r="D205" s="103" t="s">
        <v>440</v>
      </c>
      <c r="E205" s="104" t="s">
        <v>435</v>
      </c>
      <c r="F205" s="103" t="s">
        <v>247</v>
      </c>
      <c r="G205" s="103" t="s">
        <v>228</v>
      </c>
      <c r="H205" s="103" t="s">
        <v>15</v>
      </c>
      <c r="I205" s="103" t="s">
        <v>222</v>
      </c>
      <c r="J205" s="103"/>
      <c r="K205" s="105">
        <v>66.7</v>
      </c>
      <c r="L205" s="105">
        <f>K205*VLOOKUP(H205,dagsoorttabel1,2,FALSE)</f>
        <v>33.35</v>
      </c>
      <c r="M205" s="106">
        <f>prodnorm6</f>
        <v>0</v>
      </c>
      <c r="N205" s="41">
        <f>dagwerk6</f>
        <v>0</v>
      </c>
      <c r="O205" s="103" t="s">
        <v>105</v>
      </c>
      <c r="P205" s="26">
        <f>uurtarief6</f>
        <v>0</v>
      </c>
      <c r="Q205" s="105" t="e">
        <f>IF(ISBLANK(M205),0,L205/ROUND(M205,4))</f>
        <v>#DIV/0!</v>
      </c>
      <c r="R205" s="105" t="e">
        <f>IF(ISBLANK(M205),0,Q205*ROUND(N205,2))</f>
        <v>#DIV/0!</v>
      </c>
      <c r="S205" s="26" t="e">
        <f>ROUND(P205,2)*Q205</f>
        <v>#DIV/0!</v>
      </c>
      <c r="T205" s="105" t="e">
        <f>Q205*dagenperjaar1</f>
        <v>#DIV/0!</v>
      </c>
      <c r="U205" s="27" t="e">
        <f>T205*ROUND(P205,2)</f>
        <v>#DIV/0!</v>
      </c>
    </row>
    <row r="206" spans="1:21" x14ac:dyDescent="0.2">
      <c r="A206" s="102" t="s">
        <v>243</v>
      </c>
      <c r="B206" s="103" t="s">
        <v>43</v>
      </c>
      <c r="C206" s="103" t="s">
        <v>400</v>
      </c>
      <c r="D206" s="103" t="s">
        <v>440</v>
      </c>
      <c r="E206" s="104" t="s">
        <v>435</v>
      </c>
      <c r="F206" s="103" t="s">
        <v>247</v>
      </c>
      <c r="G206" s="103" t="s">
        <v>197</v>
      </c>
      <c r="H206" s="103" t="s">
        <v>15</v>
      </c>
      <c r="I206" s="103" t="s">
        <v>183</v>
      </c>
      <c r="J206" s="103"/>
      <c r="K206" s="105">
        <v>66.7</v>
      </c>
      <c r="L206" s="105">
        <f>K206*VLOOKUP(H206,dagsoorttabel1,2,FALSE)</f>
        <v>33.35</v>
      </c>
      <c r="M206" s="106">
        <f>prodnorm15</f>
        <v>0</v>
      </c>
      <c r="N206" s="41">
        <f>dagwerk15</f>
        <v>0</v>
      </c>
      <c r="O206" s="103" t="s">
        <v>105</v>
      </c>
      <c r="P206" s="26">
        <f>uurtarief15</f>
        <v>0</v>
      </c>
      <c r="Q206" s="105" t="e">
        <f>IF(ISBLANK(M206),0,L206/ROUND(M206,4))</f>
        <v>#DIV/0!</v>
      </c>
      <c r="R206" s="105" t="e">
        <f>IF(ISBLANK(M206),0,Q206*ROUND(N206,2))</f>
        <v>#DIV/0!</v>
      </c>
      <c r="S206" s="26" t="e">
        <f>ROUND(P206,2)*Q206</f>
        <v>#DIV/0!</v>
      </c>
      <c r="T206" s="105" t="e">
        <f>Q206*dagenperjaar1</f>
        <v>#DIV/0!</v>
      </c>
      <c r="U206" s="27" t="e">
        <f>T206*ROUND(P206,2)</f>
        <v>#DIV/0!</v>
      </c>
    </row>
    <row r="207" spans="1:21" x14ac:dyDescent="0.2">
      <c r="A207" s="102" t="s">
        <v>243</v>
      </c>
      <c r="B207" s="103" t="s">
        <v>43</v>
      </c>
      <c r="C207" s="103" t="s">
        <v>400</v>
      </c>
      <c r="D207" s="103" t="s">
        <v>441</v>
      </c>
      <c r="E207" s="104" t="s">
        <v>442</v>
      </c>
      <c r="F207" s="103" t="s">
        <v>258</v>
      </c>
      <c r="G207" s="103" t="s">
        <v>228</v>
      </c>
      <c r="H207" s="103" t="s">
        <v>15</v>
      </c>
      <c r="I207" s="103" t="s">
        <v>222</v>
      </c>
      <c r="J207" s="103"/>
      <c r="K207" s="105">
        <v>20.8</v>
      </c>
      <c r="L207" s="105">
        <f>K207*VLOOKUP(H207,dagsoorttabel1,2,FALSE)</f>
        <v>10.4</v>
      </c>
      <c r="M207" s="106">
        <f>prodnorm6</f>
        <v>0</v>
      </c>
      <c r="N207" s="41">
        <f>dagwerk6</f>
        <v>0</v>
      </c>
      <c r="O207" s="103" t="s">
        <v>105</v>
      </c>
      <c r="P207" s="26">
        <f>uurtarief6</f>
        <v>0</v>
      </c>
      <c r="Q207" s="105" t="e">
        <f>IF(ISBLANK(M207),0,L207/ROUND(M207,4))</f>
        <v>#DIV/0!</v>
      </c>
      <c r="R207" s="105" t="e">
        <f>IF(ISBLANK(M207),0,Q207*ROUND(N207,2))</f>
        <v>#DIV/0!</v>
      </c>
      <c r="S207" s="26" t="e">
        <f>ROUND(P207,2)*Q207</f>
        <v>#DIV/0!</v>
      </c>
      <c r="T207" s="105" t="e">
        <f>Q207*dagenperjaar1</f>
        <v>#DIV/0!</v>
      </c>
      <c r="U207" s="27" t="e">
        <f>T207*ROUND(P207,2)</f>
        <v>#DIV/0!</v>
      </c>
    </row>
    <row r="208" spans="1:21" x14ac:dyDescent="0.2">
      <c r="A208" s="102" t="s">
        <v>243</v>
      </c>
      <c r="B208" s="103" t="s">
        <v>43</v>
      </c>
      <c r="C208" s="103" t="s">
        <v>400</v>
      </c>
      <c r="D208" s="103" t="s">
        <v>441</v>
      </c>
      <c r="E208" s="104" t="s">
        <v>442</v>
      </c>
      <c r="F208" s="103" t="s">
        <v>258</v>
      </c>
      <c r="G208" s="103" t="s">
        <v>189</v>
      </c>
      <c r="H208" s="103" t="s">
        <v>15</v>
      </c>
      <c r="I208" s="103" t="s">
        <v>183</v>
      </c>
      <c r="J208" s="103"/>
      <c r="K208" s="105">
        <v>20.8</v>
      </c>
      <c r="L208" s="105">
        <f>K208*VLOOKUP(H208,dagsoorttabel1,2,FALSE)</f>
        <v>10.4</v>
      </c>
      <c r="M208" s="106">
        <f>prodnorm10</f>
        <v>0</v>
      </c>
      <c r="N208" s="41">
        <f>dagwerk10</f>
        <v>0</v>
      </c>
      <c r="O208" s="103" t="s">
        <v>105</v>
      </c>
      <c r="P208" s="26">
        <f>uurtarief10</f>
        <v>0</v>
      </c>
      <c r="Q208" s="105" t="e">
        <f>IF(ISBLANK(M208),0,L208/ROUND(M208,4))</f>
        <v>#DIV/0!</v>
      </c>
      <c r="R208" s="105" t="e">
        <f>IF(ISBLANK(M208),0,Q208*ROUND(N208,2))</f>
        <v>#DIV/0!</v>
      </c>
      <c r="S208" s="26" t="e">
        <f>ROUND(P208,2)*Q208</f>
        <v>#DIV/0!</v>
      </c>
      <c r="T208" s="105" t="e">
        <f>Q208*dagenperjaar1</f>
        <v>#DIV/0!</v>
      </c>
      <c r="U208" s="27" t="e">
        <f>T208*ROUND(P208,2)</f>
        <v>#DIV/0!</v>
      </c>
    </row>
    <row r="209" spans="1:21" x14ac:dyDescent="0.2">
      <c r="A209" s="102" t="s">
        <v>243</v>
      </c>
      <c r="B209" s="103" t="s">
        <v>43</v>
      </c>
      <c r="C209" s="103" t="s">
        <v>400</v>
      </c>
      <c r="D209" s="103" t="s">
        <v>443</v>
      </c>
      <c r="E209" s="104" t="s">
        <v>442</v>
      </c>
      <c r="F209" s="103" t="s">
        <v>258</v>
      </c>
      <c r="G209" s="103" t="s">
        <v>228</v>
      </c>
      <c r="H209" s="103" t="s">
        <v>15</v>
      </c>
      <c r="I209" s="103" t="s">
        <v>222</v>
      </c>
      <c r="J209" s="103"/>
      <c r="K209" s="105">
        <v>20.3</v>
      </c>
      <c r="L209" s="105">
        <f>K209*VLOOKUP(H209,dagsoorttabel1,2,FALSE)</f>
        <v>10.15</v>
      </c>
      <c r="M209" s="106">
        <f>prodnorm6</f>
        <v>0</v>
      </c>
      <c r="N209" s="41">
        <f>dagwerk6</f>
        <v>0</v>
      </c>
      <c r="O209" s="103" t="s">
        <v>105</v>
      </c>
      <c r="P209" s="26">
        <f>uurtarief6</f>
        <v>0</v>
      </c>
      <c r="Q209" s="105" t="e">
        <f>IF(ISBLANK(M209),0,L209/ROUND(M209,4))</f>
        <v>#DIV/0!</v>
      </c>
      <c r="R209" s="105" t="e">
        <f>IF(ISBLANK(M209),0,Q209*ROUND(N209,2))</f>
        <v>#DIV/0!</v>
      </c>
      <c r="S209" s="26" t="e">
        <f>ROUND(P209,2)*Q209</f>
        <v>#DIV/0!</v>
      </c>
      <c r="T209" s="105" t="e">
        <f>Q209*dagenperjaar1</f>
        <v>#DIV/0!</v>
      </c>
      <c r="U209" s="27" t="e">
        <f>T209*ROUND(P209,2)</f>
        <v>#DIV/0!</v>
      </c>
    </row>
    <row r="210" spans="1:21" x14ac:dyDescent="0.2">
      <c r="A210" s="102" t="s">
        <v>243</v>
      </c>
      <c r="B210" s="103" t="s">
        <v>43</v>
      </c>
      <c r="C210" s="103" t="s">
        <v>400</v>
      </c>
      <c r="D210" s="103" t="s">
        <v>443</v>
      </c>
      <c r="E210" s="104" t="s">
        <v>442</v>
      </c>
      <c r="F210" s="103" t="s">
        <v>258</v>
      </c>
      <c r="G210" s="103" t="s">
        <v>189</v>
      </c>
      <c r="H210" s="103" t="s">
        <v>15</v>
      </c>
      <c r="I210" s="103" t="s">
        <v>183</v>
      </c>
      <c r="J210" s="103"/>
      <c r="K210" s="105">
        <v>20.3</v>
      </c>
      <c r="L210" s="105">
        <f>K210*VLOOKUP(H210,dagsoorttabel1,2,FALSE)</f>
        <v>10.15</v>
      </c>
      <c r="M210" s="106">
        <f>prodnorm10</f>
        <v>0</v>
      </c>
      <c r="N210" s="41">
        <f>dagwerk10</f>
        <v>0</v>
      </c>
      <c r="O210" s="103" t="s">
        <v>105</v>
      </c>
      <c r="P210" s="26">
        <f>uurtarief10</f>
        <v>0</v>
      </c>
      <c r="Q210" s="105" t="e">
        <f>IF(ISBLANK(M210),0,L210/ROUND(M210,4))</f>
        <v>#DIV/0!</v>
      </c>
      <c r="R210" s="105" t="e">
        <f>IF(ISBLANK(M210),0,Q210*ROUND(N210,2))</f>
        <v>#DIV/0!</v>
      </c>
      <c r="S210" s="26" t="e">
        <f>ROUND(P210,2)*Q210</f>
        <v>#DIV/0!</v>
      </c>
      <c r="T210" s="105" t="e">
        <f>Q210*dagenperjaar1</f>
        <v>#DIV/0!</v>
      </c>
      <c r="U210" s="27" t="e">
        <f>T210*ROUND(P210,2)</f>
        <v>#DIV/0!</v>
      </c>
    </row>
    <row r="211" spans="1:21" x14ac:dyDescent="0.2">
      <c r="A211" s="102" t="s">
        <v>243</v>
      </c>
      <c r="B211" s="103" t="s">
        <v>43</v>
      </c>
      <c r="C211" s="103" t="s">
        <v>400</v>
      </c>
      <c r="D211" s="103" t="s">
        <v>444</v>
      </c>
      <c r="E211" s="104" t="s">
        <v>445</v>
      </c>
      <c r="F211" s="103" t="s">
        <v>258</v>
      </c>
      <c r="G211" s="103" t="s">
        <v>228</v>
      </c>
      <c r="H211" s="103" t="s">
        <v>15</v>
      </c>
      <c r="I211" s="103" t="s">
        <v>222</v>
      </c>
      <c r="J211" s="103"/>
      <c r="K211" s="105">
        <v>30.1</v>
      </c>
      <c r="L211" s="105">
        <f>K211*VLOOKUP(H211,dagsoorttabel1,2,FALSE)</f>
        <v>15.05</v>
      </c>
      <c r="M211" s="106">
        <f>prodnorm6</f>
        <v>0</v>
      </c>
      <c r="N211" s="41">
        <f>dagwerk6</f>
        <v>0</v>
      </c>
      <c r="O211" s="103" t="s">
        <v>105</v>
      </c>
      <c r="P211" s="26">
        <f>uurtarief6</f>
        <v>0</v>
      </c>
      <c r="Q211" s="105" t="e">
        <f>IF(ISBLANK(M211),0,L211/ROUND(M211,4))</f>
        <v>#DIV/0!</v>
      </c>
      <c r="R211" s="105" t="e">
        <f>IF(ISBLANK(M211),0,Q211*ROUND(N211,2))</f>
        <v>#DIV/0!</v>
      </c>
      <c r="S211" s="26" t="e">
        <f>ROUND(P211,2)*Q211</f>
        <v>#DIV/0!</v>
      </c>
      <c r="T211" s="105" t="e">
        <f>Q211*dagenperjaar1</f>
        <v>#DIV/0!</v>
      </c>
      <c r="U211" s="27" t="e">
        <f>T211*ROUND(P211,2)</f>
        <v>#DIV/0!</v>
      </c>
    </row>
    <row r="212" spans="1:21" x14ac:dyDescent="0.2">
      <c r="A212" s="102" t="s">
        <v>243</v>
      </c>
      <c r="B212" s="103" t="s">
        <v>43</v>
      </c>
      <c r="C212" s="103" t="s">
        <v>400</v>
      </c>
      <c r="D212" s="103" t="s">
        <v>444</v>
      </c>
      <c r="E212" s="104" t="s">
        <v>445</v>
      </c>
      <c r="F212" s="103" t="s">
        <v>258</v>
      </c>
      <c r="G212" s="103" t="s">
        <v>189</v>
      </c>
      <c r="H212" s="103" t="s">
        <v>15</v>
      </c>
      <c r="I212" s="103" t="s">
        <v>183</v>
      </c>
      <c r="J212" s="103"/>
      <c r="K212" s="105">
        <v>30.1</v>
      </c>
      <c r="L212" s="105">
        <f>K212*VLOOKUP(H212,dagsoorttabel1,2,FALSE)</f>
        <v>15.05</v>
      </c>
      <c r="M212" s="106">
        <f>prodnorm10</f>
        <v>0</v>
      </c>
      <c r="N212" s="41">
        <f>dagwerk10</f>
        <v>0</v>
      </c>
      <c r="O212" s="103" t="s">
        <v>105</v>
      </c>
      <c r="P212" s="26">
        <f>uurtarief10</f>
        <v>0</v>
      </c>
      <c r="Q212" s="105" t="e">
        <f>IF(ISBLANK(M212),0,L212/ROUND(M212,4))</f>
        <v>#DIV/0!</v>
      </c>
      <c r="R212" s="105" t="e">
        <f>IF(ISBLANK(M212),0,Q212*ROUND(N212,2))</f>
        <v>#DIV/0!</v>
      </c>
      <c r="S212" s="26" t="e">
        <f>ROUND(P212,2)*Q212</f>
        <v>#DIV/0!</v>
      </c>
      <c r="T212" s="105" t="e">
        <f>Q212*dagenperjaar1</f>
        <v>#DIV/0!</v>
      </c>
      <c r="U212" s="27" t="e">
        <f>T212*ROUND(P212,2)</f>
        <v>#DIV/0!</v>
      </c>
    </row>
    <row r="213" spans="1:21" x14ac:dyDescent="0.2">
      <c r="A213" s="102" t="s">
        <v>243</v>
      </c>
      <c r="B213" s="103" t="s">
        <v>43</v>
      </c>
      <c r="C213" s="103" t="s">
        <v>400</v>
      </c>
      <c r="D213" s="103" t="s">
        <v>446</v>
      </c>
      <c r="E213" s="104" t="s">
        <v>447</v>
      </c>
      <c r="F213" s="103" t="s">
        <v>258</v>
      </c>
      <c r="G213" s="103" t="s">
        <v>228</v>
      </c>
      <c r="H213" s="103" t="s">
        <v>15</v>
      </c>
      <c r="I213" s="103" t="s">
        <v>222</v>
      </c>
      <c r="J213" s="103"/>
      <c r="K213" s="105">
        <v>18.600000000000001</v>
      </c>
      <c r="L213" s="105">
        <f>K213*VLOOKUP(H213,dagsoorttabel1,2,FALSE)</f>
        <v>9.3000000000000007</v>
      </c>
      <c r="M213" s="106">
        <f>prodnorm6</f>
        <v>0</v>
      </c>
      <c r="N213" s="41">
        <f>dagwerk6</f>
        <v>0</v>
      </c>
      <c r="O213" s="103" t="s">
        <v>105</v>
      </c>
      <c r="P213" s="26">
        <f>uurtarief6</f>
        <v>0</v>
      </c>
      <c r="Q213" s="105" t="e">
        <f>IF(ISBLANK(M213),0,L213/ROUND(M213,4))</f>
        <v>#DIV/0!</v>
      </c>
      <c r="R213" s="105" t="e">
        <f>IF(ISBLANK(M213),0,Q213*ROUND(N213,2))</f>
        <v>#DIV/0!</v>
      </c>
      <c r="S213" s="26" t="e">
        <f>ROUND(P213,2)*Q213</f>
        <v>#DIV/0!</v>
      </c>
      <c r="T213" s="105" t="e">
        <f>Q213*dagenperjaar1</f>
        <v>#DIV/0!</v>
      </c>
      <c r="U213" s="27" t="e">
        <f>T213*ROUND(P213,2)</f>
        <v>#DIV/0!</v>
      </c>
    </row>
    <row r="214" spans="1:21" x14ac:dyDescent="0.2">
      <c r="A214" s="102" t="s">
        <v>243</v>
      </c>
      <c r="B214" s="103" t="s">
        <v>43</v>
      </c>
      <c r="C214" s="103" t="s">
        <v>400</v>
      </c>
      <c r="D214" s="103" t="s">
        <v>446</v>
      </c>
      <c r="E214" s="104" t="s">
        <v>447</v>
      </c>
      <c r="F214" s="103" t="s">
        <v>258</v>
      </c>
      <c r="G214" s="103" t="s">
        <v>189</v>
      </c>
      <c r="H214" s="103" t="s">
        <v>15</v>
      </c>
      <c r="I214" s="103" t="s">
        <v>183</v>
      </c>
      <c r="J214" s="103"/>
      <c r="K214" s="105">
        <v>18.600000000000001</v>
      </c>
      <c r="L214" s="105">
        <f>K214*VLOOKUP(H214,dagsoorttabel1,2,FALSE)</f>
        <v>9.3000000000000007</v>
      </c>
      <c r="M214" s="106">
        <f>prodnorm10</f>
        <v>0</v>
      </c>
      <c r="N214" s="41">
        <f>dagwerk10</f>
        <v>0</v>
      </c>
      <c r="O214" s="103" t="s">
        <v>105</v>
      </c>
      <c r="P214" s="26">
        <f>uurtarief10</f>
        <v>0</v>
      </c>
      <c r="Q214" s="105" t="e">
        <f>IF(ISBLANK(M214),0,L214/ROUND(M214,4))</f>
        <v>#DIV/0!</v>
      </c>
      <c r="R214" s="105" t="e">
        <f>IF(ISBLANK(M214),0,Q214*ROUND(N214,2))</f>
        <v>#DIV/0!</v>
      </c>
      <c r="S214" s="26" t="e">
        <f>ROUND(P214,2)*Q214</f>
        <v>#DIV/0!</v>
      </c>
      <c r="T214" s="105" t="e">
        <f>Q214*dagenperjaar1</f>
        <v>#DIV/0!</v>
      </c>
      <c r="U214" s="27" t="e">
        <f>T214*ROUND(P214,2)</f>
        <v>#DIV/0!</v>
      </c>
    </row>
    <row r="215" spans="1:21" x14ac:dyDescent="0.2">
      <c r="A215" s="102" t="s">
        <v>243</v>
      </c>
      <c r="B215" s="103" t="s">
        <v>43</v>
      </c>
      <c r="C215" s="103" t="s">
        <v>400</v>
      </c>
      <c r="D215" s="103" t="s">
        <v>448</v>
      </c>
      <c r="E215" s="104" t="s">
        <v>449</v>
      </c>
      <c r="F215" s="103" t="s">
        <v>258</v>
      </c>
      <c r="G215" s="103" t="s">
        <v>219</v>
      </c>
      <c r="H215" s="103" t="s">
        <v>12</v>
      </c>
      <c r="I215" s="103" t="s">
        <v>183</v>
      </c>
      <c r="J215" s="103"/>
      <c r="K215" s="105">
        <v>32.799999999999997</v>
      </c>
      <c r="L215" s="105">
        <f>K215*VLOOKUP(H215,dagsoorttabel1,2,FALSE)</f>
        <v>32.799999999999997</v>
      </c>
      <c r="M215" s="106">
        <f>prodnorm28</f>
        <v>0</v>
      </c>
      <c r="N215" s="41">
        <f>dagwerk28</f>
        <v>0</v>
      </c>
      <c r="O215" s="103" t="s">
        <v>105</v>
      </c>
      <c r="P215" s="26">
        <f>uurtarief28</f>
        <v>0</v>
      </c>
      <c r="Q215" s="105" t="e">
        <f>IF(ISBLANK(M215),0,L215/ROUND(M215,4))</f>
        <v>#DIV/0!</v>
      </c>
      <c r="R215" s="105" t="e">
        <f>IF(ISBLANK(M215),0,Q215*ROUND(N215,2))</f>
        <v>#DIV/0!</v>
      </c>
      <c r="S215" s="26" t="e">
        <f>ROUND(P215,2)*Q215</f>
        <v>#DIV/0!</v>
      </c>
      <c r="T215" s="105" t="e">
        <f>Q215*dagenperjaar1</f>
        <v>#DIV/0!</v>
      </c>
      <c r="U215" s="27" t="e">
        <f>T215*ROUND(P215,2)</f>
        <v>#DIV/0!</v>
      </c>
    </row>
    <row r="216" spans="1:21" x14ac:dyDescent="0.2">
      <c r="A216" s="102" t="s">
        <v>243</v>
      </c>
      <c r="B216" s="103" t="s">
        <v>43</v>
      </c>
      <c r="C216" s="103" t="s">
        <v>400</v>
      </c>
      <c r="D216" s="103" t="s">
        <v>450</v>
      </c>
      <c r="E216" s="104" t="s">
        <v>449</v>
      </c>
      <c r="F216" s="103" t="s">
        <v>247</v>
      </c>
      <c r="G216" s="103" t="s">
        <v>217</v>
      </c>
      <c r="H216" s="103" t="s">
        <v>12</v>
      </c>
      <c r="I216" s="103" t="s">
        <v>183</v>
      </c>
      <c r="J216" s="103"/>
      <c r="K216" s="105">
        <v>20.2</v>
      </c>
      <c r="L216" s="105">
        <f>K216*VLOOKUP(H216,dagsoorttabel1,2,FALSE)</f>
        <v>20.2</v>
      </c>
      <c r="M216" s="106">
        <f>prodnorm27</f>
        <v>0</v>
      </c>
      <c r="N216" s="41">
        <f>dagwerk27</f>
        <v>0</v>
      </c>
      <c r="O216" s="103" t="s">
        <v>105</v>
      </c>
      <c r="P216" s="26">
        <f>uurtarief27</f>
        <v>0</v>
      </c>
      <c r="Q216" s="105" t="e">
        <f>IF(ISBLANK(M216),0,L216/ROUND(M216,4))</f>
        <v>#DIV/0!</v>
      </c>
      <c r="R216" s="105" t="e">
        <f>IF(ISBLANK(M216),0,Q216*ROUND(N216,2))</f>
        <v>#DIV/0!</v>
      </c>
      <c r="S216" s="26" t="e">
        <f>ROUND(P216,2)*Q216</f>
        <v>#DIV/0!</v>
      </c>
      <c r="T216" s="105" t="e">
        <f>Q216*dagenperjaar1</f>
        <v>#DIV/0!</v>
      </c>
      <c r="U216" s="27" t="e">
        <f>T216*ROUND(P216,2)</f>
        <v>#DIV/0!</v>
      </c>
    </row>
    <row r="217" spans="1:21" x14ac:dyDescent="0.2">
      <c r="A217" s="102" t="s">
        <v>243</v>
      </c>
      <c r="B217" s="103" t="s">
        <v>43</v>
      </c>
      <c r="C217" s="103" t="s">
        <v>400</v>
      </c>
      <c r="D217" s="103" t="s">
        <v>451</v>
      </c>
      <c r="E217" s="104" t="s">
        <v>449</v>
      </c>
      <c r="F217" s="103" t="s">
        <v>247</v>
      </c>
      <c r="G217" s="103" t="s">
        <v>217</v>
      </c>
      <c r="H217" s="103" t="s">
        <v>12</v>
      </c>
      <c r="I217" s="103" t="s">
        <v>183</v>
      </c>
      <c r="J217" s="103"/>
      <c r="K217" s="105">
        <v>85.7</v>
      </c>
      <c r="L217" s="105">
        <f>K217*VLOOKUP(H217,dagsoorttabel1,2,FALSE)</f>
        <v>85.7</v>
      </c>
      <c r="M217" s="106">
        <f>prodnorm27</f>
        <v>0</v>
      </c>
      <c r="N217" s="41">
        <f>dagwerk27</f>
        <v>0</v>
      </c>
      <c r="O217" s="103" t="s">
        <v>105</v>
      </c>
      <c r="P217" s="26">
        <f>uurtarief27</f>
        <v>0</v>
      </c>
      <c r="Q217" s="105" t="e">
        <f>IF(ISBLANK(M217),0,L217/ROUND(M217,4))</f>
        <v>#DIV/0!</v>
      </c>
      <c r="R217" s="105" t="e">
        <f>IF(ISBLANK(M217),0,Q217*ROUND(N217,2))</f>
        <v>#DIV/0!</v>
      </c>
      <c r="S217" s="26" t="e">
        <f>ROUND(P217,2)*Q217</f>
        <v>#DIV/0!</v>
      </c>
      <c r="T217" s="105" t="e">
        <f>Q217*dagenperjaar1</f>
        <v>#DIV/0!</v>
      </c>
      <c r="U217" s="27" t="e">
        <f>T217*ROUND(P217,2)</f>
        <v>#DIV/0!</v>
      </c>
    </row>
    <row r="218" spans="1:21" x14ac:dyDescent="0.2">
      <c r="A218" s="102" t="s">
        <v>243</v>
      </c>
      <c r="B218" s="103" t="s">
        <v>43</v>
      </c>
      <c r="C218" s="103" t="s">
        <v>400</v>
      </c>
      <c r="D218" s="103" t="s">
        <v>452</v>
      </c>
      <c r="E218" s="104" t="s">
        <v>453</v>
      </c>
      <c r="F218" s="103" t="s">
        <v>247</v>
      </c>
      <c r="G218" s="103" t="s">
        <v>215</v>
      </c>
      <c r="H218" s="103" t="s">
        <v>12</v>
      </c>
      <c r="I218" s="103" t="s">
        <v>183</v>
      </c>
      <c r="J218" s="103"/>
      <c r="K218" s="105">
        <v>2.6</v>
      </c>
      <c r="L218" s="105">
        <f>K218*VLOOKUP(H218,dagsoorttabel1,2,FALSE)</f>
        <v>2.6</v>
      </c>
      <c r="M218" s="106">
        <f>prodnorm26</f>
        <v>0</v>
      </c>
      <c r="N218" s="41">
        <f>dagwerk26</f>
        <v>0</v>
      </c>
      <c r="O218" s="103" t="s">
        <v>105</v>
      </c>
      <c r="P218" s="26">
        <f>uurtarief26</f>
        <v>0</v>
      </c>
      <c r="Q218" s="105" t="e">
        <f>IF(ISBLANK(M218),0,L218/ROUND(M218,4))</f>
        <v>#DIV/0!</v>
      </c>
      <c r="R218" s="105" t="e">
        <f>IF(ISBLANK(M218),0,Q218*ROUND(N218,2))</f>
        <v>#DIV/0!</v>
      </c>
      <c r="S218" s="26" t="e">
        <f>ROUND(P218,2)*Q218</f>
        <v>#DIV/0!</v>
      </c>
      <c r="T218" s="105" t="e">
        <f>Q218*dagenperjaar1</f>
        <v>#DIV/0!</v>
      </c>
      <c r="U218" s="27" t="e">
        <f>T218*ROUND(P218,2)</f>
        <v>#DIV/0!</v>
      </c>
    </row>
    <row r="219" spans="1:21" x14ac:dyDescent="0.2">
      <c r="A219" s="102" t="s">
        <v>243</v>
      </c>
      <c r="B219" s="103" t="s">
        <v>43</v>
      </c>
      <c r="C219" s="103" t="s">
        <v>400</v>
      </c>
      <c r="D219" s="103" t="s">
        <v>454</v>
      </c>
      <c r="E219" s="104" t="s">
        <v>455</v>
      </c>
      <c r="F219" s="103" t="s">
        <v>247</v>
      </c>
      <c r="G219" s="103" t="s">
        <v>215</v>
      </c>
      <c r="H219" s="103" t="s">
        <v>12</v>
      </c>
      <c r="I219" s="103" t="s">
        <v>183</v>
      </c>
      <c r="J219" s="103"/>
      <c r="K219" s="105">
        <v>21.5</v>
      </c>
      <c r="L219" s="105">
        <f>K219*VLOOKUP(H219,dagsoorttabel1,2,FALSE)</f>
        <v>21.5</v>
      </c>
      <c r="M219" s="106">
        <f>prodnorm26</f>
        <v>0</v>
      </c>
      <c r="N219" s="41">
        <f>dagwerk26</f>
        <v>0</v>
      </c>
      <c r="O219" s="103" t="s">
        <v>105</v>
      </c>
      <c r="P219" s="26">
        <f>uurtarief26</f>
        <v>0</v>
      </c>
      <c r="Q219" s="105" t="e">
        <f>IF(ISBLANK(M219),0,L219/ROUND(M219,4))</f>
        <v>#DIV/0!</v>
      </c>
      <c r="R219" s="105" t="e">
        <f>IF(ISBLANK(M219),0,Q219*ROUND(N219,2))</f>
        <v>#DIV/0!</v>
      </c>
      <c r="S219" s="26" t="e">
        <f>ROUND(P219,2)*Q219</f>
        <v>#DIV/0!</v>
      </c>
      <c r="T219" s="105" t="e">
        <f>Q219*dagenperjaar1</f>
        <v>#DIV/0!</v>
      </c>
      <c r="U219" s="27" t="e">
        <f>T219*ROUND(P219,2)</f>
        <v>#DIV/0!</v>
      </c>
    </row>
    <row r="220" spans="1:21" x14ac:dyDescent="0.2">
      <c r="A220" s="102" t="s">
        <v>243</v>
      </c>
      <c r="B220" s="103" t="s">
        <v>43</v>
      </c>
      <c r="C220" s="103" t="s">
        <v>400</v>
      </c>
      <c r="D220" s="103" t="s">
        <v>456</v>
      </c>
      <c r="E220" s="104" t="s">
        <v>457</v>
      </c>
      <c r="F220" s="103" t="s">
        <v>247</v>
      </c>
      <c r="G220" s="103" t="s">
        <v>228</v>
      </c>
      <c r="H220" s="103" t="s">
        <v>15</v>
      </c>
      <c r="I220" s="103" t="s">
        <v>222</v>
      </c>
      <c r="J220" s="103"/>
      <c r="K220" s="105">
        <v>10</v>
      </c>
      <c r="L220" s="105">
        <f>K220*VLOOKUP(H220,dagsoorttabel1,2,FALSE)</f>
        <v>5</v>
      </c>
      <c r="M220" s="106">
        <f>prodnorm6</f>
        <v>0</v>
      </c>
      <c r="N220" s="41">
        <f>dagwerk6</f>
        <v>0</v>
      </c>
      <c r="O220" s="103" t="s">
        <v>105</v>
      </c>
      <c r="P220" s="26">
        <f>uurtarief6</f>
        <v>0</v>
      </c>
      <c r="Q220" s="105" t="e">
        <f>IF(ISBLANK(M220),0,L220/ROUND(M220,4))</f>
        <v>#DIV/0!</v>
      </c>
      <c r="R220" s="105" t="e">
        <f>IF(ISBLANK(M220),0,Q220*ROUND(N220,2))</f>
        <v>#DIV/0!</v>
      </c>
      <c r="S220" s="26" t="e">
        <f>ROUND(P220,2)*Q220</f>
        <v>#DIV/0!</v>
      </c>
      <c r="T220" s="105" t="e">
        <f>Q220*dagenperjaar1</f>
        <v>#DIV/0!</v>
      </c>
      <c r="U220" s="27" t="e">
        <f>T220*ROUND(P220,2)</f>
        <v>#DIV/0!</v>
      </c>
    </row>
    <row r="221" spans="1:21" x14ac:dyDescent="0.2">
      <c r="A221" s="102" t="s">
        <v>243</v>
      </c>
      <c r="B221" s="103" t="s">
        <v>43</v>
      </c>
      <c r="C221" s="103" t="s">
        <v>400</v>
      </c>
      <c r="D221" s="103" t="s">
        <v>456</v>
      </c>
      <c r="E221" s="104" t="s">
        <v>457</v>
      </c>
      <c r="F221" s="103" t="s">
        <v>247</v>
      </c>
      <c r="G221" s="103" t="s">
        <v>197</v>
      </c>
      <c r="H221" s="103" t="s">
        <v>15</v>
      </c>
      <c r="I221" s="103" t="s">
        <v>183</v>
      </c>
      <c r="J221" s="103"/>
      <c r="K221" s="105">
        <v>10</v>
      </c>
      <c r="L221" s="105">
        <f>K221*VLOOKUP(H221,dagsoorttabel1,2,FALSE)</f>
        <v>5</v>
      </c>
      <c r="M221" s="106">
        <f>prodnorm15</f>
        <v>0</v>
      </c>
      <c r="N221" s="41">
        <f>dagwerk15</f>
        <v>0</v>
      </c>
      <c r="O221" s="103" t="s">
        <v>105</v>
      </c>
      <c r="P221" s="26">
        <f>uurtarief15</f>
        <v>0</v>
      </c>
      <c r="Q221" s="105" t="e">
        <f>IF(ISBLANK(M221),0,L221/ROUND(M221,4))</f>
        <v>#DIV/0!</v>
      </c>
      <c r="R221" s="105" t="e">
        <f>IF(ISBLANK(M221),0,Q221*ROUND(N221,2))</f>
        <v>#DIV/0!</v>
      </c>
      <c r="S221" s="26" t="e">
        <f>ROUND(P221,2)*Q221</f>
        <v>#DIV/0!</v>
      </c>
      <c r="T221" s="105" t="e">
        <f>Q221*dagenperjaar1</f>
        <v>#DIV/0!</v>
      </c>
      <c r="U221" s="27" t="e">
        <f>T221*ROUND(P221,2)</f>
        <v>#DIV/0!</v>
      </c>
    </row>
    <row r="222" spans="1:21" x14ac:dyDescent="0.2">
      <c r="A222" s="102" t="s">
        <v>243</v>
      </c>
      <c r="B222" s="103" t="s">
        <v>43</v>
      </c>
      <c r="C222" s="103" t="s">
        <v>400</v>
      </c>
      <c r="D222" s="103" t="s">
        <v>458</v>
      </c>
      <c r="E222" s="104" t="s">
        <v>257</v>
      </c>
      <c r="F222" s="103" t="s">
        <v>247</v>
      </c>
      <c r="G222" s="103" t="s">
        <v>228</v>
      </c>
      <c r="H222" s="103" t="s">
        <v>15</v>
      </c>
      <c r="I222" s="103" t="s">
        <v>222</v>
      </c>
      <c r="J222" s="103"/>
      <c r="K222" s="105">
        <v>4</v>
      </c>
      <c r="L222" s="105">
        <f>K222*VLOOKUP(H222,dagsoorttabel1,2,FALSE)</f>
        <v>2</v>
      </c>
      <c r="M222" s="106">
        <f>prodnorm6</f>
        <v>0</v>
      </c>
      <c r="N222" s="41">
        <f>dagwerk6</f>
        <v>0</v>
      </c>
      <c r="O222" s="103" t="s">
        <v>105</v>
      </c>
      <c r="P222" s="26">
        <f>uurtarief6</f>
        <v>0</v>
      </c>
      <c r="Q222" s="105" t="e">
        <f>IF(ISBLANK(M222),0,L222/ROUND(M222,4))</f>
        <v>#DIV/0!</v>
      </c>
      <c r="R222" s="105" t="e">
        <f>IF(ISBLANK(M222),0,Q222*ROUND(N222,2))</f>
        <v>#DIV/0!</v>
      </c>
      <c r="S222" s="26" t="e">
        <f>ROUND(P222,2)*Q222</f>
        <v>#DIV/0!</v>
      </c>
      <c r="T222" s="105" t="e">
        <f>Q222*dagenperjaar1</f>
        <v>#DIV/0!</v>
      </c>
      <c r="U222" s="27" t="e">
        <f>T222*ROUND(P222,2)</f>
        <v>#DIV/0!</v>
      </c>
    </row>
    <row r="223" spans="1:21" x14ac:dyDescent="0.2">
      <c r="A223" s="102" t="s">
        <v>243</v>
      </c>
      <c r="B223" s="103" t="s">
        <v>43</v>
      </c>
      <c r="C223" s="103" t="s">
        <v>400</v>
      </c>
      <c r="D223" s="103" t="s">
        <v>458</v>
      </c>
      <c r="E223" s="104" t="s">
        <v>257</v>
      </c>
      <c r="F223" s="103" t="s">
        <v>247</v>
      </c>
      <c r="G223" s="103" t="s">
        <v>187</v>
      </c>
      <c r="H223" s="103" t="s">
        <v>15</v>
      </c>
      <c r="I223" s="103" t="s">
        <v>183</v>
      </c>
      <c r="J223" s="103"/>
      <c r="K223" s="105">
        <v>4</v>
      </c>
      <c r="L223" s="105">
        <f>K223*VLOOKUP(H223,dagsoorttabel1,2,FALSE)</f>
        <v>2</v>
      </c>
      <c r="M223" s="106">
        <f>prodnorm9</f>
        <v>0</v>
      </c>
      <c r="N223" s="41">
        <f>dagwerk9</f>
        <v>0</v>
      </c>
      <c r="O223" s="103" t="s">
        <v>105</v>
      </c>
      <c r="P223" s="26">
        <f>uurtarief9</f>
        <v>0</v>
      </c>
      <c r="Q223" s="105" t="e">
        <f>IF(ISBLANK(M223),0,L223/ROUND(M223,4))</f>
        <v>#DIV/0!</v>
      </c>
      <c r="R223" s="105" t="e">
        <f>IF(ISBLANK(M223),0,Q223*ROUND(N223,2))</f>
        <v>#DIV/0!</v>
      </c>
      <c r="S223" s="26" t="e">
        <f>ROUND(P223,2)*Q223</f>
        <v>#DIV/0!</v>
      </c>
      <c r="T223" s="105" t="e">
        <f>Q223*dagenperjaar1</f>
        <v>#DIV/0!</v>
      </c>
      <c r="U223" s="27" t="e">
        <f>T223*ROUND(P223,2)</f>
        <v>#DIV/0!</v>
      </c>
    </row>
    <row r="224" spans="1:21" x14ac:dyDescent="0.2">
      <c r="A224" s="102" t="s">
        <v>243</v>
      </c>
      <c r="B224" s="103" t="s">
        <v>43</v>
      </c>
      <c r="C224" s="103" t="s">
        <v>400</v>
      </c>
      <c r="D224" s="103" t="s">
        <v>459</v>
      </c>
      <c r="E224" s="104" t="s">
        <v>347</v>
      </c>
      <c r="F224" s="103" t="s">
        <v>247</v>
      </c>
      <c r="G224" s="103" t="s">
        <v>217</v>
      </c>
      <c r="H224" s="103" t="s">
        <v>12</v>
      </c>
      <c r="I224" s="103" t="s">
        <v>183</v>
      </c>
      <c r="J224" s="103"/>
      <c r="K224" s="105">
        <v>16.3</v>
      </c>
      <c r="L224" s="105">
        <f>K224*VLOOKUP(H224,dagsoorttabel1,2,FALSE)</f>
        <v>16.3</v>
      </c>
      <c r="M224" s="106">
        <f>prodnorm27</f>
        <v>0</v>
      </c>
      <c r="N224" s="41">
        <f>dagwerk27</f>
        <v>0</v>
      </c>
      <c r="O224" s="103" t="s">
        <v>105</v>
      </c>
      <c r="P224" s="26">
        <f>uurtarief27</f>
        <v>0</v>
      </c>
      <c r="Q224" s="105" t="e">
        <f>IF(ISBLANK(M224),0,L224/ROUND(M224,4))</f>
        <v>#DIV/0!</v>
      </c>
      <c r="R224" s="105" t="e">
        <f>IF(ISBLANK(M224),0,Q224*ROUND(N224,2))</f>
        <v>#DIV/0!</v>
      </c>
      <c r="S224" s="26" t="e">
        <f>ROUND(P224,2)*Q224</f>
        <v>#DIV/0!</v>
      </c>
      <c r="T224" s="105" t="e">
        <f>Q224*dagenperjaar1</f>
        <v>#DIV/0!</v>
      </c>
      <c r="U224" s="27" t="e">
        <f>T224*ROUND(P224,2)</f>
        <v>#DIV/0!</v>
      </c>
    </row>
    <row r="225" spans="1:21" x14ac:dyDescent="0.2">
      <c r="A225" s="102" t="s">
        <v>243</v>
      </c>
      <c r="B225" s="103" t="s">
        <v>43</v>
      </c>
      <c r="C225" s="103" t="s">
        <v>400</v>
      </c>
      <c r="D225" s="103" t="s">
        <v>460</v>
      </c>
      <c r="E225" s="104" t="s">
        <v>449</v>
      </c>
      <c r="F225" s="103" t="s">
        <v>247</v>
      </c>
      <c r="G225" s="103" t="s">
        <v>217</v>
      </c>
      <c r="H225" s="103" t="s">
        <v>12</v>
      </c>
      <c r="I225" s="103" t="s">
        <v>183</v>
      </c>
      <c r="J225" s="103"/>
      <c r="K225" s="105">
        <v>139.30000000000001</v>
      </c>
      <c r="L225" s="105">
        <f>K225*VLOOKUP(H225,dagsoorttabel1,2,FALSE)</f>
        <v>139.30000000000001</v>
      </c>
      <c r="M225" s="106">
        <f>prodnorm27</f>
        <v>0</v>
      </c>
      <c r="N225" s="41">
        <f>dagwerk27</f>
        <v>0</v>
      </c>
      <c r="O225" s="103" t="s">
        <v>105</v>
      </c>
      <c r="P225" s="26">
        <f>uurtarief27</f>
        <v>0</v>
      </c>
      <c r="Q225" s="105" t="e">
        <f>IF(ISBLANK(M225),0,L225/ROUND(M225,4))</f>
        <v>#DIV/0!</v>
      </c>
      <c r="R225" s="105" t="e">
        <f>IF(ISBLANK(M225),0,Q225*ROUND(N225,2))</f>
        <v>#DIV/0!</v>
      </c>
      <c r="S225" s="26" t="e">
        <f>ROUND(P225,2)*Q225</f>
        <v>#DIV/0!</v>
      </c>
      <c r="T225" s="105" t="e">
        <f>Q225*dagenperjaar1</f>
        <v>#DIV/0!</v>
      </c>
      <c r="U225" s="27" t="e">
        <f>T225*ROUND(P225,2)</f>
        <v>#DIV/0!</v>
      </c>
    </row>
    <row r="226" spans="1:21" x14ac:dyDescent="0.2">
      <c r="A226" s="102" t="s">
        <v>243</v>
      </c>
      <c r="B226" s="103" t="s">
        <v>43</v>
      </c>
      <c r="C226" s="103" t="s">
        <v>400</v>
      </c>
      <c r="D226" s="103" t="s">
        <v>461</v>
      </c>
      <c r="E226" s="104" t="s">
        <v>462</v>
      </c>
      <c r="F226" s="103" t="s">
        <v>258</v>
      </c>
      <c r="G226" s="103" t="s">
        <v>228</v>
      </c>
      <c r="H226" s="103" t="s">
        <v>15</v>
      </c>
      <c r="I226" s="103" t="s">
        <v>222</v>
      </c>
      <c r="J226" s="103"/>
      <c r="K226" s="105">
        <v>3</v>
      </c>
      <c r="L226" s="105">
        <f>K226*VLOOKUP(H226,dagsoorttabel1,2,FALSE)</f>
        <v>1.5</v>
      </c>
      <c r="M226" s="106">
        <f>prodnorm6</f>
        <v>0</v>
      </c>
      <c r="N226" s="41">
        <f>dagwerk6</f>
        <v>0</v>
      </c>
      <c r="O226" s="103" t="s">
        <v>105</v>
      </c>
      <c r="P226" s="26">
        <f>uurtarief6</f>
        <v>0</v>
      </c>
      <c r="Q226" s="105" t="e">
        <f>IF(ISBLANK(M226),0,L226/ROUND(M226,4))</f>
        <v>#DIV/0!</v>
      </c>
      <c r="R226" s="105" t="e">
        <f>IF(ISBLANK(M226),0,Q226*ROUND(N226,2))</f>
        <v>#DIV/0!</v>
      </c>
      <c r="S226" s="26" t="e">
        <f>ROUND(P226,2)*Q226</f>
        <v>#DIV/0!</v>
      </c>
      <c r="T226" s="105" t="e">
        <f>Q226*dagenperjaar1</f>
        <v>#DIV/0!</v>
      </c>
      <c r="U226" s="27" t="e">
        <f>T226*ROUND(P226,2)</f>
        <v>#DIV/0!</v>
      </c>
    </row>
    <row r="227" spans="1:21" x14ac:dyDescent="0.2">
      <c r="A227" s="102" t="s">
        <v>243</v>
      </c>
      <c r="B227" s="103" t="s">
        <v>43</v>
      </c>
      <c r="C227" s="103" t="s">
        <v>400</v>
      </c>
      <c r="D227" s="103" t="s">
        <v>461</v>
      </c>
      <c r="E227" s="104" t="s">
        <v>462</v>
      </c>
      <c r="F227" s="103" t="s">
        <v>258</v>
      </c>
      <c r="G227" s="103" t="s">
        <v>199</v>
      </c>
      <c r="H227" s="103" t="s">
        <v>15</v>
      </c>
      <c r="I227" s="103" t="s">
        <v>183</v>
      </c>
      <c r="J227" s="103"/>
      <c r="K227" s="105">
        <v>3</v>
      </c>
      <c r="L227" s="105">
        <f>K227*VLOOKUP(H227,dagsoorttabel1,2,FALSE)</f>
        <v>1.5</v>
      </c>
      <c r="M227" s="106">
        <f>prodnorm16</f>
        <v>0</v>
      </c>
      <c r="N227" s="41">
        <f>dagwerk16</f>
        <v>0</v>
      </c>
      <c r="O227" s="103" t="s">
        <v>105</v>
      </c>
      <c r="P227" s="26">
        <f>uurtarief16</f>
        <v>0</v>
      </c>
      <c r="Q227" s="105" t="e">
        <f>IF(ISBLANK(M227),0,L227/ROUND(M227,4))</f>
        <v>#DIV/0!</v>
      </c>
      <c r="R227" s="105" t="e">
        <f>IF(ISBLANK(M227),0,Q227*ROUND(N227,2))</f>
        <v>#DIV/0!</v>
      </c>
      <c r="S227" s="26" t="e">
        <f>ROUND(P227,2)*Q227</f>
        <v>#DIV/0!</v>
      </c>
      <c r="T227" s="105" t="e">
        <f>Q227*dagenperjaar1</f>
        <v>#DIV/0!</v>
      </c>
      <c r="U227" s="27" t="e">
        <f>T227*ROUND(P227,2)</f>
        <v>#DIV/0!</v>
      </c>
    </row>
    <row r="228" spans="1:21" x14ac:dyDescent="0.2">
      <c r="A228" s="102" t="s">
        <v>243</v>
      </c>
      <c r="B228" s="103" t="s">
        <v>43</v>
      </c>
      <c r="C228" s="103" t="s">
        <v>463</v>
      </c>
      <c r="D228" s="103" t="s">
        <v>43</v>
      </c>
      <c r="E228" s="104" t="s">
        <v>464</v>
      </c>
      <c r="F228" s="103" t="s">
        <v>43</v>
      </c>
      <c r="G228" s="103" t="s">
        <v>221</v>
      </c>
      <c r="H228" s="103" t="s">
        <v>25</v>
      </c>
      <c r="I228" s="103" t="s">
        <v>222</v>
      </c>
      <c r="J228" s="103"/>
      <c r="K228" s="105">
        <v>1</v>
      </c>
      <c r="L228" s="105">
        <f>K228*VLOOKUP(H228,dagsoorttabel1,2,FALSE)</f>
        <v>5.0000000000000001E-3</v>
      </c>
      <c r="M228" s="106"/>
      <c r="N228" s="107"/>
      <c r="O228" s="103" t="s">
        <v>224</v>
      </c>
      <c r="P228" s="26">
        <f>uurtarief4</f>
        <v>0</v>
      </c>
      <c r="Q228" s="105" t="s">
        <v>225</v>
      </c>
      <c r="R228" s="108"/>
      <c r="S228" s="26">
        <f>ROUND(P228,2)*L228</f>
        <v>0</v>
      </c>
      <c r="T228" s="105"/>
      <c r="U228" s="27">
        <f>S228*dagenperjaar1</f>
        <v>0</v>
      </c>
    </row>
    <row r="229" spans="1:21" x14ac:dyDescent="0.2">
      <c r="A229" s="109" t="s">
        <v>243</v>
      </c>
      <c r="B229" s="110" t="s">
        <v>43</v>
      </c>
      <c r="C229" s="110" t="s">
        <v>463</v>
      </c>
      <c r="D229" s="110" t="s">
        <v>43</v>
      </c>
      <c r="E229" s="111" t="s">
        <v>464</v>
      </c>
      <c r="F229" s="110" t="s">
        <v>43</v>
      </c>
      <c r="G229" s="110" t="s">
        <v>226</v>
      </c>
      <c r="H229" s="110" t="s">
        <v>25</v>
      </c>
      <c r="I229" s="110" t="s">
        <v>222</v>
      </c>
      <c r="J229" s="110"/>
      <c r="K229" s="112">
        <v>1</v>
      </c>
      <c r="L229" s="112">
        <f>K229*VLOOKUP(H229,dagsoorttabel1,2,FALSE)</f>
        <v>5.0000000000000001E-3</v>
      </c>
      <c r="M229" s="113"/>
      <c r="N229" s="114"/>
      <c r="O229" s="110" t="s">
        <v>224</v>
      </c>
      <c r="P229" s="36">
        <f>uurtarief5</f>
        <v>0</v>
      </c>
      <c r="Q229" s="112" t="s">
        <v>225</v>
      </c>
      <c r="R229" s="115"/>
      <c r="S229" s="36">
        <f>ROUND(P229,2)*L229</f>
        <v>0</v>
      </c>
      <c r="T229" s="112"/>
      <c r="U229" s="37">
        <f>S229*dagenperjaar1</f>
        <v>0</v>
      </c>
    </row>
    <row r="230" spans="1:21" x14ac:dyDescent="0.2">
      <c r="A230" s="84" t="s">
        <v>465</v>
      </c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7" t="e">
        <f>IF(_xlfn.SINGLE(object1_urenjaar1)&gt;0,_xlfn.SINGLE(object1_prijsjaar1)/_xlfn.SINGLE(object1_urenjaar1),0)</f>
        <v>#DIV/0!</v>
      </c>
      <c r="Q230" s="86" t="e">
        <f>SUM(Q5:Q229)</f>
        <v>#DIV/0!</v>
      </c>
      <c r="R230" s="86" t="e">
        <f>SUM(R5:R229)</f>
        <v>#DIV/0!</v>
      </c>
      <c r="S230" s="87" t="e">
        <f>SUM(S5:S229)</f>
        <v>#DIV/0!</v>
      </c>
      <c r="T230" s="86" t="e">
        <f>SUM(T5:T229)</f>
        <v>#DIV/0!</v>
      </c>
      <c r="U230" s="87" t="e">
        <f>SUM(U5:U229)</f>
        <v>#DIV/0!</v>
      </c>
    </row>
  </sheetData>
  <sheetProtection algorithmName="SHA-512" hashValue="dCYnj7teRpIol1vixbiXBq4cxrMzXM5wncLxZzBQGoXCR8fpHc31M2FsWlV9POSg4K5it6Z9lrT001gnM4t8nA==" saltValue="YjE2FTDyWa88UKbnaPJ7QA==" spinCount="100000" sheet="1" objects="1" scenarios="1" autoFilter="0"/>
  <autoFilter ref="A3:U230" xr:uid="{F25F8FEA-710F-4103-972C-6C762C77F2CF}"/>
  <pageMargins left="0.7" right="0.7" top="0.75" bottom="0.75" header="0.3" footer="0.3"/>
  <pageSetup paperSize="9" scale="61" orientation="landscape" horizontalDpi="4294967295" verticalDpi="4294967295" r:id="rId1"/>
  <headerFooter>
    <oddFooter>&amp;LStichting VO Haaglanden EA 2025                             &amp;ROpmaakdatum: 28-05-2025
Intexso - Plantageweg 23E - Leusden
+31 (33) 2778485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AEF85-2BB4-4942-96B3-26215423F7CC}">
  <dimension ref="A1:J30"/>
  <sheetViews>
    <sheetView workbookViewId="0"/>
  </sheetViews>
  <sheetFormatPr defaultRowHeight="12.75" x14ac:dyDescent="0.2"/>
  <cols>
    <col min="1" max="1" width="5.625" customWidth="1"/>
    <col min="2" max="2" width="6.125" customWidth="1"/>
    <col min="3" max="3" width="11.625" customWidth="1"/>
    <col min="4" max="10" width="12.625" customWidth="1"/>
  </cols>
  <sheetData>
    <row r="1" spans="1:10" x14ac:dyDescent="0.2">
      <c r="A1" s="1" t="s">
        <v>466</v>
      </c>
    </row>
    <row r="3" spans="1:10" ht="25.5" x14ac:dyDescent="0.2">
      <c r="A3" s="116" t="s">
        <v>174</v>
      </c>
      <c r="B3" s="116" t="s">
        <v>7</v>
      </c>
      <c r="C3" s="117" t="s">
        <v>467</v>
      </c>
      <c r="D3" s="117" t="s">
        <v>468</v>
      </c>
      <c r="E3" s="117" t="s">
        <v>469</v>
      </c>
      <c r="F3" s="117" t="s">
        <v>470</v>
      </c>
      <c r="G3" s="117" t="s">
        <v>471</v>
      </c>
      <c r="H3" s="117" t="s">
        <v>472</v>
      </c>
      <c r="I3" s="116" t="s">
        <v>473</v>
      </c>
      <c r="J3" s="116" t="s">
        <v>474</v>
      </c>
    </row>
    <row r="4" spans="1:10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9" t="s">
        <v>176</v>
      </c>
    </row>
    <row r="5" spans="1:10" x14ac:dyDescent="0.2">
      <c r="A5" s="57" t="s">
        <v>182</v>
      </c>
      <c r="B5" s="57" t="s">
        <v>12</v>
      </c>
      <c r="C5" s="57" t="s">
        <v>475</v>
      </c>
      <c r="D5" s="57" t="s">
        <v>183</v>
      </c>
      <c r="E5" s="72">
        <f>IF(B5="","",VLOOKUP(B5,dagsoorttabel1,2,FALSE))</f>
        <v>1</v>
      </c>
      <c r="F5" s="72">
        <v>1</v>
      </c>
      <c r="G5" s="72">
        <f>IF(prodnorm7&gt;0,1/ROUND(prodnorm7,4),0)</f>
        <v>0</v>
      </c>
      <c r="H5" s="74">
        <f>ROUND(dagwerk7,4+2)</f>
        <v>0</v>
      </c>
      <c r="I5" s="75">
        <f>ROUND(uurtarief7,2)</f>
        <v>0</v>
      </c>
      <c r="J5" s="72">
        <v>651.6</v>
      </c>
    </row>
    <row r="6" spans="1:10" x14ac:dyDescent="0.2">
      <c r="A6" s="62" t="s">
        <v>185</v>
      </c>
      <c r="B6" s="62" t="s">
        <v>9</v>
      </c>
      <c r="C6" s="62" t="s">
        <v>475</v>
      </c>
      <c r="D6" s="62" t="s">
        <v>183</v>
      </c>
      <c r="E6" s="76">
        <f>IF(B6="","",VLOOKUP(B6,dagsoorttabel1,2,FALSE))</f>
        <v>2</v>
      </c>
      <c r="F6" s="76">
        <v>1</v>
      </c>
      <c r="G6" s="76">
        <f>IF(prodnorm8&gt;0,1/ROUND(prodnorm8,4),0)</f>
        <v>0</v>
      </c>
      <c r="H6" s="78">
        <f>ROUND(dagwerk8,4+2)</f>
        <v>0</v>
      </c>
      <c r="I6" s="79">
        <f>ROUND(uurtarief8,2)</f>
        <v>0</v>
      </c>
      <c r="J6" s="76">
        <v>165.6</v>
      </c>
    </row>
    <row r="7" spans="1:10" x14ac:dyDescent="0.2">
      <c r="A7" s="62" t="s">
        <v>187</v>
      </c>
      <c r="B7" s="62" t="s">
        <v>15</v>
      </c>
      <c r="C7" s="62" t="s">
        <v>475</v>
      </c>
      <c r="D7" s="62" t="s">
        <v>183</v>
      </c>
      <c r="E7" s="76">
        <f>IF(B7="","",VLOOKUP(B7,dagsoorttabel1,2,FALSE))</f>
        <v>0.5</v>
      </c>
      <c r="F7" s="76">
        <v>1</v>
      </c>
      <c r="G7" s="76">
        <f>IF(prodnorm9&gt;0,1/ROUND(prodnorm9,4),0)</f>
        <v>0</v>
      </c>
      <c r="H7" s="78">
        <f>ROUND(dagwerk9,4+2)</f>
        <v>0</v>
      </c>
      <c r="I7" s="79">
        <f>ROUND(uurtarief9,2)</f>
        <v>0</v>
      </c>
      <c r="J7" s="76">
        <v>525.90000000000009</v>
      </c>
    </row>
    <row r="8" spans="1:10" x14ac:dyDescent="0.2">
      <c r="A8" s="62" t="s">
        <v>189</v>
      </c>
      <c r="B8" s="62" t="s">
        <v>15</v>
      </c>
      <c r="C8" s="62" t="s">
        <v>475</v>
      </c>
      <c r="D8" s="62" t="s">
        <v>183</v>
      </c>
      <c r="E8" s="76">
        <f>IF(B8="","",VLOOKUP(B8,dagsoorttabel1,2,FALSE))</f>
        <v>0.5</v>
      </c>
      <c r="F8" s="76">
        <v>1</v>
      </c>
      <c r="G8" s="76">
        <f>IF(prodnorm10&gt;0,1/ROUND(prodnorm10,4),0)</f>
        <v>0</v>
      </c>
      <c r="H8" s="78">
        <f>ROUND(dagwerk10,4+2)</f>
        <v>0</v>
      </c>
      <c r="I8" s="79">
        <f>ROUND(uurtarief10,2)</f>
        <v>0</v>
      </c>
      <c r="J8" s="76">
        <v>239.6</v>
      </c>
    </row>
    <row r="9" spans="1:10" x14ac:dyDescent="0.2">
      <c r="A9" s="62" t="s">
        <v>191</v>
      </c>
      <c r="B9" s="62" t="s">
        <v>12</v>
      </c>
      <c r="C9" s="62" t="s">
        <v>475</v>
      </c>
      <c r="D9" s="62" t="s">
        <v>183</v>
      </c>
      <c r="E9" s="76">
        <f>IF(B9="","",VLOOKUP(B9,dagsoorttabel1,2,FALSE))</f>
        <v>1</v>
      </c>
      <c r="F9" s="76">
        <v>1</v>
      </c>
      <c r="G9" s="76">
        <f>IF(prodnorm11&gt;0,1/ROUND(prodnorm11,4),0)</f>
        <v>0</v>
      </c>
      <c r="H9" s="78">
        <f>ROUND(dagwerk11,4+2)</f>
        <v>0</v>
      </c>
      <c r="I9" s="79">
        <f>ROUND(uurtarief11,2)</f>
        <v>0</v>
      </c>
      <c r="J9" s="76">
        <v>10.6</v>
      </c>
    </row>
    <row r="10" spans="1:10" x14ac:dyDescent="0.2">
      <c r="A10" s="62" t="s">
        <v>193</v>
      </c>
      <c r="B10" s="62" t="s">
        <v>12</v>
      </c>
      <c r="C10" s="62" t="s">
        <v>475</v>
      </c>
      <c r="D10" s="62" t="s">
        <v>183</v>
      </c>
      <c r="E10" s="76">
        <f>IF(B10="","",VLOOKUP(B10,dagsoorttabel1,2,FALSE))</f>
        <v>1</v>
      </c>
      <c r="F10" s="76">
        <v>1</v>
      </c>
      <c r="G10" s="76">
        <f>IF(prodnorm12&gt;0,1/ROUND(prodnorm12,4),0)</f>
        <v>0</v>
      </c>
      <c r="H10" s="78">
        <f>ROUND(dagwerk12,4+2)</f>
        <v>0</v>
      </c>
      <c r="I10" s="79">
        <f>ROUND(uurtarief12,2)</f>
        <v>0</v>
      </c>
      <c r="J10" s="76">
        <v>124</v>
      </c>
    </row>
    <row r="11" spans="1:10" x14ac:dyDescent="0.2">
      <c r="A11" s="62" t="s">
        <v>193</v>
      </c>
      <c r="B11" s="62" t="s">
        <v>10</v>
      </c>
      <c r="C11" s="62" t="s">
        <v>475</v>
      </c>
      <c r="D11" s="62" t="s">
        <v>183</v>
      </c>
      <c r="E11" s="76">
        <f>IF(B11="","",VLOOKUP(B11,dagsoorttabel1,2,FALSE))</f>
        <v>1.05</v>
      </c>
      <c r="F11" s="76">
        <v>1</v>
      </c>
      <c r="G11" s="76">
        <f>IF(prodnorm13&gt;0,1/ROUND(prodnorm13,4),0)</f>
        <v>0</v>
      </c>
      <c r="H11" s="78">
        <f>ROUND(dagwerk13,4+2)</f>
        <v>0</v>
      </c>
      <c r="I11" s="79">
        <f>ROUND(uurtarief13,2)</f>
        <v>0</v>
      </c>
      <c r="J11" s="76">
        <v>24.9</v>
      </c>
    </row>
    <row r="12" spans="1:10" x14ac:dyDescent="0.2">
      <c r="A12" s="62" t="s">
        <v>195</v>
      </c>
      <c r="B12" s="62" t="s">
        <v>12</v>
      </c>
      <c r="C12" s="62" t="s">
        <v>475</v>
      </c>
      <c r="D12" s="62" t="s">
        <v>183</v>
      </c>
      <c r="E12" s="76">
        <f>IF(B12="","",VLOOKUP(B12,dagsoorttabel1,2,FALSE))</f>
        <v>1</v>
      </c>
      <c r="F12" s="76">
        <v>1</v>
      </c>
      <c r="G12" s="76">
        <f>IF(prodnorm14&gt;0,1/ROUND(prodnorm14,4),0)</f>
        <v>0</v>
      </c>
      <c r="H12" s="78">
        <f>ROUND(dagwerk14,4+2)</f>
        <v>0</v>
      </c>
      <c r="I12" s="79">
        <f>ROUND(uurtarief14,2)</f>
        <v>0</v>
      </c>
      <c r="J12" s="76">
        <v>3</v>
      </c>
    </row>
    <row r="13" spans="1:10" x14ac:dyDescent="0.2">
      <c r="A13" s="62" t="s">
        <v>197</v>
      </c>
      <c r="B13" s="62" t="s">
        <v>15</v>
      </c>
      <c r="C13" s="62" t="s">
        <v>475</v>
      </c>
      <c r="D13" s="62" t="s">
        <v>183</v>
      </c>
      <c r="E13" s="76">
        <f>IF(B13="","",VLOOKUP(B13,dagsoorttabel1,2,FALSE))</f>
        <v>0.5</v>
      </c>
      <c r="F13" s="76">
        <v>1</v>
      </c>
      <c r="G13" s="76">
        <f>IF(prodnorm15&gt;0,1/ROUND(prodnorm15,4),0)</f>
        <v>0</v>
      </c>
      <c r="H13" s="78">
        <f>ROUND(dagwerk15,4+2)</f>
        <v>0</v>
      </c>
      <c r="I13" s="79">
        <f>ROUND(uurtarief15,2)</f>
        <v>0</v>
      </c>
      <c r="J13" s="76">
        <v>2516.3999999999996</v>
      </c>
    </row>
    <row r="14" spans="1:10" x14ac:dyDescent="0.2">
      <c r="A14" s="62" t="s">
        <v>199</v>
      </c>
      <c r="B14" s="62" t="s">
        <v>15</v>
      </c>
      <c r="C14" s="62" t="s">
        <v>475</v>
      </c>
      <c r="D14" s="62" t="s">
        <v>183</v>
      </c>
      <c r="E14" s="76">
        <f>IF(B14="","",VLOOKUP(B14,dagsoorttabel1,2,FALSE))</f>
        <v>0.5</v>
      </c>
      <c r="F14" s="76">
        <v>1</v>
      </c>
      <c r="G14" s="76">
        <f>IF(prodnorm16&gt;0,1/ROUND(prodnorm16,4),0)</f>
        <v>0</v>
      </c>
      <c r="H14" s="78">
        <f>ROUND(dagwerk16,4+2)</f>
        <v>0</v>
      </c>
      <c r="I14" s="79">
        <f>ROUND(uurtarief16,2)</f>
        <v>0</v>
      </c>
      <c r="J14" s="76">
        <v>3</v>
      </c>
    </row>
    <row r="15" spans="1:10" x14ac:dyDescent="0.2">
      <c r="A15" s="62" t="s">
        <v>201</v>
      </c>
      <c r="B15" s="62" t="s">
        <v>12</v>
      </c>
      <c r="C15" s="62" t="s">
        <v>475</v>
      </c>
      <c r="D15" s="62" t="s">
        <v>183</v>
      </c>
      <c r="E15" s="76">
        <f>IF(B15="","",VLOOKUP(B15,dagsoorttabel1,2,FALSE))</f>
        <v>1</v>
      </c>
      <c r="F15" s="76">
        <v>1</v>
      </c>
      <c r="G15" s="76">
        <f>IF(prodnorm17&gt;0,1/ROUND(prodnorm17,4),0)</f>
        <v>0</v>
      </c>
      <c r="H15" s="78">
        <f>ROUND(dagwerk17,4+2)</f>
        <v>0</v>
      </c>
      <c r="I15" s="79">
        <f>ROUND(uurtarief17,2)</f>
        <v>0</v>
      </c>
      <c r="J15" s="76">
        <v>148</v>
      </c>
    </row>
    <row r="16" spans="1:10" x14ac:dyDescent="0.2">
      <c r="A16" s="62" t="s">
        <v>203</v>
      </c>
      <c r="B16" s="62" t="s">
        <v>12</v>
      </c>
      <c r="C16" s="62" t="s">
        <v>475</v>
      </c>
      <c r="D16" s="62" t="s">
        <v>183</v>
      </c>
      <c r="E16" s="76">
        <f>IF(B16="","",VLOOKUP(B16,dagsoorttabel1,2,FALSE))</f>
        <v>1</v>
      </c>
      <c r="F16" s="76">
        <v>1</v>
      </c>
      <c r="G16" s="76">
        <f>IF(prodnorm18&gt;0,1/ROUND(prodnorm18,4),0)</f>
        <v>0</v>
      </c>
      <c r="H16" s="78">
        <f>ROUND(dagwerk18,4+2)</f>
        <v>0</v>
      </c>
      <c r="I16" s="79">
        <f>ROUND(uurtarief18,2)</f>
        <v>0</v>
      </c>
      <c r="J16" s="76">
        <v>132</v>
      </c>
    </row>
    <row r="17" spans="1:10" x14ac:dyDescent="0.2">
      <c r="A17" s="62" t="s">
        <v>205</v>
      </c>
      <c r="B17" s="62" t="s">
        <v>12</v>
      </c>
      <c r="C17" s="62" t="s">
        <v>475</v>
      </c>
      <c r="D17" s="62" t="s">
        <v>183</v>
      </c>
      <c r="E17" s="76">
        <f>IF(B17="","",VLOOKUP(B17,dagsoorttabel1,2,FALSE))</f>
        <v>1</v>
      </c>
      <c r="F17" s="76">
        <v>1</v>
      </c>
      <c r="G17" s="76">
        <f>IF(prodnorm19&gt;0,1/ROUND(prodnorm19,4),0)</f>
        <v>0</v>
      </c>
      <c r="H17" s="78">
        <f>ROUND(dagwerk19,4+2)</f>
        <v>0</v>
      </c>
      <c r="I17" s="79">
        <f>ROUND(uurtarief19,2)</f>
        <v>0</v>
      </c>
      <c r="J17" s="76">
        <v>2</v>
      </c>
    </row>
    <row r="18" spans="1:10" x14ac:dyDescent="0.2">
      <c r="A18" s="62" t="s">
        <v>207</v>
      </c>
      <c r="B18" s="62" t="s">
        <v>15</v>
      </c>
      <c r="C18" s="62" t="s">
        <v>475</v>
      </c>
      <c r="D18" s="62" t="s">
        <v>183</v>
      </c>
      <c r="E18" s="76">
        <f>IF(B18="","",VLOOKUP(B18,dagsoorttabel1,2,FALSE))</f>
        <v>0.5</v>
      </c>
      <c r="F18" s="76">
        <v>1</v>
      </c>
      <c r="G18" s="76">
        <f>IF(prodnorm20&gt;0,1/ROUND(prodnorm20,4),0)</f>
        <v>0</v>
      </c>
      <c r="H18" s="78">
        <f>ROUND(dagwerk20,4+2)</f>
        <v>0</v>
      </c>
      <c r="I18" s="79">
        <f>ROUND(uurtarief20,2)</f>
        <v>0</v>
      </c>
      <c r="J18" s="76">
        <v>332.20000000000005</v>
      </c>
    </row>
    <row r="19" spans="1:10" x14ac:dyDescent="0.2">
      <c r="A19" s="62" t="s">
        <v>209</v>
      </c>
      <c r="B19" s="62" t="s">
        <v>15</v>
      </c>
      <c r="C19" s="62" t="s">
        <v>475</v>
      </c>
      <c r="D19" s="62" t="s">
        <v>183</v>
      </c>
      <c r="E19" s="76">
        <f>IF(B19="","",VLOOKUP(B19,dagsoorttabel1,2,FALSE))</f>
        <v>0.5</v>
      </c>
      <c r="F19" s="76">
        <v>1</v>
      </c>
      <c r="G19" s="76">
        <f>IF(prodnorm21&gt;0,1/ROUND(prodnorm21,4),0)</f>
        <v>0</v>
      </c>
      <c r="H19" s="78">
        <f>ROUND(dagwerk21,4+2)</f>
        <v>0</v>
      </c>
      <c r="I19" s="79">
        <f>ROUND(uurtarief21,2)</f>
        <v>0</v>
      </c>
      <c r="J19" s="76">
        <v>327.40000000000003</v>
      </c>
    </row>
    <row r="20" spans="1:10" x14ac:dyDescent="0.2">
      <c r="A20" s="62" t="s">
        <v>211</v>
      </c>
      <c r="B20" s="62" t="s">
        <v>12</v>
      </c>
      <c r="C20" s="62" t="s">
        <v>475</v>
      </c>
      <c r="D20" s="62" t="s">
        <v>183</v>
      </c>
      <c r="E20" s="76">
        <f>IF(B20="","",VLOOKUP(B20,dagsoorttabel1,2,FALSE))</f>
        <v>1</v>
      </c>
      <c r="F20" s="76">
        <v>1</v>
      </c>
      <c r="G20" s="76">
        <f>IF(prodnorm22&gt;0,1/ROUND(prodnorm22,4),0)</f>
        <v>0</v>
      </c>
      <c r="H20" s="78">
        <f>ROUND(dagwerk22,4+2)</f>
        <v>0</v>
      </c>
      <c r="I20" s="79">
        <f>ROUND(uurtarief22,2)</f>
        <v>0</v>
      </c>
      <c r="J20" s="76">
        <v>165.5</v>
      </c>
    </row>
    <row r="21" spans="1:10" x14ac:dyDescent="0.2">
      <c r="A21" s="62" t="s">
        <v>211</v>
      </c>
      <c r="B21" s="62" t="s">
        <v>10</v>
      </c>
      <c r="C21" s="62" t="s">
        <v>475</v>
      </c>
      <c r="D21" s="62" t="s">
        <v>183</v>
      </c>
      <c r="E21" s="76">
        <f>IF(B21="","",VLOOKUP(B21,dagsoorttabel1,2,FALSE))</f>
        <v>1.05</v>
      </c>
      <c r="F21" s="76">
        <v>1</v>
      </c>
      <c r="G21" s="76">
        <f>IF(prodnorm23&gt;0,1/ROUND(prodnorm23,4),0)</f>
        <v>0</v>
      </c>
      <c r="H21" s="78">
        <f>ROUND(dagwerk23,4+2)</f>
        <v>0</v>
      </c>
      <c r="I21" s="79">
        <f>ROUND(uurtarief23,2)</f>
        <v>0</v>
      </c>
      <c r="J21" s="76">
        <v>27.1</v>
      </c>
    </row>
    <row r="22" spans="1:10" x14ac:dyDescent="0.2">
      <c r="A22" s="62" t="s">
        <v>213</v>
      </c>
      <c r="B22" s="62" t="s">
        <v>12</v>
      </c>
      <c r="C22" s="62" t="s">
        <v>475</v>
      </c>
      <c r="D22" s="62" t="s">
        <v>183</v>
      </c>
      <c r="E22" s="76">
        <f>IF(B22="","",VLOOKUP(B22,dagsoorttabel1,2,FALSE))</f>
        <v>1</v>
      </c>
      <c r="F22" s="76">
        <v>1</v>
      </c>
      <c r="G22" s="76">
        <f>IF(prodnorm24&gt;0,1/ROUND(prodnorm24,4),0)</f>
        <v>0</v>
      </c>
      <c r="H22" s="78">
        <f>ROUND(dagwerk24,4+2)</f>
        <v>0</v>
      </c>
      <c r="I22" s="79">
        <f>ROUND(uurtarief24,2)</f>
        <v>0</v>
      </c>
      <c r="J22" s="76">
        <v>130.9</v>
      </c>
    </row>
    <row r="23" spans="1:10" x14ac:dyDescent="0.2">
      <c r="A23" s="62" t="s">
        <v>213</v>
      </c>
      <c r="B23" s="62" t="s">
        <v>9</v>
      </c>
      <c r="C23" s="62" t="s">
        <v>475</v>
      </c>
      <c r="D23" s="62" t="s">
        <v>183</v>
      </c>
      <c r="E23" s="76">
        <f>IF(B23="","",VLOOKUP(B23,dagsoorttabel1,2,FALSE))</f>
        <v>2</v>
      </c>
      <c r="F23" s="76">
        <v>1</v>
      </c>
      <c r="G23" s="76">
        <f>IF(prodnorm25&gt;0,1/ROUND(prodnorm25,4),0)</f>
        <v>0</v>
      </c>
      <c r="H23" s="78">
        <f>ROUND(dagwerk25,4+2)</f>
        <v>0</v>
      </c>
      <c r="I23" s="79">
        <f>ROUND(uurtarief25,2)</f>
        <v>0</v>
      </c>
      <c r="J23" s="76">
        <v>24.5</v>
      </c>
    </row>
    <row r="24" spans="1:10" x14ac:dyDescent="0.2">
      <c r="A24" s="62" t="s">
        <v>215</v>
      </c>
      <c r="B24" s="62" t="s">
        <v>12</v>
      </c>
      <c r="C24" s="62" t="s">
        <v>475</v>
      </c>
      <c r="D24" s="62" t="s">
        <v>183</v>
      </c>
      <c r="E24" s="76">
        <f>IF(B24="","",VLOOKUP(B24,dagsoorttabel1,2,FALSE))</f>
        <v>1</v>
      </c>
      <c r="F24" s="76">
        <v>1</v>
      </c>
      <c r="G24" s="76">
        <f>IF(prodnorm26&gt;0,1/ROUND(prodnorm26,4),0)</f>
        <v>0</v>
      </c>
      <c r="H24" s="78">
        <f>ROUND(dagwerk26,4+2)</f>
        <v>0</v>
      </c>
      <c r="I24" s="79">
        <f>ROUND(uurtarief26,2)</f>
        <v>0</v>
      </c>
      <c r="J24" s="76">
        <v>249.79999999999998</v>
      </c>
    </row>
    <row r="25" spans="1:10" x14ac:dyDescent="0.2">
      <c r="A25" s="62" t="s">
        <v>217</v>
      </c>
      <c r="B25" s="62" t="s">
        <v>12</v>
      </c>
      <c r="C25" s="62" t="s">
        <v>475</v>
      </c>
      <c r="D25" s="62" t="s">
        <v>183</v>
      </c>
      <c r="E25" s="76">
        <f>IF(B25="","",VLOOKUP(B25,dagsoorttabel1,2,FALSE))</f>
        <v>1</v>
      </c>
      <c r="F25" s="76">
        <v>1</v>
      </c>
      <c r="G25" s="76">
        <f>IF(prodnorm27&gt;0,1/ROUND(prodnorm27,4),0)</f>
        <v>0</v>
      </c>
      <c r="H25" s="78">
        <f>ROUND(dagwerk27,4+2)</f>
        <v>0</v>
      </c>
      <c r="I25" s="79">
        <f>ROUND(uurtarief27,2)</f>
        <v>0</v>
      </c>
      <c r="J25" s="76">
        <v>1812</v>
      </c>
    </row>
    <row r="26" spans="1:10" x14ac:dyDescent="0.2">
      <c r="A26" s="62" t="s">
        <v>219</v>
      </c>
      <c r="B26" s="62" t="s">
        <v>12</v>
      </c>
      <c r="C26" s="62" t="s">
        <v>475</v>
      </c>
      <c r="D26" s="62" t="s">
        <v>183</v>
      </c>
      <c r="E26" s="76">
        <f>IF(B26="","",VLOOKUP(B26,dagsoorttabel1,2,FALSE))</f>
        <v>1</v>
      </c>
      <c r="F26" s="76">
        <v>1</v>
      </c>
      <c r="G26" s="76">
        <f>IF(prodnorm28&gt;0,1/ROUND(prodnorm28,4),0)</f>
        <v>0</v>
      </c>
      <c r="H26" s="78">
        <f>ROUND(dagwerk28,4+2)</f>
        <v>0</v>
      </c>
      <c r="I26" s="79">
        <f>ROUND(uurtarief28,2)</f>
        <v>0</v>
      </c>
      <c r="J26" s="76">
        <v>32.799999999999997</v>
      </c>
    </row>
    <row r="27" spans="1:10" x14ac:dyDescent="0.2">
      <c r="A27" s="62" t="s">
        <v>221</v>
      </c>
      <c r="B27" s="62" t="s">
        <v>25</v>
      </c>
      <c r="C27" s="62" t="s">
        <v>475</v>
      </c>
      <c r="D27" s="62" t="s">
        <v>222</v>
      </c>
      <c r="E27" s="76">
        <f>IF(B27="","",VLOOKUP(B27,dagsoorttabel1,2,FALSE))</f>
        <v>5.0000000000000001E-3</v>
      </c>
      <c r="F27" s="76">
        <v>0</v>
      </c>
      <c r="G27" s="76">
        <v>1</v>
      </c>
      <c r="H27" s="78">
        <f>ROUND(dagwerk4,4+2)</f>
        <v>0</v>
      </c>
      <c r="I27" s="79">
        <f>ROUND(uurtarief4,2)</f>
        <v>0</v>
      </c>
      <c r="J27" s="76">
        <v>1</v>
      </c>
    </row>
    <row r="28" spans="1:10" x14ac:dyDescent="0.2">
      <c r="A28" s="62" t="s">
        <v>226</v>
      </c>
      <c r="B28" s="62" t="s">
        <v>25</v>
      </c>
      <c r="C28" s="62" t="s">
        <v>475</v>
      </c>
      <c r="D28" s="62" t="s">
        <v>222</v>
      </c>
      <c r="E28" s="76">
        <f>IF(B28="","",VLOOKUP(B28,dagsoorttabel1,2,FALSE))</f>
        <v>5.0000000000000001E-3</v>
      </c>
      <c r="F28" s="76">
        <v>0</v>
      </c>
      <c r="G28" s="76">
        <v>1</v>
      </c>
      <c r="H28" s="78">
        <f>ROUND(dagwerk5,4+2)</f>
        <v>0</v>
      </c>
      <c r="I28" s="79">
        <f>ROUND(uurtarief5,2)</f>
        <v>0</v>
      </c>
      <c r="J28" s="76">
        <v>1</v>
      </c>
    </row>
    <row r="29" spans="1:10" x14ac:dyDescent="0.2">
      <c r="A29" s="67" t="s">
        <v>228</v>
      </c>
      <c r="B29" s="67" t="s">
        <v>15</v>
      </c>
      <c r="C29" s="67" t="s">
        <v>475</v>
      </c>
      <c r="D29" s="67" t="s">
        <v>222</v>
      </c>
      <c r="E29" s="80">
        <f>IF(B29="","",VLOOKUP(B29,dagsoorttabel1,2,FALSE))</f>
        <v>0.5</v>
      </c>
      <c r="F29" s="80">
        <v>1</v>
      </c>
      <c r="G29" s="80">
        <f>IF(prodnorm6&gt;0,1/ROUND(prodnorm6,4),0)</f>
        <v>0</v>
      </c>
      <c r="H29" s="120">
        <f>ROUND(dagwerk6,4+2)</f>
        <v>0</v>
      </c>
      <c r="I29" s="82">
        <f>ROUND(uurtarief6,2)</f>
        <v>0</v>
      </c>
      <c r="J29" s="80">
        <v>3874.2999999999997</v>
      </c>
    </row>
    <row r="30" spans="1:10" x14ac:dyDescent="0.2">
      <c r="A30" s="84" t="s">
        <v>230</v>
      </c>
      <c r="B30" s="85"/>
      <c r="C30" s="85"/>
      <c r="D30" s="85"/>
      <c r="E30" s="85"/>
      <c r="F30" s="85"/>
      <c r="G30" s="85"/>
      <c r="H30" s="85"/>
      <c r="I30" s="85"/>
      <c r="J30" s="44"/>
    </row>
  </sheetData>
  <sheetProtection algorithmName="SHA-512" hashValue="FrVtvIUgOcVyVfI1QIEqe/x9Y/ZFTXPoPFOlSQpFkdTyMiNXVx7U2b8h2IaXUw4lxgC3CAHh6Mee7sxXJihtMA==" saltValue="L/qaexkh12n486xLkxNy2w==" spinCount="100000" sheet="1" objects="1" scenarios="1" autoFilter="0"/>
  <pageMargins left="0.7" right="0.7" top="0.75" bottom="0.75" header="0.3" footer="0.3"/>
  <pageSetup paperSize="9" scale="70" orientation="landscape" horizontalDpi="4294967295" verticalDpi="4294967295" r:id="rId1"/>
  <headerFooter>
    <oddFooter>&amp;LStichting VO Haaglanden EA 2025                             &amp;ROpmaakdatum: 28-05-2025
Intexso - Plantageweg 23E - Leusden
+31 (33) 2778485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419B1-E78B-4FCF-BB90-859A213A500F}">
  <dimension ref="A1:R12"/>
  <sheetViews>
    <sheetView workbookViewId="0"/>
  </sheetViews>
  <sheetFormatPr defaultRowHeight="12.75" x14ac:dyDescent="0.2"/>
  <cols>
    <col min="1" max="1" width="8.625" customWidth="1"/>
    <col min="2" max="2" width="28.625" customWidth="1"/>
    <col min="3" max="4" width="15.625" customWidth="1"/>
    <col min="5" max="5" width="6.125" customWidth="1"/>
    <col min="6" max="6" width="10.625" customWidth="1"/>
    <col min="7" max="14" width="12.125" customWidth="1"/>
    <col min="15" max="16" width="12.625" customWidth="1"/>
    <col min="17" max="17" width="14.625" customWidth="1"/>
    <col min="18" max="18" width="13.625" customWidth="1"/>
  </cols>
  <sheetData>
    <row r="1" spans="1:18" x14ac:dyDescent="0.2">
      <c r="A1" s="1" t="str">
        <f>CONCATENATE("Bijlage G.4.4: ",tabeltype," objecten")</f>
        <v>Bijlage G.4.4: Invultabel objecten</v>
      </c>
    </row>
    <row r="3" spans="1:18" ht="51" x14ac:dyDescent="0.2">
      <c r="A3" s="50" t="s">
        <v>233</v>
      </c>
      <c r="B3" s="50" t="s">
        <v>476</v>
      </c>
      <c r="C3" s="50" t="s">
        <v>477</v>
      </c>
      <c r="D3" s="50" t="s">
        <v>478</v>
      </c>
      <c r="E3" s="50" t="s">
        <v>7</v>
      </c>
      <c r="F3" s="50" t="s">
        <v>479</v>
      </c>
      <c r="G3" s="50" t="s">
        <v>480</v>
      </c>
      <c r="H3" s="50" t="s">
        <v>481</v>
      </c>
      <c r="I3" s="50" t="s">
        <v>482</v>
      </c>
      <c r="J3" s="50" t="s">
        <v>483</v>
      </c>
      <c r="K3" s="50" t="s">
        <v>484</v>
      </c>
      <c r="L3" s="50" t="s">
        <v>485</v>
      </c>
      <c r="M3" s="50" t="s">
        <v>486</v>
      </c>
      <c r="N3" s="50" t="s">
        <v>487</v>
      </c>
      <c r="O3" s="50" t="s">
        <v>488</v>
      </c>
      <c r="P3" s="50" t="s">
        <v>180</v>
      </c>
      <c r="Q3" s="50" t="s">
        <v>181</v>
      </c>
      <c r="R3" s="50" t="s">
        <v>489</v>
      </c>
    </row>
    <row r="4" spans="1:18" x14ac:dyDescent="0.2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3"/>
    </row>
    <row r="5" spans="1:18" x14ac:dyDescent="0.2">
      <c r="A5" s="54" t="s">
        <v>101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</row>
    <row r="6" spans="1:18" x14ac:dyDescent="0.2">
      <c r="A6" s="121" t="s">
        <v>243</v>
      </c>
      <c r="B6" s="121" t="s">
        <v>490</v>
      </c>
      <c r="C6" s="121" t="s">
        <v>491</v>
      </c>
      <c r="D6" s="121" t="s">
        <v>492</v>
      </c>
      <c r="E6" s="122" t="s">
        <v>11</v>
      </c>
      <c r="F6" s="123">
        <f>gemuurtarief1</f>
        <v>0</v>
      </c>
      <c r="G6" s="124">
        <f>SUMPRODUCT(taakfreqtabel1,uurfactortabel1,kengetaltabel1,object1_opptabel1)*(1/VLOOKUP(E6,dagsoorttabel1,2,FALSE))</f>
        <v>0</v>
      </c>
      <c r="H6" s="124">
        <f>SUMPRODUCT(dagwerktabel1,taakfreqtabel1,uurfactortabel1,kengetaltabel1,object1_opptabel1)*(1/VLOOKUP(E6,dagsoorttabel1,2,FALSE))</f>
        <v>0</v>
      </c>
      <c r="I6" s="125"/>
      <c r="J6" s="124">
        <f>H6+I6</f>
        <v>0</v>
      </c>
      <c r="K6" s="124">
        <f>G6+I6</f>
        <v>0</v>
      </c>
      <c r="L6" s="126">
        <f>SUMPRODUCT(taakfreqtabel1,kengetaltabel1,tarieftabel1,object1_opptabel1)*(1/VLOOKUP(E6,dagsoorttabel1,2,FALSE))</f>
        <v>0</v>
      </c>
      <c r="M6" s="126">
        <f>F6*I6</f>
        <v>0</v>
      </c>
      <c r="N6" s="126">
        <f>SUM(L6:M6)</f>
        <v>0</v>
      </c>
      <c r="O6" s="124">
        <f>J6*dagenperjaar1*VLOOKUP(E6,dagsoorttabel1,2,FALSE)</f>
        <v>0</v>
      </c>
      <c r="P6" s="124">
        <f>K6*dagenperjaar1*VLOOKUP(E6,dagsoorttabel1,2,FALSE)</f>
        <v>0</v>
      </c>
      <c r="Q6" s="126">
        <f>N6*dagenperjaar1*VLOOKUP(E6,dagsoorttabel1,2,FALSE)</f>
        <v>0</v>
      </c>
      <c r="R6" s="126">
        <f>Q6/12</f>
        <v>0</v>
      </c>
    </row>
    <row r="7" spans="1:18" x14ac:dyDescent="0.2">
      <c r="A7" s="84" t="s">
        <v>230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6">
        <f>SUM(O6:O6)</f>
        <v>0</v>
      </c>
      <c r="P7" s="86">
        <f>SUM(P6:P6)</f>
        <v>0</v>
      </c>
      <c r="Q7" s="87">
        <f>SUM(Q6:Q6)</f>
        <v>0</v>
      </c>
      <c r="R7" s="88">
        <f>SUM(R6:R6)</f>
        <v>0</v>
      </c>
    </row>
    <row r="8" spans="1:18" x14ac:dyDescent="0.2">
      <c r="A8" s="89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90"/>
    </row>
    <row r="10" spans="1:18" x14ac:dyDescent="0.2">
      <c r="A10" s="84" t="s">
        <v>493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6">
        <f>urenjaartotaalhf1</f>
        <v>0</v>
      </c>
      <c r="P10" s="86">
        <f>urenjaartotaal1</f>
        <v>0</v>
      </c>
      <c r="Q10" s="87">
        <f>prijsjaartotaal1</f>
        <v>0</v>
      </c>
      <c r="R10" s="87">
        <f>prijsmaandtotaal1</f>
        <v>0</v>
      </c>
    </row>
    <row r="12" spans="1:18" x14ac:dyDescent="0.2">
      <c r="A12" s="84" t="s">
        <v>494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7">
        <f>Q10*1.21</f>
        <v>0</v>
      </c>
      <c r="R12" s="87">
        <f>R10*1.21</f>
        <v>0</v>
      </c>
    </row>
  </sheetData>
  <sheetProtection algorithmName="SHA-512" hashValue="3TLL5lwFYhJxdfkYH8gjauOpKVYmBxD33F/AuTtw3GHwLOe4Om6vB6OQZj9aE/eXI3CR735TOKXcqF+52ZR1kQ==" saltValue="0/JwUxYS6d/MQhJ4eYVYrg==" spinCount="100000" sheet="1" objects="1" scenarios="1" autoFilter="0"/>
  <pageMargins left="0.7" right="0.7" top="0.75" bottom="0.75" header="0.3" footer="0.3"/>
  <pageSetup paperSize="9" scale="65" orientation="landscape" horizontalDpi="4294967295" verticalDpi="4294967295" r:id="rId1"/>
  <headerFooter>
    <oddFooter>&amp;LStichting VO Haaglanden EA 2025                             &amp;ROpmaakdatum: 28-05-2025
Intexso - Plantageweg 23E - Leusden
+31 (33) 2778485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BC292-F6E4-427E-BA06-DAF0CD139252}">
  <dimension ref="A1:I6"/>
  <sheetViews>
    <sheetView workbookViewId="0"/>
  </sheetViews>
  <sheetFormatPr defaultRowHeight="12.75" x14ac:dyDescent="0.2"/>
  <cols>
    <col min="1" max="1" width="8.625" customWidth="1"/>
    <col min="2" max="2" width="32.625" customWidth="1"/>
    <col min="3" max="3" width="20.625" customWidth="1"/>
    <col min="4" max="4" width="18.625" customWidth="1"/>
    <col min="5" max="6" width="12.625" customWidth="1"/>
    <col min="7" max="7" width="14.625" customWidth="1"/>
    <col min="8" max="9" width="13.625" customWidth="1"/>
  </cols>
  <sheetData>
    <row r="1" spans="1:9" x14ac:dyDescent="0.2">
      <c r="A1" s="1" t="str">
        <f>CONCATENATE("Bijlage G.4.5: ",tabeltype," totaalblad objecten")</f>
        <v>Bijlage G.4.5: Invultabel totaalblad objecten</v>
      </c>
    </row>
    <row r="3" spans="1:9" ht="38.25" x14ac:dyDescent="0.2">
      <c r="A3" s="50" t="s">
        <v>233</v>
      </c>
      <c r="B3" s="50" t="s">
        <v>476</v>
      </c>
      <c r="C3" s="50" t="s">
        <v>477</v>
      </c>
      <c r="D3" s="50" t="s">
        <v>478</v>
      </c>
      <c r="E3" s="50" t="s">
        <v>488</v>
      </c>
      <c r="F3" s="50" t="s">
        <v>180</v>
      </c>
      <c r="G3" s="50" t="s">
        <v>181</v>
      </c>
      <c r="H3" s="50" t="s">
        <v>495</v>
      </c>
      <c r="I3" s="50" t="s">
        <v>496</v>
      </c>
    </row>
    <row r="4" spans="1:9" x14ac:dyDescent="0.2">
      <c r="A4" s="121" t="s">
        <v>243</v>
      </c>
      <c r="B4" s="121" t="s">
        <v>490</v>
      </c>
      <c r="C4" s="121" t="s">
        <v>491</v>
      </c>
      <c r="D4" s="121" t="s">
        <v>492</v>
      </c>
      <c r="E4" s="124">
        <f>objecturenhf1_1</f>
        <v>0</v>
      </c>
      <c r="F4" s="124">
        <f>objecturen1_1</f>
        <v>0</v>
      </c>
      <c r="G4" s="126">
        <f>objectprijs1_1</f>
        <v>0</v>
      </c>
      <c r="H4" s="126">
        <f>G4/12</f>
        <v>0</v>
      </c>
      <c r="I4" s="126">
        <f>H4*1.21</f>
        <v>0</v>
      </c>
    </row>
    <row r="6" spans="1:9" x14ac:dyDescent="0.2">
      <c r="A6" s="84" t="s">
        <v>497</v>
      </c>
      <c r="B6" s="85"/>
      <c r="C6" s="85"/>
      <c r="D6" s="85"/>
      <c r="E6" s="86">
        <f>SUM(E4:E4)</f>
        <v>0</v>
      </c>
      <c r="F6" s="86">
        <f>SUM(F4:F4)</f>
        <v>0</v>
      </c>
      <c r="G6" s="87">
        <f>SUM(G4:G4)</f>
        <v>0</v>
      </c>
      <c r="H6" s="87">
        <f>SUM(H4:H4)</f>
        <v>0</v>
      </c>
      <c r="I6" s="87">
        <f>SUM(I4:I4)</f>
        <v>0</v>
      </c>
    </row>
  </sheetData>
  <sheetProtection algorithmName="SHA-512" hashValue="yqy76jSkE9Xiqaj4EDHEdd3RaGgrN4yOcLhoVy5vKrjYl0+Q2DYdBXYCdeTKqaKzu1cg9COHYvbqf9ZpUQDoPA==" saltValue="5d6Xt3tU+a81zU59K9J4mQ==" spinCount="100000" sheet="1" objects="1" scenarios="1" autoFilter="0"/>
  <pageMargins left="0.7" right="0.7" top="0.75" bottom="0.75" header="0.3" footer="0.3"/>
  <pageSetup paperSize="9" scale="65" orientation="landscape" horizontalDpi="4294967295" verticalDpi="4294967295" r:id="rId1"/>
  <headerFooter>
    <oddFooter>&amp;LStichting VO Haaglanden EA 2025                             &amp;ROpmaakdatum: 28-05-2025
Intexso - Plantageweg 23E - Leusden
+31 (33) 2778485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2950E-CCDC-46BC-86C0-E741AA5EF6BA}">
  <dimension ref="A1:L10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 x14ac:dyDescent="0.2">
      <c r="A1" s="1" t="str">
        <f>CONCATENATE("Bijlage G.4.6: ",tabeltype," afroep")</f>
        <v>Bijlage G.4.6: Invultabel afroep</v>
      </c>
    </row>
    <row r="3" spans="1:12" ht="38.25" x14ac:dyDescent="0.2">
      <c r="A3" s="50" t="s">
        <v>498</v>
      </c>
      <c r="B3" s="50" t="s">
        <v>7</v>
      </c>
      <c r="C3" s="50" t="s">
        <v>499</v>
      </c>
      <c r="D3" s="50" t="s">
        <v>96</v>
      </c>
      <c r="E3" s="50" t="s">
        <v>99</v>
      </c>
      <c r="F3" s="50" t="s">
        <v>500</v>
      </c>
      <c r="G3" s="50" t="s">
        <v>501</v>
      </c>
      <c r="H3" s="50" t="s">
        <v>502</v>
      </c>
      <c r="I3" s="50" t="s">
        <v>503</v>
      </c>
      <c r="J3" s="50" t="s">
        <v>504</v>
      </c>
      <c r="K3" s="50" t="s">
        <v>181</v>
      </c>
      <c r="L3" s="50" t="s">
        <v>489</v>
      </c>
    </row>
    <row r="4" spans="1:12" x14ac:dyDescent="0.2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3"/>
    </row>
    <row r="5" spans="1:12" x14ac:dyDescent="0.2">
      <c r="A5" s="54" t="s">
        <v>101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6"/>
    </row>
    <row r="6" spans="1:12" x14ac:dyDescent="0.2">
      <c r="A6" s="57" t="s">
        <v>505</v>
      </c>
      <c r="B6" s="57" t="s">
        <v>20</v>
      </c>
      <c r="C6" s="58">
        <f>IF(ISBLANK(B6),0,IF(ISERROR(VALUE(B6)),VLOOKUP(B6,dagsoorttabel1,2,FALSE)*dagenperjaar1,VALUE(B6)))</f>
        <v>10</v>
      </c>
      <c r="D6" s="57" t="s">
        <v>506</v>
      </c>
      <c r="E6" s="57" t="s">
        <v>507</v>
      </c>
      <c r="F6" s="127">
        <v>20</v>
      </c>
      <c r="G6" s="61"/>
      <c r="H6" s="128"/>
      <c r="I6" s="129">
        <f>G6</f>
        <v>0</v>
      </c>
      <c r="J6" s="75">
        <f>IF(ISBLANK(F6),0,F6)*ROUND(I6,2)</f>
        <v>0</v>
      </c>
      <c r="K6" s="75">
        <f>C6*J6</f>
        <v>0</v>
      </c>
      <c r="L6" s="75">
        <f>K6/12</f>
        <v>0</v>
      </c>
    </row>
    <row r="7" spans="1:12" x14ac:dyDescent="0.2">
      <c r="A7" s="67" t="s">
        <v>508</v>
      </c>
      <c r="B7" s="67" t="s">
        <v>20</v>
      </c>
      <c r="C7" s="68">
        <f>IF(ISBLANK(B7),0,IF(ISERROR(VALUE(B7)),VLOOKUP(B7,dagsoorttabel1,2,FALSE)*dagenperjaar1,VALUE(B7)))</f>
        <v>10</v>
      </c>
      <c r="D7" s="67" t="s">
        <v>509</v>
      </c>
      <c r="E7" s="67" t="s">
        <v>507</v>
      </c>
      <c r="F7" s="130">
        <v>4</v>
      </c>
      <c r="G7" s="71"/>
      <c r="H7" s="131"/>
      <c r="I7" s="132">
        <f>G7</f>
        <v>0</v>
      </c>
      <c r="J7" s="82">
        <f>IF(ISBLANK(F7),0,F7)*ROUND(I7,2)</f>
        <v>0</v>
      </c>
      <c r="K7" s="82">
        <f>C7*J7</f>
        <v>0</v>
      </c>
      <c r="L7" s="82">
        <f>K7/12</f>
        <v>0</v>
      </c>
    </row>
    <row r="8" spans="1:12" x14ac:dyDescent="0.2">
      <c r="A8" s="84" t="s">
        <v>230</v>
      </c>
      <c r="B8" s="85"/>
      <c r="C8" s="85"/>
      <c r="D8" s="85"/>
      <c r="E8" s="85"/>
      <c r="F8" s="85"/>
      <c r="G8" s="85"/>
      <c r="H8" s="85"/>
      <c r="I8" s="85"/>
      <c r="J8" s="85"/>
      <c r="K8" s="87">
        <f>SUM(K6:K7)</f>
        <v>0</v>
      </c>
      <c r="L8" s="133">
        <f>K8/12</f>
        <v>0</v>
      </c>
    </row>
    <row r="10" spans="1:12" x14ac:dyDescent="0.2">
      <c r="A10" s="84" t="s">
        <v>510</v>
      </c>
      <c r="B10" s="85"/>
      <c r="C10" s="85"/>
      <c r="D10" s="85"/>
      <c r="E10" s="85"/>
      <c r="F10" s="85"/>
      <c r="G10" s="85"/>
      <c r="H10" s="85"/>
      <c r="I10" s="85"/>
      <c r="J10" s="85"/>
      <c r="K10" s="87">
        <f>prijsjaarafroep1</f>
        <v>0</v>
      </c>
      <c r="L10" s="133">
        <f>K10/12</f>
        <v>0</v>
      </c>
    </row>
  </sheetData>
  <sheetProtection algorithmName="SHA-512" hashValue="9GyfZrxMto1fShxjOpRGL+mMIhau8iQQSqAJh1YSaqY6iQN+NWseYWs/YgSS52avgPB6GejrJmQjP8eYctaVaA==" saltValue="q9s1BURnZq0LhJyG3/rw5Q==" spinCount="100000" sheet="1" objects="1" scenarios="1" autoFilter="0"/>
  <pageMargins left="0.7" right="0.7" top="0.75" bottom="0.75" header="0.3" footer="0.3"/>
  <pageSetup paperSize="9" scale="65" orientation="landscape" horizontalDpi="4294967295" verticalDpi="4294967295" r:id="rId1"/>
  <headerFooter>
    <oddFooter>&amp;LStichting VO Haaglanden EA 2025                             &amp;ROpmaakdatum: 28-05-2025
Intexso - Plantageweg 23E - Leusden
+31 (33) 2778485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406</vt:i4>
      </vt:variant>
    </vt:vector>
  </HeadingPairs>
  <TitlesOfParts>
    <vt:vector size="419" baseType="lpstr">
      <vt:lpstr>Omreken</vt:lpstr>
      <vt:lpstr>Tariefopbouw</vt:lpstr>
      <vt:lpstr>Categorienormen</vt:lpstr>
      <vt:lpstr>Regulier werk</vt:lpstr>
      <vt:lpstr>Ruimten werkdag</vt:lpstr>
      <vt:lpstr>Objectinformatie</vt:lpstr>
      <vt:lpstr>Objecten</vt:lpstr>
      <vt:lpstr>Totaalblad Objecten</vt:lpstr>
      <vt:lpstr>Afroep</vt:lpstr>
      <vt:lpstr>Afroep incidenteel</vt:lpstr>
      <vt:lpstr>Glas</vt:lpstr>
      <vt:lpstr>Glas per locatie</vt:lpstr>
      <vt:lpstr>Totaal</vt:lpstr>
      <vt:lpstr>Afroep!Afdruktitels</vt:lpstr>
      <vt:lpstr>'Afroep incidenteel'!Afdruktitels</vt:lpstr>
      <vt:lpstr>Categorienormen!Afdruktitels</vt:lpstr>
      <vt:lpstr>Glas!Afdruktitels</vt:lpstr>
      <vt:lpstr>'Glas per locatie'!Afdruktitels</vt:lpstr>
      <vt:lpstr>Objecten!Afdruktitels</vt:lpstr>
      <vt:lpstr>Objectinformatie!Afdruktitels</vt:lpstr>
      <vt:lpstr>'Regulier werk'!Afdruktitels</vt:lpstr>
      <vt:lpstr>'Ruimten werkdag'!Afdruktitels</vt:lpstr>
      <vt:lpstr>Tariefopbouw!Afdruktitels</vt:lpstr>
      <vt:lpstr>Totaal!Afdruktitels</vt:lpstr>
      <vt:lpstr>'Totaalblad Objecten'!Afdruktitels</vt:lpstr>
      <vt:lpstr>catdw_1_AHB_1</vt:lpstr>
      <vt:lpstr>catdw_1_AHV_40</vt:lpstr>
      <vt:lpstr>catdw_1_BHB_1</vt:lpstr>
      <vt:lpstr>catdw_1_BZB_1</vt:lpstr>
      <vt:lpstr>catdw_1_BZV_40</vt:lpstr>
      <vt:lpstr>catdw_1_DHB_1</vt:lpstr>
      <vt:lpstr>catdw_1_DHV_40</vt:lpstr>
      <vt:lpstr>catdw_1_EZB_1</vt:lpstr>
      <vt:lpstr>catdw_1_EZV_40</vt:lpstr>
      <vt:lpstr>catdw_1_EZV_42</vt:lpstr>
      <vt:lpstr>catdw_1_FHB_1</vt:lpstr>
      <vt:lpstr>catdw_1_FHV_40</vt:lpstr>
      <vt:lpstr>catdw_1_LHB_1</vt:lpstr>
      <vt:lpstr>catdw_1_LHV_40</vt:lpstr>
      <vt:lpstr>catdw_1_LZB_1</vt:lpstr>
      <vt:lpstr>catdw_1_LZV_40</vt:lpstr>
      <vt:lpstr>catdw_1_MHB_1</vt:lpstr>
      <vt:lpstr>catdw_1_MHV_40</vt:lpstr>
      <vt:lpstr>catdw_1_MZB_1</vt:lpstr>
      <vt:lpstr>catdw_1_MZV_40</vt:lpstr>
      <vt:lpstr>catdw_1_PHB_1</vt:lpstr>
      <vt:lpstr>catdw_1_PHV_40</vt:lpstr>
      <vt:lpstr>catdw_1_PMHB_1</vt:lpstr>
      <vt:lpstr>catdw_1_PMHV_40</vt:lpstr>
      <vt:lpstr>catdw_1_PUHB_1</vt:lpstr>
      <vt:lpstr>catdw_1_PUHV_40</vt:lpstr>
      <vt:lpstr>catdw_1_SHB_1</vt:lpstr>
      <vt:lpstr>catdw_1_SHV_40</vt:lpstr>
      <vt:lpstr>catdw_1_SHV_42</vt:lpstr>
      <vt:lpstr>catdw_1_THB_1</vt:lpstr>
      <vt:lpstr>catdw_1_THV_40</vt:lpstr>
      <vt:lpstr>catdw_1_VHB_1</vt:lpstr>
      <vt:lpstr>catdw_1_VHV_40</vt:lpstr>
      <vt:lpstr>catdw_1_VZB_1</vt:lpstr>
      <vt:lpstr>catdw_1_VZV_40</vt:lpstr>
      <vt:lpstr>catfd_1_AHB_1</vt:lpstr>
      <vt:lpstr>catfd_1_AHV_40</vt:lpstr>
      <vt:lpstr>catfd_1_BHB_1</vt:lpstr>
      <vt:lpstr>catfd_1_BZB_1</vt:lpstr>
      <vt:lpstr>catfd_1_BZV_40</vt:lpstr>
      <vt:lpstr>catfd_1_DHB_1</vt:lpstr>
      <vt:lpstr>catfd_1_DHV_40</vt:lpstr>
      <vt:lpstr>catfd_1_EZB_1</vt:lpstr>
      <vt:lpstr>catfd_1_EZV_40</vt:lpstr>
      <vt:lpstr>catfd_1_EZV_42</vt:lpstr>
      <vt:lpstr>catfd_1_FHB_1</vt:lpstr>
      <vt:lpstr>catfd_1_FHV_40</vt:lpstr>
      <vt:lpstr>catfd_1_LHB_1</vt:lpstr>
      <vt:lpstr>catfd_1_LHV_40</vt:lpstr>
      <vt:lpstr>catfd_1_LZB_1</vt:lpstr>
      <vt:lpstr>catfd_1_LZV_40</vt:lpstr>
      <vt:lpstr>catfd_1_MHB_1</vt:lpstr>
      <vt:lpstr>catfd_1_MHV_40</vt:lpstr>
      <vt:lpstr>catfd_1_MZB_1</vt:lpstr>
      <vt:lpstr>catfd_1_MZV_40</vt:lpstr>
      <vt:lpstr>catfd_1_PHB_1</vt:lpstr>
      <vt:lpstr>catfd_1_PHV_40</vt:lpstr>
      <vt:lpstr>catfd_1_PMHB_1</vt:lpstr>
      <vt:lpstr>catfd_1_PMHV_40</vt:lpstr>
      <vt:lpstr>catfd_1_PUHB_1</vt:lpstr>
      <vt:lpstr>catfd_1_PUHV_40</vt:lpstr>
      <vt:lpstr>catfd_1_SHB_1</vt:lpstr>
      <vt:lpstr>catfd_1_SHV_40</vt:lpstr>
      <vt:lpstr>catfd_1_SHV_42</vt:lpstr>
      <vt:lpstr>catfd_1_THB_1</vt:lpstr>
      <vt:lpstr>catfd_1_THV_40</vt:lpstr>
      <vt:lpstr>catfd_1_VHB_1</vt:lpstr>
      <vt:lpstr>catfd_1_VHV_40</vt:lpstr>
      <vt:lpstr>catfd_1_VZB_1</vt:lpstr>
      <vt:lpstr>catfd_1_VZV_40</vt:lpstr>
      <vt:lpstr>catpn_1_AHB_1</vt:lpstr>
      <vt:lpstr>catpn_1_AHV_40</vt:lpstr>
      <vt:lpstr>catpn_1_BHB_1</vt:lpstr>
      <vt:lpstr>catpn_1_BZB_1</vt:lpstr>
      <vt:lpstr>catpn_1_BZV_40</vt:lpstr>
      <vt:lpstr>catpn_1_DHB_1</vt:lpstr>
      <vt:lpstr>catpn_1_DHV_40</vt:lpstr>
      <vt:lpstr>catpn_1_EZB_1</vt:lpstr>
      <vt:lpstr>catpn_1_EZV_40</vt:lpstr>
      <vt:lpstr>catpn_1_EZV_42</vt:lpstr>
      <vt:lpstr>catpn_1_FHB_1</vt:lpstr>
      <vt:lpstr>catpn_1_FHV_40</vt:lpstr>
      <vt:lpstr>catpn_1_LHB_1</vt:lpstr>
      <vt:lpstr>catpn_1_LHV_40</vt:lpstr>
      <vt:lpstr>catpn_1_LZB_1</vt:lpstr>
      <vt:lpstr>catpn_1_LZV_40</vt:lpstr>
      <vt:lpstr>catpn_1_MHB_1</vt:lpstr>
      <vt:lpstr>catpn_1_MHV_40</vt:lpstr>
      <vt:lpstr>catpn_1_MZB_1</vt:lpstr>
      <vt:lpstr>catpn_1_MZV_40</vt:lpstr>
      <vt:lpstr>catpn_1_PHB_1</vt:lpstr>
      <vt:lpstr>catpn_1_PHV_40</vt:lpstr>
      <vt:lpstr>catpn_1_PMHB_1</vt:lpstr>
      <vt:lpstr>catpn_1_PMHV_40</vt:lpstr>
      <vt:lpstr>catpn_1_PUHB_1</vt:lpstr>
      <vt:lpstr>catpn_1_PUHV_40</vt:lpstr>
      <vt:lpstr>catpn_1_SHB_1</vt:lpstr>
      <vt:lpstr>catpn_1_SHV_40</vt:lpstr>
      <vt:lpstr>catpn_1_SHV_42</vt:lpstr>
      <vt:lpstr>catpn_1_THB_1</vt:lpstr>
      <vt:lpstr>catpn_1_THV_40</vt:lpstr>
      <vt:lpstr>catpn_1_VHB_1</vt:lpstr>
      <vt:lpstr>catpn_1_VHV_40</vt:lpstr>
      <vt:lpstr>catpn_1_VZB_1</vt:lpstr>
      <vt:lpstr>catpn_1_VZV_40</vt:lpstr>
      <vt:lpstr>cattf_1_AHB_1</vt:lpstr>
      <vt:lpstr>cattf_1_AHV_40</vt:lpstr>
      <vt:lpstr>cattf_1_BHB_1</vt:lpstr>
      <vt:lpstr>cattf_1_BZB_1</vt:lpstr>
      <vt:lpstr>cattf_1_BZV_40</vt:lpstr>
      <vt:lpstr>cattf_1_DHB_1</vt:lpstr>
      <vt:lpstr>cattf_1_DHV_40</vt:lpstr>
      <vt:lpstr>cattf_1_EZB_1</vt:lpstr>
      <vt:lpstr>cattf_1_EZV_40</vt:lpstr>
      <vt:lpstr>cattf_1_EZV_42</vt:lpstr>
      <vt:lpstr>cattf_1_FHB_1</vt:lpstr>
      <vt:lpstr>cattf_1_FHV_40</vt:lpstr>
      <vt:lpstr>cattf_1_LHB_1</vt:lpstr>
      <vt:lpstr>cattf_1_LHV_40</vt:lpstr>
      <vt:lpstr>cattf_1_LZB_1</vt:lpstr>
      <vt:lpstr>cattf_1_LZV_40</vt:lpstr>
      <vt:lpstr>cattf_1_MHB_1</vt:lpstr>
      <vt:lpstr>cattf_1_MHV_40</vt:lpstr>
      <vt:lpstr>cattf_1_MZB_1</vt:lpstr>
      <vt:lpstr>cattf_1_MZV_40</vt:lpstr>
      <vt:lpstr>cattf_1_PHB_1</vt:lpstr>
      <vt:lpstr>cattf_1_PHV_40</vt:lpstr>
      <vt:lpstr>cattf_1_PMHB_1</vt:lpstr>
      <vt:lpstr>cattf_1_PMHV_40</vt:lpstr>
      <vt:lpstr>cattf_1_PUHB_1</vt:lpstr>
      <vt:lpstr>cattf_1_PUHV_40</vt:lpstr>
      <vt:lpstr>cattf_1_SHB_1</vt:lpstr>
      <vt:lpstr>cattf_1_SHV_40</vt:lpstr>
      <vt:lpstr>cattf_1_SHV_42</vt:lpstr>
      <vt:lpstr>cattf_1_THB_1</vt:lpstr>
      <vt:lpstr>cattf_1_THV_40</vt:lpstr>
      <vt:lpstr>cattf_1_VHB_1</vt:lpstr>
      <vt:lpstr>cattf_1_VHV_40</vt:lpstr>
      <vt:lpstr>cattf_1_VZB_1</vt:lpstr>
      <vt:lpstr>cattf_1_VZV_40</vt:lpstr>
      <vt:lpstr>dagenperjaar1</vt:lpstr>
      <vt:lpstr>dagenperjaar2</vt:lpstr>
      <vt:lpstr>dagenperjaar3</vt:lpstr>
      <vt:lpstr>dagenperjaar4</vt:lpstr>
      <vt:lpstr>dagenperjaar5</vt:lpstr>
      <vt:lpstr>dagenperweek1</vt:lpstr>
      <vt:lpstr>dagenperweek2</vt:lpstr>
      <vt:lpstr>dagenperweek3</vt:lpstr>
      <vt:lpstr>dagenperweek4</vt:lpstr>
      <vt:lpstr>dagenperweek5</vt:lpstr>
      <vt:lpstr>dagsoorttabel1</vt:lpstr>
      <vt:lpstr>dagsoorttabel2</vt:lpstr>
      <vt:lpstr>dagsoorttabel3</vt:lpstr>
      <vt:lpstr>dagsoorttabel4</vt:lpstr>
      <vt:lpstr>dagsoorttabel5</vt:lpstr>
      <vt:lpstr>dagwerk10</vt:lpstr>
      <vt:lpstr>dagwerk11</vt:lpstr>
      <vt:lpstr>dagwerk12</vt:lpstr>
      <vt:lpstr>dagwerk13</vt:lpstr>
      <vt:lpstr>dagwerk14</vt:lpstr>
      <vt:lpstr>dagwerk15</vt:lpstr>
      <vt:lpstr>dagwerk16</vt:lpstr>
      <vt:lpstr>dagwerk17</vt:lpstr>
      <vt:lpstr>dagwerk18</vt:lpstr>
      <vt:lpstr>dagwerk19</vt:lpstr>
      <vt:lpstr>dagwerk20</vt:lpstr>
      <vt:lpstr>dagwerk21</vt:lpstr>
      <vt:lpstr>dagwerk22</vt:lpstr>
      <vt:lpstr>dagwerk23</vt:lpstr>
      <vt:lpstr>dagwerk24</vt:lpstr>
      <vt:lpstr>dagwerk25</vt:lpstr>
      <vt:lpstr>dagwerk26</vt:lpstr>
      <vt:lpstr>dagwerk27</vt:lpstr>
      <vt:lpstr>dagwerk28</vt:lpstr>
      <vt:lpstr>dagwerk4</vt:lpstr>
      <vt:lpstr>dagwerk5</vt:lpstr>
      <vt:lpstr>dagwerk6</vt:lpstr>
      <vt:lpstr>dagwerk7</vt:lpstr>
      <vt:lpstr>dagwerk8</vt:lpstr>
      <vt:lpstr>dagwerk9</vt:lpstr>
      <vt:lpstr>dagwerktabel1</vt:lpstr>
      <vt:lpstr>gemuurtarief1</vt:lpstr>
      <vt:lpstr>kengetaltabel1</vt:lpstr>
      <vt:lpstr>object1_gemuurtarief1</vt:lpstr>
      <vt:lpstr>object1_opptabel1</vt:lpstr>
      <vt:lpstr>object1_prijsdag1</vt:lpstr>
      <vt:lpstr>object1_prijsjaar1</vt:lpstr>
      <vt:lpstr>object1_urendag1</vt:lpstr>
      <vt:lpstr>object1_urendaghf1</vt:lpstr>
      <vt:lpstr>object1_urenjaar1</vt:lpstr>
      <vt:lpstr>objectprijs1_1</vt:lpstr>
      <vt:lpstr>objecturen1_1</vt:lpstr>
      <vt:lpstr>objecturenhf1_1</vt:lpstr>
      <vt:lpstr>prijsdag1</vt:lpstr>
      <vt:lpstr>prijsjaar</vt:lpstr>
      <vt:lpstr>prijsjaar1</vt:lpstr>
      <vt:lpstr>prijsjaarafroep</vt:lpstr>
      <vt:lpstr>prijsjaarafroep1</vt:lpstr>
      <vt:lpstr>prijsjaarglas</vt:lpstr>
      <vt:lpstr>prijsjaarglas1</vt:lpstr>
      <vt:lpstr>prijsjaartotaal</vt:lpstr>
      <vt:lpstr>prijsjaartotaal1</vt:lpstr>
      <vt:lpstr>prijsjaartotaaloverzicht</vt:lpstr>
      <vt:lpstr>prijsmaandtotaal1</vt:lpstr>
      <vt:lpstr>prodnorm0</vt:lpstr>
      <vt:lpstr>prodnorm1</vt:lpstr>
      <vt:lpstr>prodnorm10</vt:lpstr>
      <vt:lpstr>prodnorm11</vt:lpstr>
      <vt:lpstr>prodnorm12</vt:lpstr>
      <vt:lpstr>prodnorm13</vt:lpstr>
      <vt:lpstr>prodnorm14</vt:lpstr>
      <vt:lpstr>prodnorm15</vt:lpstr>
      <vt:lpstr>prodnorm16</vt:lpstr>
      <vt:lpstr>prodnorm17</vt:lpstr>
      <vt:lpstr>prodnorm18</vt:lpstr>
      <vt:lpstr>prodnorm19</vt:lpstr>
      <vt:lpstr>prodnorm2</vt:lpstr>
      <vt:lpstr>prodnorm20</vt:lpstr>
      <vt:lpstr>prodnorm21</vt:lpstr>
      <vt:lpstr>prodnorm22</vt:lpstr>
      <vt:lpstr>prodnorm23</vt:lpstr>
      <vt:lpstr>prodnorm24</vt:lpstr>
      <vt:lpstr>prodnorm25</vt:lpstr>
      <vt:lpstr>prodnorm26</vt:lpstr>
      <vt:lpstr>prodnorm27</vt:lpstr>
      <vt:lpstr>prodnorm28</vt:lpstr>
      <vt:lpstr>prodnorm3</vt:lpstr>
      <vt:lpstr>prodnorm4</vt:lpstr>
      <vt:lpstr>prodnorm5</vt:lpstr>
      <vt:lpstr>prodnorm6</vt:lpstr>
      <vt:lpstr>prodnorm7</vt:lpstr>
      <vt:lpstr>prodnorm8</vt:lpstr>
      <vt:lpstr>prodnorm9</vt:lpstr>
      <vt:lpstr>taakfreqtabel1</vt:lpstr>
      <vt:lpstr>tabeltype</vt:lpstr>
      <vt:lpstr>Tariefopbouw1</vt:lpstr>
      <vt:lpstr>Tariefopbouw2</vt:lpstr>
      <vt:lpstr>Tariefopbouw3</vt:lpstr>
      <vt:lpstr>TariefOpbouwBasisloon1</vt:lpstr>
      <vt:lpstr>TariefOpbouwBasisloon2</vt:lpstr>
      <vt:lpstr>TariefOpbouwBasisloon3</vt:lpstr>
      <vt:lpstr>TariefOpbouwBasisloon4</vt:lpstr>
      <vt:lpstr>TariefOpbouwBasisloon5</vt:lpstr>
      <vt:lpstr>TariefOpbouwBasisloon6</vt:lpstr>
      <vt:lpstr>TariefOpbouwBasisloon7</vt:lpstr>
      <vt:lpstr>TariefOpbouwBasisloon8</vt:lpstr>
      <vt:lpstr>TariefOpbouwDirecteKosten1</vt:lpstr>
      <vt:lpstr>TariefOpbouwDirecteKosten2</vt:lpstr>
      <vt:lpstr>TariefOpbouwDirecteKosten3</vt:lpstr>
      <vt:lpstr>TariefOpbouwDirecteKosten4</vt:lpstr>
      <vt:lpstr>TariefOpbouwDirecteKosten5</vt:lpstr>
      <vt:lpstr>TariefOpbouwDirecteKosten6</vt:lpstr>
      <vt:lpstr>TariefOpbouwDirecteKosten7</vt:lpstr>
      <vt:lpstr>TariefOpbouwDirecteKosten8</vt:lpstr>
      <vt:lpstr>TariefOpbouwErvaring1</vt:lpstr>
      <vt:lpstr>TariefOpbouwErvaring2</vt:lpstr>
      <vt:lpstr>TariefOpbouwErvaring3</vt:lpstr>
      <vt:lpstr>TariefOpbouwErvaring4</vt:lpstr>
      <vt:lpstr>TariefOpbouwErvaring5</vt:lpstr>
      <vt:lpstr>TariefOpbouwErvaring6</vt:lpstr>
      <vt:lpstr>TariefOpbouwErvaring7</vt:lpstr>
      <vt:lpstr>TariefOpbouwErvaring8</vt:lpstr>
      <vt:lpstr>TariefOpbouwIndirecteKosten1</vt:lpstr>
      <vt:lpstr>TariefOpbouwIndirecteKosten2</vt:lpstr>
      <vt:lpstr>TariefOpbouwIndirecteKosten3</vt:lpstr>
      <vt:lpstr>TariefOpbouwIndirecteKosten4</vt:lpstr>
      <vt:lpstr>TariefOpbouwIndirecteKosten5</vt:lpstr>
      <vt:lpstr>TariefOpbouwIndirecteKosten6</vt:lpstr>
      <vt:lpstr>TariefOpbouwIndirecteKosten7</vt:lpstr>
      <vt:lpstr>TariefOpbouwIndirecteKosten8</vt:lpstr>
      <vt:lpstr>TariefOpbouwNaam1</vt:lpstr>
      <vt:lpstr>TariefOpbouwNaam2</vt:lpstr>
      <vt:lpstr>TariefOpbouwNaam3</vt:lpstr>
      <vt:lpstr>TariefOpbouwNaam4</vt:lpstr>
      <vt:lpstr>TariefOpbouwNaam5</vt:lpstr>
      <vt:lpstr>TariefOpbouwNaam6</vt:lpstr>
      <vt:lpstr>TariefOpbouwNaam7</vt:lpstr>
      <vt:lpstr>TariefOpbouwNaam8</vt:lpstr>
      <vt:lpstr>TariefOpbouwRisicoWinst1</vt:lpstr>
      <vt:lpstr>TariefOpbouwRisicoWinst2</vt:lpstr>
      <vt:lpstr>TariefOpbouwRisicoWinst3</vt:lpstr>
      <vt:lpstr>TariefOpbouwRisicoWinst4</vt:lpstr>
      <vt:lpstr>TariefOpbouwRisicoWinst5</vt:lpstr>
      <vt:lpstr>TariefOpbouwRisicoWinst6</vt:lpstr>
      <vt:lpstr>TariefOpbouwRisicoWinst7</vt:lpstr>
      <vt:lpstr>TariefOpbouwRisicoWinst8</vt:lpstr>
      <vt:lpstr>TariefOpbouwRisicoWinstPercentage1</vt:lpstr>
      <vt:lpstr>TariefOpbouwRisicoWinstPercentage2</vt:lpstr>
      <vt:lpstr>TariefOpbouwRisicoWinstPercentage3</vt:lpstr>
      <vt:lpstr>TariefOpbouwRisicoWinstPercentage4</vt:lpstr>
      <vt:lpstr>TariefOpbouwRisicoWinstPercentage5</vt:lpstr>
      <vt:lpstr>TariefOpbouwRisicoWinstPercentage6</vt:lpstr>
      <vt:lpstr>TariefOpbouwRisicoWinstPercentage7</vt:lpstr>
      <vt:lpstr>TariefOpbouwRisicoWinstPercentage8</vt:lpstr>
      <vt:lpstr>TariefOpbouwTarief1</vt:lpstr>
      <vt:lpstr>TariefOpbouwTarief1DN</vt:lpstr>
      <vt:lpstr>TariefOpbouwTarief1W</vt:lpstr>
      <vt:lpstr>TariefOpbouwTarief1X</vt:lpstr>
      <vt:lpstr>TariefOpbouwTarief2</vt:lpstr>
      <vt:lpstr>TariefOpbouwTarief2DN</vt:lpstr>
      <vt:lpstr>TariefOpbouwTarief2W</vt:lpstr>
      <vt:lpstr>TariefOpbouwTarief2X</vt:lpstr>
      <vt:lpstr>TariefOpbouwTarief3</vt:lpstr>
      <vt:lpstr>TariefOpbouwTarief3DN</vt:lpstr>
      <vt:lpstr>TariefOpbouwTarief3W</vt:lpstr>
      <vt:lpstr>TariefOpbouwTarief3X</vt:lpstr>
      <vt:lpstr>TariefOpbouwTarief4</vt:lpstr>
      <vt:lpstr>TariefOpbouwTarief4DN</vt:lpstr>
      <vt:lpstr>TariefOpbouwTarief4W</vt:lpstr>
      <vt:lpstr>TariefOpbouwTarief4X</vt:lpstr>
      <vt:lpstr>TariefOpbouwTarief5</vt:lpstr>
      <vt:lpstr>TariefOpbouwTarief5DN</vt:lpstr>
      <vt:lpstr>TariefOpbouwTarief5W</vt:lpstr>
      <vt:lpstr>TariefOpbouwTarief5X</vt:lpstr>
      <vt:lpstr>TariefOpbouwTarief6</vt:lpstr>
      <vt:lpstr>TariefOpbouwTarief6DN</vt:lpstr>
      <vt:lpstr>TariefOpbouwTarief6W</vt:lpstr>
      <vt:lpstr>TariefOpbouwTarief6X</vt:lpstr>
      <vt:lpstr>TariefOpbouwTarief7</vt:lpstr>
      <vt:lpstr>TariefOpbouwTarief7DN</vt:lpstr>
      <vt:lpstr>TariefOpbouwTarief7W</vt:lpstr>
      <vt:lpstr>TariefOpbouwTarief7X</vt:lpstr>
      <vt:lpstr>TariefOpbouwTarief8</vt:lpstr>
      <vt:lpstr>TariefOpbouwTarief8DN</vt:lpstr>
      <vt:lpstr>TariefOpbouwTarief8W</vt:lpstr>
      <vt:lpstr>TariefOpbouwTarief8X</vt:lpstr>
      <vt:lpstr>TariefOpbouwTotaalLoonkosten1</vt:lpstr>
      <vt:lpstr>TariefOpbouwTotaalLoonkosten2</vt:lpstr>
      <vt:lpstr>TariefOpbouwTotaalLoonkosten3</vt:lpstr>
      <vt:lpstr>TariefOpbouwTotaalLoonkosten4</vt:lpstr>
      <vt:lpstr>TariefOpbouwTotaalLoonkosten5</vt:lpstr>
      <vt:lpstr>TariefOpbouwTotaalLoonkosten6</vt:lpstr>
      <vt:lpstr>TariefOpbouwTotaalLoonkosten7</vt:lpstr>
      <vt:lpstr>TariefOpbouwTotaalLoonkosten8</vt:lpstr>
      <vt:lpstr>TariefOpbouwUurloon1</vt:lpstr>
      <vt:lpstr>TariefOpbouwUurloon2</vt:lpstr>
      <vt:lpstr>TariefOpbouwUurloon3</vt:lpstr>
      <vt:lpstr>TariefOpbouwUurloon4</vt:lpstr>
      <vt:lpstr>TariefOpbouwUurloon5</vt:lpstr>
      <vt:lpstr>TariefOpbouwUurloon6</vt:lpstr>
      <vt:lpstr>TariefOpbouwUurloon7</vt:lpstr>
      <vt:lpstr>TariefOpbouwUurloon8</vt:lpstr>
      <vt:lpstr>TariefOpbouwUurloonkosten1</vt:lpstr>
      <vt:lpstr>TariefOpbouwUurloonkosten2</vt:lpstr>
      <vt:lpstr>TariefOpbouwUurloonkosten3</vt:lpstr>
      <vt:lpstr>TariefOpbouwUurloonkosten4</vt:lpstr>
      <vt:lpstr>TariefOpbouwUurloonkosten5</vt:lpstr>
      <vt:lpstr>TariefOpbouwUurloonkosten6</vt:lpstr>
      <vt:lpstr>TariefOpbouwUurloonkosten7</vt:lpstr>
      <vt:lpstr>TariefOpbouwUurloonkosten8</vt:lpstr>
      <vt:lpstr>tarieftabel1</vt:lpstr>
      <vt:lpstr>TariefUitvoering1</vt:lpstr>
      <vt:lpstr>TariefUitvoering2</vt:lpstr>
      <vt:lpstr>TariefUitvoering3</vt:lpstr>
      <vt:lpstr>urendag1</vt:lpstr>
      <vt:lpstr>urenjaar</vt:lpstr>
      <vt:lpstr>urenjaar1</vt:lpstr>
      <vt:lpstr>urenjaartotaal</vt:lpstr>
      <vt:lpstr>urenjaartotaal1</vt:lpstr>
      <vt:lpstr>urenjaartotaalhf</vt:lpstr>
      <vt:lpstr>urenjaartotaalhf1</vt:lpstr>
      <vt:lpstr>urenjaartotaaloverzicht</vt:lpstr>
      <vt:lpstr>urenjaartotaaloverzichthf</vt:lpstr>
      <vt:lpstr>uurfactortabel1</vt:lpstr>
      <vt:lpstr>uurtarief0</vt:lpstr>
      <vt:lpstr>uurtarief1</vt:lpstr>
      <vt:lpstr>uurtarief10</vt:lpstr>
      <vt:lpstr>uurtarief11</vt:lpstr>
      <vt:lpstr>uurtarief12</vt:lpstr>
      <vt:lpstr>uurtarief13</vt:lpstr>
      <vt:lpstr>uurtarief14</vt:lpstr>
      <vt:lpstr>uurtarief15</vt:lpstr>
      <vt:lpstr>uurtarief16</vt:lpstr>
      <vt:lpstr>uurtarief17</vt:lpstr>
      <vt:lpstr>uurtarief18</vt:lpstr>
      <vt:lpstr>uurtarief19</vt:lpstr>
      <vt:lpstr>uurtarief2</vt:lpstr>
      <vt:lpstr>uurtarief20</vt:lpstr>
      <vt:lpstr>uurtarief21</vt:lpstr>
      <vt:lpstr>uurtarief22</vt:lpstr>
      <vt:lpstr>uurtarief23</vt:lpstr>
      <vt:lpstr>uurtarief24</vt:lpstr>
      <vt:lpstr>uurtarief25</vt:lpstr>
      <vt:lpstr>uurtarief26</vt:lpstr>
      <vt:lpstr>uurtarief27</vt:lpstr>
      <vt:lpstr>uurtarief28</vt:lpstr>
      <vt:lpstr>uurtarief3</vt:lpstr>
      <vt:lpstr>uurtarief4</vt:lpstr>
      <vt:lpstr>uurtarief5</vt:lpstr>
      <vt:lpstr>uurtarief6</vt:lpstr>
      <vt:lpstr>uurtarief7</vt:lpstr>
      <vt:lpstr>uurtarief8</vt:lpstr>
      <vt:lpstr>uurtarief9</vt:lpstr>
      <vt:lpstr>vu_variant</vt:lpstr>
    </vt:vector>
  </TitlesOfParts>
  <Company>Intexso Adviesbureau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Maaike Schmelling</dc:creator>
  <cp:lastModifiedBy>Maaike Schmelling</cp:lastModifiedBy>
  <dcterms:created xsi:type="dcterms:W3CDTF">2025-05-28T07:25:02Z</dcterms:created>
  <dcterms:modified xsi:type="dcterms:W3CDTF">2025-05-28T07:28:07Z</dcterms:modified>
</cp:coreProperties>
</file>