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pprceu.sharepoint.com/sites/PPRC/Shared Documents/Klanten/Binnenlands Bestuur/Gemeentes/Ommen/2025 KPO Wmo/6. rapportage Wmo overig/"/>
    </mc:Choice>
  </mc:AlternateContent>
  <xr:revisionPtr revIDLastSave="5169" documentId="8_{CFA0F361-4E47-4186-B7AE-1A88E51DA9F8}" xr6:coauthVersionLast="47" xr6:coauthVersionMax="47" xr10:uidLastSave="{BB1EEBEE-D48E-44F7-A9E3-CC9165D705AD}"/>
  <workbookProtection workbookAlgorithmName="SHA-512" workbookHashValue="U6445TXX5wsUqT2ab/MaW9rlrXqdfRdM7+uokPw/VCqvLfwNwJrfTJjpreyvSAdSuiC+MdBE6K1mEdseqmT87w==" workbookSaltValue="wsuSstgMUEvOCeCM92+TcA==" workbookSpinCount="100000" lockStructure="1"/>
  <bookViews>
    <workbookView xWindow="-108" yWindow="-108" windowWidth="23256" windowHeight="12456" tabRatio="930" xr2:uid="{00000000-000D-0000-FFFF-FFFF00000000}"/>
  </bookViews>
  <sheets>
    <sheet name="Algemene kostprijsfactoren" sheetId="25" r:id="rId1"/>
    <sheet name=" BGI Lichte begeleiding" sheetId="32" state="hidden" r:id="rId2"/>
    <sheet name="BGI gemiddeld intensief" sheetId="33" state="hidden" r:id="rId3"/>
    <sheet name="BGI Hoog intensief" sheetId="39" state="hidden" r:id="rId4"/>
    <sheet name="IBG basis" sheetId="46" r:id="rId5"/>
    <sheet name="IBG Plus" sheetId="51" r:id="rId6"/>
    <sheet name="Dagbesteding basis" sheetId="47" r:id="rId7"/>
    <sheet name="Dagbesteding plus" sheetId="54" r:id="rId8"/>
    <sheet name="Dagbesteding regulier" sheetId="41" state="hidden" r:id="rId9"/>
    <sheet name="Dagbesteding specialistisch" sheetId="38" state="hidden" r:id="rId10"/>
    <sheet name="Vervoersopslag" sheetId="40" state="hidden" r:id="rId11"/>
    <sheet name="Beschermd Thuis" sheetId="55" r:id="rId12"/>
    <sheet name="Kortdurend verblijf" sheetId="57" r:id="rId13"/>
    <sheet name="Toelichting" sheetId="12" r:id="rId14"/>
    <sheet name="Dropdown Cao" sheetId="49" state="hidden" r:id="rId15"/>
    <sheet name="Invulblad CAO" sheetId="1" state="hidden" r:id="rId16"/>
    <sheet name="Pensioenpremie CAO" sheetId="2" state="hidden" r:id="rId17"/>
  </sheets>
  <definedNames>
    <definedName name="Cao_GGZ">'Dropdown Cao'!$D$2:$D$106</definedName>
    <definedName name="Cao_GHZ">'Dropdown Cao'!$E$2:$E$99</definedName>
    <definedName name="Cao_Jeugdzorg">'Dropdown Cao'!$F$2:$F$92</definedName>
    <definedName name="Cao_Sociaal_Werk">'Dropdown Cao'!$B$2:$B$120</definedName>
    <definedName name="Cao_VVT">'Dropdown Cao'!$C$2:$C$94</definedName>
    <definedName name="FWGschaal">#REF!</definedName>
    <definedName name="GHZ">'Dropdown Cao'!$E$1:$E$14</definedName>
    <definedName name="SW">'Dropdown Cao'!$B$1:$B$14</definedName>
    <definedName name="VGN">#REF!</definedName>
    <definedName name="VGNFWG10">#REF!</definedName>
    <definedName name="VGNFWG15">#REF!</definedName>
    <definedName name="VGNFWG20">#REF!</definedName>
    <definedName name="VGNFWG25">#REF!</definedName>
    <definedName name="VGNFWG30">#REF!</definedName>
    <definedName name="vvt">'Dropdown Cao'!$C$1:$C$14</definedName>
    <definedName name="VVTFWG10">#REF!</definedName>
    <definedName name="VVTFWG15">#REF!</definedName>
    <definedName name="VVTFWG20">#REF!</definedName>
    <definedName name="VVTFWG25">#REF!</definedName>
    <definedName name="VVTFWG30">#REF!</definedName>
    <definedName name="xxxxxxx">#REF!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7" i="46" l="1"/>
  <c r="F38" i="54" l="1"/>
  <c r="F37" i="54"/>
  <c r="F37" i="47"/>
  <c r="F38" i="47"/>
  <c r="F27" i="55"/>
  <c r="F27" i="57"/>
  <c r="P27" i="57" s="1"/>
  <c r="S33" i="57"/>
  <c r="G70" i="57"/>
  <c r="G72" i="57" s="1"/>
  <c r="F21" i="57" s="1"/>
  <c r="F59" i="57"/>
  <c r="F58" i="57"/>
  <c r="F57" i="57"/>
  <c r="F55" i="57"/>
  <c r="F52" i="57"/>
  <c r="F50" i="57"/>
  <c r="G50" i="57" s="1"/>
  <c r="F49" i="57"/>
  <c r="L49" i="57" s="1"/>
  <c r="F48" i="57"/>
  <c r="F46" i="57"/>
  <c r="L46" i="57" s="1"/>
  <c r="F45" i="57"/>
  <c r="J45" i="57" s="1"/>
  <c r="P30" i="57"/>
  <c r="N30" i="57"/>
  <c r="L30" i="57"/>
  <c r="J30" i="57"/>
  <c r="H30" i="57"/>
  <c r="Q22" i="57"/>
  <c r="O22" i="57"/>
  <c r="M22" i="57"/>
  <c r="K22" i="57"/>
  <c r="I22" i="57"/>
  <c r="E14" i="57"/>
  <c r="Q9" i="57"/>
  <c r="Q13" i="57" s="1"/>
  <c r="O9" i="57"/>
  <c r="M9" i="57"/>
  <c r="K9" i="57"/>
  <c r="K13" i="57" s="1"/>
  <c r="P6" i="57"/>
  <c r="G9" i="57" l="1"/>
  <c r="G13" i="57" s="1"/>
  <c r="I9" i="57"/>
  <c r="I13" i="57" s="1"/>
  <c r="Q10" i="46"/>
  <c r="K45" i="57"/>
  <c r="L45" i="57"/>
  <c r="H50" i="57"/>
  <c r="I50" i="57"/>
  <c r="L27" i="57"/>
  <c r="J50" i="57"/>
  <c r="N27" i="57"/>
  <c r="K50" i="57"/>
  <c r="L50" i="57"/>
  <c r="P10" i="57"/>
  <c r="Q10" i="57" s="1"/>
  <c r="Q11" i="57" s="1"/>
  <c r="P21" i="57"/>
  <c r="N21" i="57"/>
  <c r="L21" i="57"/>
  <c r="J21" i="57"/>
  <c r="H21" i="57"/>
  <c r="F10" i="57"/>
  <c r="G45" i="57"/>
  <c r="H27" i="57"/>
  <c r="H45" i="57"/>
  <c r="I45" i="57"/>
  <c r="J27" i="57"/>
  <c r="J6" i="57"/>
  <c r="L6" i="57"/>
  <c r="I49" i="57"/>
  <c r="M13" i="57"/>
  <c r="G46" i="57"/>
  <c r="G49" i="57"/>
  <c r="H46" i="57"/>
  <c r="H49" i="57"/>
  <c r="N6" i="57"/>
  <c r="I46" i="57"/>
  <c r="J46" i="57"/>
  <c r="J49" i="57"/>
  <c r="O13" i="57"/>
  <c r="K46" i="57"/>
  <c r="K49" i="57"/>
  <c r="G10" i="57" l="1"/>
  <c r="G11" i="57" s="1"/>
  <c r="L10" i="57"/>
  <c r="M10" i="57" s="1"/>
  <c r="M11" i="57" s="1"/>
  <c r="L12" i="57"/>
  <c r="M12" i="57" s="1"/>
  <c r="H10" i="57"/>
  <c r="I10" i="57" s="1"/>
  <c r="I11" i="57" s="1"/>
  <c r="J10" i="57"/>
  <c r="K10" i="57" s="1"/>
  <c r="K11" i="57" s="1"/>
  <c r="N10" i="57"/>
  <c r="O10" i="57" s="1"/>
  <c r="O11" i="57" s="1"/>
  <c r="N12" i="57"/>
  <c r="O12" i="57" s="1"/>
  <c r="M14" i="57" l="1"/>
  <c r="O14" i="57"/>
  <c r="K44" i="57" l="1"/>
  <c r="J44" i="57"/>
  <c r="K51" i="57" l="1"/>
  <c r="K52" i="57" s="1"/>
  <c r="K47" i="57"/>
  <c r="K48" i="57" s="1"/>
  <c r="N16" i="57" s="1"/>
  <c r="J51" i="57"/>
  <c r="J52" i="57" s="1"/>
  <c r="J47" i="57"/>
  <c r="J48" i="57" s="1"/>
  <c r="L16" i="57" s="1"/>
  <c r="K53" i="57" l="1"/>
  <c r="N17" i="57"/>
  <c r="J53" i="57"/>
  <c r="L17" i="57"/>
  <c r="G71" i="55" l="1"/>
  <c r="G73" i="55" s="1"/>
  <c r="F21" i="55" s="1"/>
  <c r="F60" i="55"/>
  <c r="F59" i="55"/>
  <c r="F58" i="55"/>
  <c r="F56" i="55"/>
  <c r="F53" i="55"/>
  <c r="F51" i="55"/>
  <c r="L51" i="55" s="1"/>
  <c r="F50" i="55"/>
  <c r="K50" i="55" s="1"/>
  <c r="F49" i="55"/>
  <c r="F47" i="55"/>
  <c r="K47" i="55" s="1"/>
  <c r="F46" i="55"/>
  <c r="L46" i="55" s="1"/>
  <c r="F38" i="55"/>
  <c r="F37" i="55"/>
  <c r="T33" i="55"/>
  <c r="P30" i="55"/>
  <c r="N30" i="55"/>
  <c r="L30" i="55"/>
  <c r="J30" i="55"/>
  <c r="H30" i="55"/>
  <c r="P27" i="55"/>
  <c r="Q22" i="55"/>
  <c r="O22" i="55"/>
  <c r="M22" i="55"/>
  <c r="K22" i="55"/>
  <c r="I22" i="55"/>
  <c r="E14" i="55"/>
  <c r="Q9" i="55"/>
  <c r="O9" i="55"/>
  <c r="O13" i="55" s="1"/>
  <c r="M9" i="55"/>
  <c r="M13" i="55" s="1"/>
  <c r="K9" i="55"/>
  <c r="I9" i="55"/>
  <c r="G9" i="55"/>
  <c r="G13" i="55" s="1"/>
  <c r="F6" i="55"/>
  <c r="P6" i="55" s="1"/>
  <c r="P10" i="55" l="1"/>
  <c r="Q10" i="55" s="1"/>
  <c r="Q11" i="55" s="1"/>
  <c r="P21" i="55"/>
  <c r="N21" i="55"/>
  <c r="L21" i="55"/>
  <c r="J21" i="55"/>
  <c r="H21" i="55"/>
  <c r="I51" i="55"/>
  <c r="K51" i="55"/>
  <c r="Q13" i="55"/>
  <c r="L47" i="55"/>
  <c r="L50" i="55"/>
  <c r="G51" i="55"/>
  <c r="F10" i="55"/>
  <c r="G10" i="55" s="1"/>
  <c r="G11" i="55" s="1"/>
  <c r="J51" i="55"/>
  <c r="H51" i="55"/>
  <c r="G46" i="55"/>
  <c r="H27" i="55"/>
  <c r="H46" i="55"/>
  <c r="I46" i="55"/>
  <c r="J27" i="55"/>
  <c r="J46" i="55"/>
  <c r="K46" i="55"/>
  <c r="L27" i="55"/>
  <c r="H6" i="55"/>
  <c r="J6" i="55"/>
  <c r="N27" i="55"/>
  <c r="G47" i="55"/>
  <c r="G50" i="55"/>
  <c r="L6" i="55"/>
  <c r="I13" i="55"/>
  <c r="H47" i="55"/>
  <c r="H50" i="55"/>
  <c r="N6" i="55"/>
  <c r="K13" i="55"/>
  <c r="I47" i="55"/>
  <c r="I50" i="55"/>
  <c r="J47" i="55"/>
  <c r="J50" i="55"/>
  <c r="F27" i="54"/>
  <c r="N27" i="54" s="1"/>
  <c r="F27" i="47"/>
  <c r="F58" i="47"/>
  <c r="G71" i="54"/>
  <c r="G73" i="54" s="1"/>
  <c r="F21" i="54" s="1"/>
  <c r="F60" i="54"/>
  <c r="F59" i="54"/>
  <c r="F58" i="54"/>
  <c r="F56" i="54"/>
  <c r="F53" i="54"/>
  <c r="F51" i="54"/>
  <c r="L51" i="54" s="1"/>
  <c r="F50" i="54"/>
  <c r="I50" i="54" s="1"/>
  <c r="F49" i="54"/>
  <c r="F47" i="54"/>
  <c r="I47" i="54" s="1"/>
  <c r="F46" i="54"/>
  <c r="K46" i="54" s="1"/>
  <c r="T33" i="54"/>
  <c r="P30" i="54"/>
  <c r="N30" i="54"/>
  <c r="L30" i="54"/>
  <c r="J30" i="54"/>
  <c r="H30" i="54"/>
  <c r="Q22" i="54"/>
  <c r="O22" i="54"/>
  <c r="M22" i="54"/>
  <c r="K22" i="54"/>
  <c r="I22" i="54"/>
  <c r="E14" i="54"/>
  <c r="Q13" i="54"/>
  <c r="O13" i="54"/>
  <c r="M13" i="54"/>
  <c r="K13" i="54"/>
  <c r="Q9" i="54"/>
  <c r="O9" i="54"/>
  <c r="M9" i="54"/>
  <c r="K9" i="54"/>
  <c r="I9" i="54"/>
  <c r="I13" i="54" s="1"/>
  <c r="G9" i="54"/>
  <c r="G13" i="54" s="1"/>
  <c r="F6" i="54"/>
  <c r="L6" i="54" s="1"/>
  <c r="N10" i="55" l="1"/>
  <c r="O10" i="55" s="1"/>
  <c r="O11" i="55" s="1"/>
  <c r="N12" i="55"/>
  <c r="O12" i="55" s="1"/>
  <c r="L10" i="55"/>
  <c r="M10" i="55" s="1"/>
  <c r="M11" i="55" s="1"/>
  <c r="L12" i="55"/>
  <c r="M12" i="55" s="1"/>
  <c r="J10" i="55"/>
  <c r="K10" i="55" s="1"/>
  <c r="K11" i="55" s="1"/>
  <c r="H10" i="55"/>
  <c r="I10" i="55" s="1"/>
  <c r="I11" i="55" s="1"/>
  <c r="K50" i="54"/>
  <c r="L50" i="54"/>
  <c r="J50" i="54"/>
  <c r="G50" i="54"/>
  <c r="H50" i="54"/>
  <c r="G47" i="54"/>
  <c r="H47" i="54"/>
  <c r="J47" i="54"/>
  <c r="K47" i="54"/>
  <c r="L47" i="54"/>
  <c r="P27" i="54"/>
  <c r="F10" i="54"/>
  <c r="G10" i="54" s="1"/>
  <c r="G11" i="54" s="1"/>
  <c r="H6" i="54"/>
  <c r="H10" i="54" s="1"/>
  <c r="I10" i="54" s="1"/>
  <c r="I11" i="54" s="1"/>
  <c r="J6" i="54"/>
  <c r="J10" i="54" s="1"/>
  <c r="K10" i="54" s="1"/>
  <c r="K11" i="54" s="1"/>
  <c r="N6" i="54"/>
  <c r="N10" i="54" s="1"/>
  <c r="O10" i="54" s="1"/>
  <c r="O11" i="54" s="1"/>
  <c r="P6" i="54"/>
  <c r="P10" i="54" s="1"/>
  <c r="Q10" i="54" s="1"/>
  <c r="Q11" i="54" s="1"/>
  <c r="P21" i="54"/>
  <c r="L21" i="54"/>
  <c r="J21" i="54"/>
  <c r="H21" i="54"/>
  <c r="N21" i="54"/>
  <c r="L10" i="54"/>
  <c r="M10" i="54" s="1"/>
  <c r="M11" i="54" s="1"/>
  <c r="L12" i="54"/>
  <c r="M12" i="54" s="1"/>
  <c r="J51" i="54"/>
  <c r="K51" i="54"/>
  <c r="G46" i="54"/>
  <c r="H46" i="54"/>
  <c r="I46" i="54"/>
  <c r="H27" i="54"/>
  <c r="J46" i="54"/>
  <c r="J27" i="54"/>
  <c r="L46" i="54"/>
  <c r="G51" i="54"/>
  <c r="H51" i="54"/>
  <c r="I51" i="54"/>
  <c r="L27" i="54"/>
  <c r="G67" i="51"/>
  <c r="G69" i="51" s="1"/>
  <c r="F23" i="51" s="1"/>
  <c r="F56" i="51"/>
  <c r="F55" i="51"/>
  <c r="F54" i="51"/>
  <c r="F52" i="51"/>
  <c r="F49" i="51"/>
  <c r="F47" i="51"/>
  <c r="H47" i="51" s="1"/>
  <c r="F46" i="51"/>
  <c r="L46" i="51" s="1"/>
  <c r="F45" i="51"/>
  <c r="F43" i="51"/>
  <c r="L43" i="51" s="1"/>
  <c r="F42" i="51"/>
  <c r="K42" i="51" s="1"/>
  <c r="T35" i="51"/>
  <c r="P32" i="51"/>
  <c r="N32" i="51"/>
  <c r="L32" i="51"/>
  <c r="J32" i="51"/>
  <c r="H32" i="51"/>
  <c r="F29" i="51"/>
  <c r="P29" i="51" s="1"/>
  <c r="O24" i="51"/>
  <c r="M24" i="51"/>
  <c r="E16" i="51"/>
  <c r="Q11" i="51"/>
  <c r="Q15" i="51" s="1"/>
  <c r="O11" i="51"/>
  <c r="O15" i="51" s="1"/>
  <c r="M11" i="51"/>
  <c r="M15" i="51" s="1"/>
  <c r="K11" i="51"/>
  <c r="I11" i="51"/>
  <c r="G11" i="51"/>
  <c r="G15" i="51" s="1"/>
  <c r="F8" i="51"/>
  <c r="M14" i="55" l="1"/>
  <c r="O14" i="55"/>
  <c r="I47" i="51"/>
  <c r="J47" i="51"/>
  <c r="K47" i="51"/>
  <c r="L47" i="51"/>
  <c r="G47" i="51"/>
  <c r="L42" i="51"/>
  <c r="N12" i="54"/>
  <c r="O12" i="54" s="1"/>
  <c r="O14" i="54" s="1"/>
  <c r="K45" i="54" s="1"/>
  <c r="J29" i="51"/>
  <c r="P8" i="51"/>
  <c r="P12" i="51" s="1"/>
  <c r="Q12" i="51" s="1"/>
  <c r="Q13" i="51" s="1"/>
  <c r="F12" i="51"/>
  <c r="G12" i="51" s="1"/>
  <c r="G13" i="51" s="1"/>
  <c r="M14" i="54"/>
  <c r="P23" i="51"/>
  <c r="N23" i="51"/>
  <c r="L23" i="51"/>
  <c r="J23" i="51"/>
  <c r="H23" i="51"/>
  <c r="H42" i="51"/>
  <c r="J42" i="51"/>
  <c r="G42" i="51"/>
  <c r="I42" i="51"/>
  <c r="H29" i="51"/>
  <c r="G43" i="51"/>
  <c r="G46" i="51"/>
  <c r="H8" i="51"/>
  <c r="L29" i="51"/>
  <c r="H43" i="51"/>
  <c r="H46" i="51"/>
  <c r="J8" i="51"/>
  <c r="I43" i="51"/>
  <c r="I46" i="51"/>
  <c r="L8" i="51"/>
  <c r="I15" i="51"/>
  <c r="N29" i="51"/>
  <c r="J43" i="51"/>
  <c r="J46" i="51"/>
  <c r="N8" i="51"/>
  <c r="K15" i="51"/>
  <c r="K43" i="51"/>
  <c r="K46" i="51"/>
  <c r="F6" i="47"/>
  <c r="K45" i="55" l="1"/>
  <c r="J45" i="55"/>
  <c r="K52" i="54"/>
  <c r="K53" i="54" s="1"/>
  <c r="K48" i="54"/>
  <c r="K49" i="54" s="1"/>
  <c r="N16" i="54" s="1"/>
  <c r="J45" i="54"/>
  <c r="H12" i="51"/>
  <c r="I12" i="51" s="1"/>
  <c r="I13" i="51" s="1"/>
  <c r="J12" i="51"/>
  <c r="K12" i="51" s="1"/>
  <c r="K13" i="51" s="1"/>
  <c r="N12" i="51"/>
  <c r="O12" i="51" s="1"/>
  <c r="O13" i="51" s="1"/>
  <c r="N14" i="51"/>
  <c r="O14" i="51" s="1"/>
  <c r="L12" i="51"/>
  <c r="M12" i="51" s="1"/>
  <c r="M13" i="51" s="1"/>
  <c r="L14" i="51"/>
  <c r="M14" i="51" s="1"/>
  <c r="J52" i="55" l="1"/>
  <c r="J53" i="55" s="1"/>
  <c r="J48" i="55"/>
  <c r="J49" i="55" s="1"/>
  <c r="L16" i="55" s="1"/>
  <c r="K52" i="55"/>
  <c r="K53" i="55" s="1"/>
  <c r="K48" i="55"/>
  <c r="K49" i="55" s="1"/>
  <c r="N16" i="55" s="1"/>
  <c r="J48" i="54"/>
  <c r="J49" i="54" s="1"/>
  <c r="L16" i="54" s="1"/>
  <c r="J52" i="54"/>
  <c r="J53" i="54" s="1"/>
  <c r="K54" i="54"/>
  <c r="N17" i="54"/>
  <c r="O16" i="51"/>
  <c r="M16" i="51"/>
  <c r="K54" i="55" l="1"/>
  <c r="N17" i="55"/>
  <c r="J54" i="55"/>
  <c r="L17" i="55"/>
  <c r="L17" i="54"/>
  <c r="J54" i="54"/>
  <c r="J41" i="51"/>
  <c r="K41" i="51"/>
  <c r="K48" i="51" l="1"/>
  <c r="K49" i="51" s="1"/>
  <c r="K44" i="51"/>
  <c r="K45" i="51" s="1"/>
  <c r="N18" i="51" s="1"/>
  <c r="J44" i="51"/>
  <c r="J45" i="51" s="1"/>
  <c r="L18" i="51" s="1"/>
  <c r="J48" i="51"/>
  <c r="J49" i="51" s="1"/>
  <c r="F56" i="57" l="1"/>
  <c r="F60" i="57" s="1"/>
  <c r="F57" i="55"/>
  <c r="F61" i="55" s="1"/>
  <c r="F57" i="54"/>
  <c r="F61" i="54" s="1"/>
  <c r="F53" i="51"/>
  <c r="F57" i="51" s="1"/>
  <c r="K50" i="51"/>
  <c r="N19" i="51"/>
  <c r="L19" i="51"/>
  <c r="J50" i="51"/>
  <c r="F14" i="51" l="1"/>
  <c r="F12" i="57"/>
  <c r="G12" i="57" s="1"/>
  <c r="G14" i="57" s="1"/>
  <c r="G44" i="57" s="1"/>
  <c r="P12" i="57"/>
  <c r="Q12" i="57" s="1"/>
  <c r="Q14" i="57" s="1"/>
  <c r="L44" i="57" s="1"/>
  <c r="H12" i="57"/>
  <c r="I12" i="57" s="1"/>
  <c r="I14" i="57" s="1"/>
  <c r="H44" i="57" s="1"/>
  <c r="J12" i="57"/>
  <c r="K12" i="57" s="1"/>
  <c r="K14" i="57" s="1"/>
  <c r="I44" i="57" s="1"/>
  <c r="P12" i="55"/>
  <c r="Q12" i="55" s="1"/>
  <c r="Q14" i="55" s="1"/>
  <c r="L45" i="55" s="1"/>
  <c r="F12" i="55"/>
  <c r="G12" i="55" s="1"/>
  <c r="G14" i="55" s="1"/>
  <c r="G45" i="55" s="1"/>
  <c r="J12" i="55"/>
  <c r="K12" i="55" s="1"/>
  <c r="K14" i="55" s="1"/>
  <c r="I45" i="55" s="1"/>
  <c r="H12" i="55"/>
  <c r="I12" i="55" s="1"/>
  <c r="I14" i="55" s="1"/>
  <c r="H45" i="55" s="1"/>
  <c r="J15" i="55"/>
  <c r="H15" i="55"/>
  <c r="P15" i="55"/>
  <c r="N15" i="55"/>
  <c r="N18" i="55" s="1"/>
  <c r="O18" i="55" s="1"/>
  <c r="O19" i="55" s="1"/>
  <c r="O21" i="55" s="1"/>
  <c r="O24" i="55" s="1"/>
  <c r="L15" i="55"/>
  <c r="L18" i="55" s="1"/>
  <c r="M18" i="55" s="1"/>
  <c r="M19" i="55" s="1"/>
  <c r="M21" i="55" s="1"/>
  <c r="M24" i="55" s="1"/>
  <c r="F15" i="55"/>
  <c r="F15" i="57"/>
  <c r="L15" i="57"/>
  <c r="L18" i="57" s="1"/>
  <c r="M18" i="57" s="1"/>
  <c r="M19" i="57" s="1"/>
  <c r="M21" i="57" s="1"/>
  <c r="M24" i="57" s="1"/>
  <c r="N15" i="57"/>
  <c r="N18" i="57" s="1"/>
  <c r="O18" i="57" s="1"/>
  <c r="O19" i="57" s="1"/>
  <c r="O21" i="57" s="1"/>
  <c r="O24" i="57" s="1"/>
  <c r="P15" i="57"/>
  <c r="H15" i="57"/>
  <c r="J15" i="57"/>
  <c r="H17" i="51"/>
  <c r="F17" i="51"/>
  <c r="N17" i="51"/>
  <c r="N20" i="51" s="1"/>
  <c r="O20" i="51" s="1"/>
  <c r="O21" i="51" s="1"/>
  <c r="O23" i="51" s="1"/>
  <c r="O26" i="51" s="1"/>
  <c r="L17" i="51"/>
  <c r="L20" i="51" s="1"/>
  <c r="M20" i="51" s="1"/>
  <c r="M21" i="51" s="1"/>
  <c r="M23" i="51" s="1"/>
  <c r="M26" i="51" s="1"/>
  <c r="P17" i="51"/>
  <c r="J17" i="51"/>
  <c r="L15" i="54"/>
  <c r="L18" i="54" s="1"/>
  <c r="M18" i="54" s="1"/>
  <c r="M19" i="54" s="1"/>
  <c r="M21" i="54" s="1"/>
  <c r="M24" i="54" s="1"/>
  <c r="J15" i="54"/>
  <c r="H15" i="54"/>
  <c r="F15" i="54"/>
  <c r="P15" i="54"/>
  <c r="N15" i="54"/>
  <c r="N18" i="54" s="1"/>
  <c r="O18" i="54" s="1"/>
  <c r="O19" i="54" s="1"/>
  <c r="O21" i="54" s="1"/>
  <c r="O24" i="54" s="1"/>
  <c r="F12" i="54"/>
  <c r="G12" i="54" s="1"/>
  <c r="G14" i="54" s="1"/>
  <c r="G45" i="54" s="1"/>
  <c r="J12" i="54"/>
  <c r="K12" i="54" s="1"/>
  <c r="K14" i="54" s="1"/>
  <c r="I45" i="54" s="1"/>
  <c r="H12" i="54"/>
  <c r="I12" i="54" s="1"/>
  <c r="I14" i="54" s="1"/>
  <c r="H45" i="54" s="1"/>
  <c r="P12" i="54"/>
  <c r="Q12" i="54" s="1"/>
  <c r="Q14" i="54" s="1"/>
  <c r="L45" i="54" s="1"/>
  <c r="G14" i="51"/>
  <c r="G16" i="51" s="1"/>
  <c r="G41" i="51" s="1"/>
  <c r="P14" i="51"/>
  <c r="Q14" i="51" s="1"/>
  <c r="Q16" i="51" s="1"/>
  <c r="L41" i="51" s="1"/>
  <c r="H14" i="51"/>
  <c r="I14" i="51" s="1"/>
  <c r="I16" i="51" s="1"/>
  <c r="H41" i="51" s="1"/>
  <c r="J14" i="51"/>
  <c r="K14" i="51" s="1"/>
  <c r="K16" i="51" s="1"/>
  <c r="I41" i="51" s="1"/>
  <c r="G71" i="47"/>
  <c r="G73" i="47" s="1"/>
  <c r="F21" i="47" s="1"/>
  <c r="F60" i="47"/>
  <c r="F59" i="47"/>
  <c r="F57" i="47"/>
  <c r="F56" i="47"/>
  <c r="F53" i="47"/>
  <c r="F51" i="47"/>
  <c r="L51" i="47" s="1"/>
  <c r="F50" i="47"/>
  <c r="L50" i="47" s="1"/>
  <c r="F49" i="47"/>
  <c r="F47" i="47"/>
  <c r="L47" i="47" s="1"/>
  <c r="F46" i="47"/>
  <c r="I46" i="47" s="1"/>
  <c r="T33" i="47"/>
  <c r="P30" i="47"/>
  <c r="N30" i="47"/>
  <c r="L30" i="47"/>
  <c r="J30" i="47"/>
  <c r="H30" i="47"/>
  <c r="H27" i="47"/>
  <c r="Q22" i="47"/>
  <c r="E14" i="47"/>
  <c r="Q9" i="47"/>
  <c r="Q13" i="47" s="1"/>
  <c r="O9" i="47"/>
  <c r="O13" i="47" s="1"/>
  <c r="M9" i="47"/>
  <c r="M13" i="47" s="1"/>
  <c r="K9" i="47"/>
  <c r="K13" i="47" s="1"/>
  <c r="I9" i="47"/>
  <c r="I13" i="47" s="1"/>
  <c r="G9" i="47"/>
  <c r="F10" i="47"/>
  <c r="F56" i="46"/>
  <c r="F55" i="46"/>
  <c r="F54" i="46"/>
  <c r="F53" i="46"/>
  <c r="F52" i="46"/>
  <c r="F49" i="46"/>
  <c r="F47" i="46"/>
  <c r="L47" i="46" s="1"/>
  <c r="F46" i="46"/>
  <c r="L46" i="46" s="1"/>
  <c r="F45" i="46"/>
  <c r="F43" i="46"/>
  <c r="J43" i="46" s="1"/>
  <c r="F42" i="46"/>
  <c r="I42" i="46" s="1"/>
  <c r="T35" i="46"/>
  <c r="P32" i="46"/>
  <c r="N32" i="46"/>
  <c r="L32" i="46"/>
  <c r="J32" i="46"/>
  <c r="H32" i="46"/>
  <c r="F29" i="46"/>
  <c r="H29" i="46" s="1"/>
  <c r="I24" i="46"/>
  <c r="E16" i="46"/>
  <c r="Q11" i="46"/>
  <c r="O11" i="46"/>
  <c r="M11" i="46"/>
  <c r="K11" i="46"/>
  <c r="K15" i="46" s="1"/>
  <c r="I11" i="46"/>
  <c r="I15" i="46" s="1"/>
  <c r="G11" i="46"/>
  <c r="G15" i="46" s="1"/>
  <c r="F8" i="46"/>
  <c r="L8" i="46" s="1"/>
  <c r="L12" i="46" s="1"/>
  <c r="H48" i="55" l="1"/>
  <c r="H49" i="55" s="1"/>
  <c r="H16" i="55" s="1"/>
  <c r="H52" i="55"/>
  <c r="H53" i="55" s="1"/>
  <c r="I52" i="55"/>
  <c r="I53" i="55" s="1"/>
  <c r="I48" i="55"/>
  <c r="I49" i="55" s="1"/>
  <c r="J16" i="55" s="1"/>
  <c r="G52" i="55"/>
  <c r="G53" i="55" s="1"/>
  <c r="G48" i="55"/>
  <c r="G49" i="55" s="1"/>
  <c r="F16" i="55" s="1"/>
  <c r="O27" i="57"/>
  <c r="O30" i="57"/>
  <c r="L52" i="55"/>
  <c r="L53" i="55" s="1"/>
  <c r="L48" i="55"/>
  <c r="L49" i="55" s="1"/>
  <c r="P16" i="55" s="1"/>
  <c r="M27" i="57"/>
  <c r="M30" i="57"/>
  <c r="I47" i="57"/>
  <c r="I48" i="57" s="1"/>
  <c r="J16" i="57" s="1"/>
  <c r="I51" i="57"/>
  <c r="I52" i="57" s="1"/>
  <c r="H51" i="57"/>
  <c r="H52" i="57" s="1"/>
  <c r="H47" i="57"/>
  <c r="H48" i="57" s="1"/>
  <c r="H16" i="57" s="1"/>
  <c r="L51" i="57"/>
  <c r="L52" i="57" s="1"/>
  <c r="L47" i="57"/>
  <c r="L48" i="57" s="1"/>
  <c r="P16" i="57" s="1"/>
  <c r="M27" i="55"/>
  <c r="M30" i="55"/>
  <c r="G51" i="57"/>
  <c r="G52" i="57" s="1"/>
  <c r="G47" i="57"/>
  <c r="G48" i="57" s="1"/>
  <c r="F16" i="57" s="1"/>
  <c r="O30" i="55"/>
  <c r="O27" i="55"/>
  <c r="M29" i="51"/>
  <c r="M32" i="51"/>
  <c r="O29" i="51"/>
  <c r="O32" i="51"/>
  <c r="O30" i="54"/>
  <c r="O27" i="54"/>
  <c r="M30" i="54"/>
  <c r="M27" i="54"/>
  <c r="G52" i="54"/>
  <c r="G53" i="54" s="1"/>
  <c r="G48" i="54"/>
  <c r="G49" i="54" s="1"/>
  <c r="F16" i="54" s="1"/>
  <c r="H48" i="51"/>
  <c r="H49" i="51" s="1"/>
  <c r="H44" i="51"/>
  <c r="H45" i="51" s="1"/>
  <c r="H18" i="51" s="1"/>
  <c r="L52" i="54"/>
  <c r="L53" i="54" s="1"/>
  <c r="L48" i="54"/>
  <c r="L49" i="54" s="1"/>
  <c r="P16" i="54" s="1"/>
  <c r="I44" i="51"/>
  <c r="I45" i="51" s="1"/>
  <c r="J18" i="51" s="1"/>
  <c r="I48" i="51"/>
  <c r="I49" i="51" s="1"/>
  <c r="G48" i="51"/>
  <c r="G49" i="51" s="1"/>
  <c r="G44" i="51"/>
  <c r="G45" i="51" s="1"/>
  <c r="F18" i="51" s="1"/>
  <c r="L44" i="51"/>
  <c r="L45" i="51" s="1"/>
  <c r="P18" i="51" s="1"/>
  <c r="L48" i="51"/>
  <c r="L49" i="51" s="1"/>
  <c r="H52" i="54"/>
  <c r="H53" i="54" s="1"/>
  <c r="H48" i="54"/>
  <c r="H49" i="54" s="1"/>
  <c r="H16" i="54" s="1"/>
  <c r="I52" i="54"/>
  <c r="I53" i="54" s="1"/>
  <c r="I48" i="54"/>
  <c r="I49" i="54" s="1"/>
  <c r="J16" i="54" s="1"/>
  <c r="G69" i="46"/>
  <c r="F23" i="46" s="1"/>
  <c r="N23" i="46" s="1"/>
  <c r="H50" i="47"/>
  <c r="I50" i="47"/>
  <c r="M24" i="46"/>
  <c r="G47" i="46"/>
  <c r="G51" i="47"/>
  <c r="G50" i="47"/>
  <c r="J50" i="47"/>
  <c r="H46" i="47"/>
  <c r="J46" i="47"/>
  <c r="H51" i="47"/>
  <c r="K46" i="47"/>
  <c r="I51" i="47"/>
  <c r="O22" i="47"/>
  <c r="L46" i="47"/>
  <c r="J51" i="47"/>
  <c r="K51" i="47"/>
  <c r="G10" i="47"/>
  <c r="G11" i="47" s="1"/>
  <c r="H46" i="46"/>
  <c r="J46" i="46"/>
  <c r="H47" i="46"/>
  <c r="K24" i="46"/>
  <c r="G42" i="46"/>
  <c r="I47" i="46"/>
  <c r="J47" i="46"/>
  <c r="I46" i="46"/>
  <c r="O24" i="46"/>
  <c r="K43" i="46"/>
  <c r="K47" i="46"/>
  <c r="M12" i="46"/>
  <c r="M13" i="46" s="1"/>
  <c r="Q24" i="46"/>
  <c r="L43" i="46"/>
  <c r="F61" i="47"/>
  <c r="P15" i="47" s="1"/>
  <c r="F57" i="46"/>
  <c r="J17" i="46" s="1"/>
  <c r="J27" i="47"/>
  <c r="N29" i="46"/>
  <c r="L27" i="47"/>
  <c r="J29" i="46"/>
  <c r="N27" i="47"/>
  <c r="P29" i="46"/>
  <c r="J8" i="46"/>
  <c r="J12" i="46" s="1"/>
  <c r="K12" i="46" s="1"/>
  <c r="K13" i="46" s="1"/>
  <c r="L6" i="47"/>
  <c r="L12" i="47" s="1"/>
  <c r="M12" i="47" s="1"/>
  <c r="J6" i="47"/>
  <c r="J21" i="47"/>
  <c r="N21" i="47"/>
  <c r="H21" i="47"/>
  <c r="P21" i="47"/>
  <c r="L21" i="47"/>
  <c r="H6" i="47"/>
  <c r="N6" i="47"/>
  <c r="P6" i="47"/>
  <c r="P27" i="47"/>
  <c r="G47" i="47"/>
  <c r="K50" i="47"/>
  <c r="G13" i="47"/>
  <c r="H47" i="47"/>
  <c r="I47" i="47"/>
  <c r="I22" i="47"/>
  <c r="J47" i="47"/>
  <c r="K22" i="47"/>
  <c r="K47" i="47"/>
  <c r="M22" i="47"/>
  <c r="G46" i="47"/>
  <c r="M15" i="46"/>
  <c r="Q15" i="46"/>
  <c r="H42" i="46"/>
  <c r="F12" i="46"/>
  <c r="G12" i="46" s="1"/>
  <c r="G13" i="46" s="1"/>
  <c r="L14" i="46"/>
  <c r="M14" i="46" s="1"/>
  <c r="H8" i="46"/>
  <c r="L29" i="46"/>
  <c r="J42" i="46"/>
  <c r="G46" i="46"/>
  <c r="O15" i="46"/>
  <c r="K42" i="46"/>
  <c r="G43" i="46"/>
  <c r="K46" i="46"/>
  <c r="L42" i="46"/>
  <c r="N8" i="46"/>
  <c r="P8" i="46"/>
  <c r="H43" i="46"/>
  <c r="I43" i="46"/>
  <c r="O31" i="55" l="1"/>
  <c r="M31" i="57"/>
  <c r="M31" i="55"/>
  <c r="O31" i="57"/>
  <c r="L54" i="55"/>
  <c r="P17" i="55"/>
  <c r="P18" i="55" s="1"/>
  <c r="Q18" i="55" s="1"/>
  <c r="Q19" i="55" s="1"/>
  <c r="Q21" i="55" s="1"/>
  <c r="Q24" i="55" s="1"/>
  <c r="P17" i="57"/>
  <c r="P18" i="57" s="1"/>
  <c r="Q18" i="57" s="1"/>
  <c r="Q19" i="57" s="1"/>
  <c r="Q21" i="57" s="1"/>
  <c r="Q24" i="57" s="1"/>
  <c r="L53" i="57"/>
  <c r="H17" i="57"/>
  <c r="H18" i="57" s="1"/>
  <c r="I18" i="57" s="1"/>
  <c r="I19" i="57" s="1"/>
  <c r="I21" i="57" s="1"/>
  <c r="I24" i="57" s="1"/>
  <c r="H53" i="57"/>
  <c r="G54" i="55"/>
  <c r="F17" i="55"/>
  <c r="F18" i="55" s="1"/>
  <c r="G18" i="55" s="1"/>
  <c r="G19" i="55" s="1"/>
  <c r="G21" i="55" s="1"/>
  <c r="G24" i="55" s="1"/>
  <c r="J17" i="57"/>
  <c r="J18" i="57" s="1"/>
  <c r="K18" i="57" s="1"/>
  <c r="K19" i="57" s="1"/>
  <c r="K21" i="57" s="1"/>
  <c r="K24" i="57" s="1"/>
  <c r="I53" i="57"/>
  <c r="I54" i="55"/>
  <c r="J17" i="55"/>
  <c r="J18" i="55" s="1"/>
  <c r="K18" i="55" s="1"/>
  <c r="K19" i="55" s="1"/>
  <c r="K21" i="55" s="1"/>
  <c r="K24" i="55" s="1"/>
  <c r="H17" i="55"/>
  <c r="H18" i="55" s="1"/>
  <c r="I18" i="55" s="1"/>
  <c r="I19" i="55" s="1"/>
  <c r="I21" i="55" s="1"/>
  <c r="I24" i="55" s="1"/>
  <c r="H54" i="55"/>
  <c r="G53" i="57"/>
  <c r="F17" i="57"/>
  <c r="F18" i="57" s="1"/>
  <c r="G18" i="57" s="1"/>
  <c r="G19" i="57" s="1"/>
  <c r="G21" i="57" s="1"/>
  <c r="G24" i="57" s="1"/>
  <c r="M31" i="54"/>
  <c r="O31" i="54"/>
  <c r="O33" i="51"/>
  <c r="M33" i="51"/>
  <c r="L54" i="54"/>
  <c r="P17" i="54"/>
  <c r="P18" i="54" s="1"/>
  <c r="Q18" i="54" s="1"/>
  <c r="Q19" i="54" s="1"/>
  <c r="Q21" i="54" s="1"/>
  <c r="Q24" i="54" s="1"/>
  <c r="J19" i="51"/>
  <c r="J20" i="51" s="1"/>
  <c r="K20" i="51" s="1"/>
  <c r="K21" i="51" s="1"/>
  <c r="K23" i="51" s="1"/>
  <c r="K26" i="51" s="1"/>
  <c r="I50" i="51"/>
  <c r="H54" i="54"/>
  <c r="H17" i="54"/>
  <c r="H18" i="54" s="1"/>
  <c r="I18" i="54" s="1"/>
  <c r="I19" i="54" s="1"/>
  <c r="I21" i="54" s="1"/>
  <c r="I24" i="54" s="1"/>
  <c r="H19" i="51"/>
  <c r="H20" i="51" s="1"/>
  <c r="I20" i="51" s="1"/>
  <c r="I21" i="51" s="1"/>
  <c r="I23" i="51" s="1"/>
  <c r="I26" i="51" s="1"/>
  <c r="H50" i="51"/>
  <c r="P19" i="51"/>
  <c r="P20" i="51" s="1"/>
  <c r="Q20" i="51" s="1"/>
  <c r="Q21" i="51" s="1"/>
  <c r="Q23" i="51" s="1"/>
  <c r="Q26" i="51" s="1"/>
  <c r="L50" i="51"/>
  <c r="I54" i="54"/>
  <c r="J17" i="54"/>
  <c r="J18" i="54" s="1"/>
  <c r="K18" i="54" s="1"/>
  <c r="K19" i="54" s="1"/>
  <c r="K21" i="54" s="1"/>
  <c r="K24" i="54" s="1"/>
  <c r="G50" i="51"/>
  <c r="F19" i="51"/>
  <c r="F20" i="51" s="1"/>
  <c r="G20" i="51" s="1"/>
  <c r="G21" i="51" s="1"/>
  <c r="G23" i="51" s="1"/>
  <c r="G26" i="51" s="1"/>
  <c r="F17" i="54"/>
  <c r="F18" i="54" s="1"/>
  <c r="G18" i="54" s="1"/>
  <c r="G19" i="54" s="1"/>
  <c r="G21" i="54" s="1"/>
  <c r="G24" i="54" s="1"/>
  <c r="G54" i="54"/>
  <c r="P23" i="46"/>
  <c r="J23" i="46"/>
  <c r="L23" i="46"/>
  <c r="H23" i="46"/>
  <c r="H15" i="47"/>
  <c r="N15" i="47"/>
  <c r="J15" i="47"/>
  <c r="L15" i="47"/>
  <c r="H17" i="46"/>
  <c r="F15" i="47"/>
  <c r="N17" i="46"/>
  <c r="P17" i="46"/>
  <c r="L17" i="46"/>
  <c r="F17" i="46"/>
  <c r="M16" i="46"/>
  <c r="J41" i="46" s="1"/>
  <c r="J10" i="47"/>
  <c r="K10" i="47" s="1"/>
  <c r="K11" i="47" s="1"/>
  <c r="L10" i="47"/>
  <c r="M10" i="47" s="1"/>
  <c r="M11" i="47" s="1"/>
  <c r="M14" i="47" s="1"/>
  <c r="J45" i="47" s="1"/>
  <c r="P10" i="47"/>
  <c r="Q10" i="47" s="1"/>
  <c r="Q11" i="47" s="1"/>
  <c r="N10" i="47"/>
  <c r="O10" i="47" s="1"/>
  <c r="O11" i="47" s="1"/>
  <c r="N12" i="47"/>
  <c r="O12" i="47" s="1"/>
  <c r="H10" i="47"/>
  <c r="I10" i="47" s="1"/>
  <c r="I11" i="47" s="1"/>
  <c r="N12" i="46"/>
  <c r="O12" i="46" s="1"/>
  <c r="O13" i="46" s="1"/>
  <c r="N14" i="46"/>
  <c r="O14" i="46" s="1"/>
  <c r="H12" i="46"/>
  <c r="I12" i="46" s="1"/>
  <c r="I13" i="46" s="1"/>
  <c r="P12" i="46"/>
  <c r="Q12" i="46" s="1"/>
  <c r="Q13" i="46" s="1"/>
  <c r="I30" i="55" l="1"/>
  <c r="I27" i="55"/>
  <c r="I31" i="55" s="1"/>
  <c r="K30" i="57"/>
  <c r="K27" i="57"/>
  <c r="I30" i="57"/>
  <c r="I27" i="57"/>
  <c r="Q27" i="57"/>
  <c r="Q30" i="57"/>
  <c r="G30" i="57"/>
  <c r="G27" i="57"/>
  <c r="Q27" i="55"/>
  <c r="Q30" i="55"/>
  <c r="G27" i="55"/>
  <c r="G30" i="55"/>
  <c r="K27" i="55"/>
  <c r="K30" i="55"/>
  <c r="I32" i="51"/>
  <c r="I29" i="51"/>
  <c r="I30" i="54"/>
  <c r="I27" i="54"/>
  <c r="K32" i="51"/>
  <c r="K29" i="51"/>
  <c r="Q30" i="54"/>
  <c r="Q27" i="54"/>
  <c r="K27" i="54"/>
  <c r="K30" i="54"/>
  <c r="G30" i="54"/>
  <c r="G27" i="54"/>
  <c r="Q29" i="51"/>
  <c r="Q32" i="51"/>
  <c r="G32" i="51"/>
  <c r="G29" i="51"/>
  <c r="J48" i="47"/>
  <c r="J49" i="47" s="1"/>
  <c r="L16" i="47" s="1"/>
  <c r="J52" i="47"/>
  <c r="J53" i="47" s="1"/>
  <c r="O14" i="47"/>
  <c r="J44" i="46"/>
  <c r="J45" i="46" s="1"/>
  <c r="L18" i="46" s="1"/>
  <c r="J48" i="46"/>
  <c r="J49" i="46" s="1"/>
  <c r="O16" i="46"/>
  <c r="G31" i="55" l="1"/>
  <c r="K31" i="57"/>
  <c r="I31" i="57"/>
  <c r="G31" i="57"/>
  <c r="K31" i="55"/>
  <c r="Q31" i="57"/>
  <c r="Q31" i="55"/>
  <c r="I33" i="51"/>
  <c r="Q31" i="54"/>
  <c r="K31" i="54"/>
  <c r="I31" i="54"/>
  <c r="K33" i="51"/>
  <c r="G31" i="54"/>
  <c r="Q33" i="51"/>
  <c r="G33" i="51"/>
  <c r="K45" i="47"/>
  <c r="L17" i="47"/>
  <c r="L18" i="47" s="1"/>
  <c r="M18" i="47" s="1"/>
  <c r="M19" i="47" s="1"/>
  <c r="M21" i="47" s="1"/>
  <c r="M24" i="47" s="1"/>
  <c r="J54" i="47"/>
  <c r="K41" i="46"/>
  <c r="L19" i="46"/>
  <c r="L20" i="46" s="1"/>
  <c r="M20" i="46" s="1"/>
  <c r="M21" i="46" s="1"/>
  <c r="M23" i="46" s="1"/>
  <c r="M26" i="46" s="1"/>
  <c r="J50" i="46"/>
  <c r="F34" i="55" l="1"/>
  <c r="F39" i="55" s="1"/>
  <c r="F34" i="57"/>
  <c r="F38" i="57" s="1"/>
  <c r="Q36" i="51"/>
  <c r="F34" i="54"/>
  <c r="F39" i="54" s="1"/>
  <c r="M27" i="47"/>
  <c r="M30" i="47"/>
  <c r="K48" i="47"/>
  <c r="K49" i="47" s="1"/>
  <c r="N16" i="47" s="1"/>
  <c r="K52" i="47"/>
  <c r="K53" i="47" s="1"/>
  <c r="M32" i="46"/>
  <c r="M29" i="46"/>
  <c r="K44" i="46"/>
  <c r="K45" i="46" s="1"/>
  <c r="N18" i="46" s="1"/>
  <c r="K48" i="46"/>
  <c r="K49" i="46" s="1"/>
  <c r="M31" i="47" l="1"/>
  <c r="M33" i="46"/>
  <c r="N17" i="47"/>
  <c r="N18" i="47" s="1"/>
  <c r="O18" i="47" s="1"/>
  <c r="O19" i="47" s="1"/>
  <c r="O21" i="47" s="1"/>
  <c r="O24" i="47" s="1"/>
  <c r="K54" i="47"/>
  <c r="K50" i="46"/>
  <c r="N19" i="46"/>
  <c r="N20" i="46" s="1"/>
  <c r="O20" i="46" s="1"/>
  <c r="O21" i="46" s="1"/>
  <c r="O23" i="46" s="1"/>
  <c r="O26" i="46" s="1"/>
  <c r="O30" i="47" l="1"/>
  <c r="O27" i="47"/>
  <c r="O32" i="46"/>
  <c r="O29" i="46"/>
  <c r="O31" i="47" l="1"/>
  <c r="O33" i="46"/>
  <c r="Q14" i="39" l="1"/>
  <c r="O14" i="39"/>
  <c r="M14" i="39"/>
  <c r="K14" i="39"/>
  <c r="I14" i="39"/>
  <c r="G14" i="39"/>
  <c r="Q14" i="33"/>
  <c r="O14" i="33"/>
  <c r="M14" i="33"/>
  <c r="K14" i="33"/>
  <c r="I14" i="33"/>
  <c r="G14" i="33"/>
  <c r="Q15" i="32"/>
  <c r="O15" i="32"/>
  <c r="M15" i="32"/>
  <c r="K15" i="32"/>
  <c r="I15" i="32"/>
  <c r="G66" i="32" l="1"/>
  <c r="F28" i="38"/>
  <c r="F27" i="41"/>
  <c r="F28" i="39"/>
  <c r="F28" i="33"/>
  <c r="F29" i="32"/>
  <c r="G23" i="39"/>
  <c r="G23" i="33"/>
  <c r="G24" i="32"/>
  <c r="F43" i="32"/>
  <c r="F44" i="32" l="1"/>
  <c r="G63" i="32"/>
  <c r="F47" i="32"/>
  <c r="S33" i="41" l="1"/>
  <c r="G69" i="41"/>
  <c r="G68" i="41"/>
  <c r="G67" i="41"/>
  <c r="G66" i="41"/>
  <c r="J65" i="41"/>
  <c r="H65" i="41"/>
  <c r="G65" i="41" s="1"/>
  <c r="F60" i="41"/>
  <c r="F59" i="41"/>
  <c r="F58" i="41"/>
  <c r="F57" i="41"/>
  <c r="F56" i="41"/>
  <c r="F53" i="41"/>
  <c r="F51" i="41"/>
  <c r="H51" i="41" s="1"/>
  <c r="F50" i="41"/>
  <c r="J50" i="41" s="1"/>
  <c r="F49" i="41"/>
  <c r="F47" i="41"/>
  <c r="J47" i="41" s="1"/>
  <c r="F46" i="41"/>
  <c r="G46" i="41" s="1"/>
  <c r="P30" i="41"/>
  <c r="N30" i="41"/>
  <c r="L30" i="41"/>
  <c r="J30" i="41"/>
  <c r="H30" i="41"/>
  <c r="E14" i="41"/>
  <c r="Q9" i="41"/>
  <c r="O9" i="41"/>
  <c r="M9" i="41"/>
  <c r="K9" i="41"/>
  <c r="I9" i="41"/>
  <c r="G9" i="41"/>
  <c r="F6" i="41"/>
  <c r="P6" i="41" l="1"/>
  <c r="P12" i="41" s="1"/>
  <c r="Q12" i="41" s="1"/>
  <c r="F12" i="41"/>
  <c r="G12" i="41" s="1"/>
  <c r="K47" i="41"/>
  <c r="L47" i="41"/>
  <c r="G70" i="41"/>
  <c r="G72" i="41" s="1"/>
  <c r="F21" i="41" s="1"/>
  <c r="J21" i="41" s="1"/>
  <c r="F61" i="41"/>
  <c r="L15" i="41" s="1"/>
  <c r="L51" i="41"/>
  <c r="I51" i="41"/>
  <c r="H46" i="41"/>
  <c r="L50" i="41"/>
  <c r="J51" i="41"/>
  <c r="K51" i="41"/>
  <c r="K50" i="41"/>
  <c r="F10" i="41"/>
  <c r="G10" i="41" s="1"/>
  <c r="G11" i="41" s="1"/>
  <c r="P27" i="41"/>
  <c r="N27" i="41"/>
  <c r="L27" i="41"/>
  <c r="J27" i="41"/>
  <c r="H27" i="41"/>
  <c r="G51" i="41"/>
  <c r="L46" i="41"/>
  <c r="K46" i="41"/>
  <c r="J46" i="41"/>
  <c r="I46" i="41"/>
  <c r="H6" i="41"/>
  <c r="H12" i="41" s="1"/>
  <c r="J6" i="41"/>
  <c r="J12" i="41" s="1"/>
  <c r="G47" i="41"/>
  <c r="G50" i="41"/>
  <c r="L6" i="41"/>
  <c r="L12" i="41" s="1"/>
  <c r="H47" i="41"/>
  <c r="H50" i="41"/>
  <c r="N6" i="41"/>
  <c r="N12" i="41" s="1"/>
  <c r="I47" i="41"/>
  <c r="I50" i="41"/>
  <c r="G65" i="39"/>
  <c r="G64" i="39"/>
  <c r="G63" i="39"/>
  <c r="G62" i="39"/>
  <c r="J61" i="39"/>
  <c r="H61" i="39"/>
  <c r="G61" i="39" s="1"/>
  <c r="G66" i="39" s="1"/>
  <c r="G68" i="39" s="1"/>
  <c r="F22" i="39" s="1"/>
  <c r="F56" i="39"/>
  <c r="F55" i="39"/>
  <c r="F54" i="39"/>
  <c r="F53" i="39"/>
  <c r="F52" i="39"/>
  <c r="F49" i="39"/>
  <c r="F47" i="39"/>
  <c r="I47" i="39" s="1"/>
  <c r="F46" i="39"/>
  <c r="L46" i="39" s="1"/>
  <c r="F45" i="39"/>
  <c r="F43" i="39"/>
  <c r="L43" i="39" s="1"/>
  <c r="F42" i="39"/>
  <c r="S34" i="39"/>
  <c r="P31" i="39"/>
  <c r="N31" i="39"/>
  <c r="L31" i="39"/>
  <c r="J31" i="39"/>
  <c r="H31" i="39"/>
  <c r="Q23" i="39"/>
  <c r="O23" i="39"/>
  <c r="M23" i="39"/>
  <c r="K23" i="39"/>
  <c r="I23" i="39"/>
  <c r="E15" i="39"/>
  <c r="Q10" i="39"/>
  <c r="O10" i="39"/>
  <c r="M10" i="39"/>
  <c r="K10" i="39"/>
  <c r="I10" i="39"/>
  <c r="G10" i="39"/>
  <c r="F7" i="39"/>
  <c r="F15" i="41" l="1"/>
  <c r="P10" i="41"/>
  <c r="Q10" i="41" s="1"/>
  <c r="Q11" i="41" s="1"/>
  <c r="Q13" i="41" s="1"/>
  <c r="Q14" i="41" s="1"/>
  <c r="P7" i="39"/>
  <c r="P13" i="39" s="1"/>
  <c r="Q13" i="39" s="1"/>
  <c r="F13" i="39"/>
  <c r="G13" i="39" s="1"/>
  <c r="F57" i="39"/>
  <c r="L16" i="39" s="1"/>
  <c r="L21" i="41"/>
  <c r="H21" i="41"/>
  <c r="P21" i="41"/>
  <c r="N21" i="41"/>
  <c r="N15" i="41"/>
  <c r="P15" i="41"/>
  <c r="K47" i="39"/>
  <c r="J47" i="39"/>
  <c r="L47" i="39"/>
  <c r="G47" i="39"/>
  <c r="H47" i="39"/>
  <c r="H15" i="41"/>
  <c r="J15" i="41"/>
  <c r="F11" i="39"/>
  <c r="G11" i="39" s="1"/>
  <c r="G12" i="39" s="1"/>
  <c r="L10" i="41"/>
  <c r="M10" i="41" s="1"/>
  <c r="M11" i="41" s="1"/>
  <c r="M12" i="41"/>
  <c r="K12" i="41"/>
  <c r="J10" i="41"/>
  <c r="K10" i="41" s="1"/>
  <c r="K11" i="41" s="1"/>
  <c r="H10" i="41"/>
  <c r="I10" i="41" s="1"/>
  <c r="I11" i="41" s="1"/>
  <c r="I12" i="41"/>
  <c r="G13" i="41"/>
  <c r="G14" i="41" s="1"/>
  <c r="N10" i="41"/>
  <c r="O10" i="41" s="1"/>
  <c r="O11" i="41" s="1"/>
  <c r="O12" i="41"/>
  <c r="P22" i="39"/>
  <c r="N22" i="39"/>
  <c r="L22" i="39"/>
  <c r="J22" i="39"/>
  <c r="H22" i="39"/>
  <c r="L42" i="39"/>
  <c r="J42" i="39"/>
  <c r="I42" i="39"/>
  <c r="H42" i="39"/>
  <c r="P28" i="39"/>
  <c r="N28" i="39"/>
  <c r="L28" i="39"/>
  <c r="H28" i="39"/>
  <c r="G42" i="39"/>
  <c r="J28" i="39"/>
  <c r="K42" i="39"/>
  <c r="H7" i="39"/>
  <c r="H13" i="39" s="1"/>
  <c r="G43" i="39"/>
  <c r="G46" i="39"/>
  <c r="J7" i="39"/>
  <c r="J13" i="39" s="1"/>
  <c r="H43" i="39"/>
  <c r="H46" i="39"/>
  <c r="L7" i="39"/>
  <c r="L13" i="39" s="1"/>
  <c r="I43" i="39"/>
  <c r="I46" i="39"/>
  <c r="N7" i="39"/>
  <c r="N13" i="39" s="1"/>
  <c r="J43" i="39"/>
  <c r="J46" i="39"/>
  <c r="K43" i="39"/>
  <c r="K46" i="39"/>
  <c r="P16" i="39" l="1"/>
  <c r="P11" i="39"/>
  <c r="Q11" i="39" s="1"/>
  <c r="Q12" i="39" s="1"/>
  <c r="Q15" i="39" s="1"/>
  <c r="J16" i="39"/>
  <c r="N16" i="39"/>
  <c r="F16" i="39"/>
  <c r="H16" i="39"/>
  <c r="G15" i="39"/>
  <c r="G41" i="39" s="1"/>
  <c r="L45" i="41"/>
  <c r="K13" i="41"/>
  <c r="K14" i="41" s="1"/>
  <c r="O13" i="41"/>
  <c r="O14" i="41" s="1"/>
  <c r="M13" i="41"/>
  <c r="M14" i="41" s="1"/>
  <c r="G45" i="41"/>
  <c r="I13" i="41"/>
  <c r="I14" i="41" s="1"/>
  <c r="H45" i="41" s="1"/>
  <c r="I13" i="39"/>
  <c r="H11" i="39"/>
  <c r="I11" i="39" s="1"/>
  <c r="I12" i="39" s="1"/>
  <c r="N11" i="39"/>
  <c r="O11" i="39" s="1"/>
  <c r="O12" i="39" s="1"/>
  <c r="O13" i="39"/>
  <c r="M13" i="39"/>
  <c r="L11" i="39"/>
  <c r="M11" i="39" s="1"/>
  <c r="M12" i="39" s="1"/>
  <c r="J11" i="39"/>
  <c r="K11" i="39" s="1"/>
  <c r="K12" i="39" s="1"/>
  <c r="K13" i="39"/>
  <c r="K45" i="41" l="1"/>
  <c r="G48" i="41"/>
  <c r="G49" i="41" s="1"/>
  <c r="F16" i="41" s="1"/>
  <c r="G52" i="41"/>
  <c r="G53" i="41" s="1"/>
  <c r="J45" i="41"/>
  <c r="I45" i="41"/>
  <c r="L52" i="41"/>
  <c r="L53" i="41" s="1"/>
  <c r="L48" i="41"/>
  <c r="L49" i="41" s="1"/>
  <c r="P16" i="41" s="1"/>
  <c r="O15" i="39"/>
  <c r="L41" i="39"/>
  <c r="I15" i="39"/>
  <c r="K15" i="39"/>
  <c r="M15" i="39"/>
  <c r="G44" i="39"/>
  <c r="G45" i="39" s="1"/>
  <c r="F17" i="39" s="1"/>
  <c r="G48" i="39"/>
  <c r="G49" i="39" s="1"/>
  <c r="P17" i="41" l="1"/>
  <c r="P18" i="41" s="1"/>
  <c r="Q18" i="41" s="1"/>
  <c r="Q19" i="41" s="1"/>
  <c r="Q21" i="41" s="1"/>
  <c r="Q24" i="41" s="1"/>
  <c r="L54" i="41"/>
  <c r="G54" i="41"/>
  <c r="F17" i="41"/>
  <c r="F18" i="41" s="1"/>
  <c r="G18" i="41" s="1"/>
  <c r="G19" i="41" s="1"/>
  <c r="I52" i="41"/>
  <c r="I53" i="41" s="1"/>
  <c r="I48" i="41"/>
  <c r="I49" i="41" s="1"/>
  <c r="J16" i="41" s="1"/>
  <c r="J52" i="41"/>
  <c r="J53" i="41" s="1"/>
  <c r="J48" i="41"/>
  <c r="J49" i="41" s="1"/>
  <c r="L16" i="41" s="1"/>
  <c r="H48" i="41"/>
  <c r="H49" i="41" s="1"/>
  <c r="H16" i="41" s="1"/>
  <c r="H52" i="41"/>
  <c r="H53" i="41" s="1"/>
  <c r="K52" i="41"/>
  <c r="K53" i="41" s="1"/>
  <c r="K48" i="41"/>
  <c r="K49" i="41" s="1"/>
  <c r="N16" i="41" s="1"/>
  <c r="K41" i="39"/>
  <c r="G50" i="39"/>
  <c r="F18" i="39"/>
  <c r="F19" i="39" s="1"/>
  <c r="G19" i="39" s="1"/>
  <c r="G20" i="39" s="1"/>
  <c r="I41" i="39"/>
  <c r="H41" i="39"/>
  <c r="L48" i="39"/>
  <c r="L49" i="39" s="1"/>
  <c r="L44" i="39"/>
  <c r="L45" i="39" s="1"/>
  <c r="P17" i="39" s="1"/>
  <c r="J41" i="39"/>
  <c r="N17" i="41" l="1"/>
  <c r="N18" i="41" s="1"/>
  <c r="O18" i="41" s="1"/>
  <c r="O19" i="41" s="1"/>
  <c r="O21" i="41" s="1"/>
  <c r="O24" i="41" s="1"/>
  <c r="K54" i="41"/>
  <c r="H54" i="41"/>
  <c r="H17" i="41"/>
  <c r="H18" i="41" s="1"/>
  <c r="I18" i="41" s="1"/>
  <c r="I19" i="41" s="1"/>
  <c r="I21" i="41" s="1"/>
  <c r="I24" i="41" s="1"/>
  <c r="G21" i="41"/>
  <c r="G24" i="41" s="1"/>
  <c r="L17" i="41"/>
  <c r="L18" i="41" s="1"/>
  <c r="M18" i="41" s="1"/>
  <c r="M19" i="41" s="1"/>
  <c r="M21" i="41" s="1"/>
  <c r="M24" i="41" s="1"/>
  <c r="J54" i="41"/>
  <c r="Q30" i="41"/>
  <c r="Q27" i="41"/>
  <c r="J17" i="41"/>
  <c r="J18" i="41" s="1"/>
  <c r="K18" i="41" s="1"/>
  <c r="K19" i="41" s="1"/>
  <c r="K21" i="41" s="1"/>
  <c r="K24" i="41" s="1"/>
  <c r="I54" i="41"/>
  <c r="G22" i="39"/>
  <c r="G25" i="39" s="1"/>
  <c r="L50" i="39"/>
  <c r="P18" i="39"/>
  <c r="P19" i="39" s="1"/>
  <c r="Q19" i="39" s="1"/>
  <c r="Q20" i="39" s="1"/>
  <c r="Q22" i="39" s="1"/>
  <c r="Q25" i="39" s="1"/>
  <c r="H48" i="39"/>
  <c r="H49" i="39" s="1"/>
  <c r="H44" i="39"/>
  <c r="H45" i="39" s="1"/>
  <c r="H17" i="39" s="1"/>
  <c r="I48" i="39"/>
  <c r="I49" i="39" s="1"/>
  <c r="I44" i="39"/>
  <c r="I45" i="39" s="1"/>
  <c r="J17" i="39" s="1"/>
  <c r="K44" i="39"/>
  <c r="K45" i="39" s="1"/>
  <c r="N17" i="39" s="1"/>
  <c r="K48" i="39"/>
  <c r="K49" i="39" s="1"/>
  <c r="J48" i="39"/>
  <c r="J49" i="39" s="1"/>
  <c r="J44" i="39"/>
  <c r="J45" i="39" s="1"/>
  <c r="L17" i="39" s="1"/>
  <c r="Q31" i="41" l="1"/>
  <c r="K30" i="41"/>
  <c r="K27" i="41"/>
  <c r="M30" i="41"/>
  <c r="M27" i="41"/>
  <c r="O30" i="41"/>
  <c r="O27" i="41"/>
  <c r="I30" i="41"/>
  <c r="I27" i="41"/>
  <c r="G30" i="41"/>
  <c r="G27" i="41"/>
  <c r="Q31" i="39"/>
  <c r="Q28" i="39"/>
  <c r="J50" i="39"/>
  <c r="L18" i="39"/>
  <c r="L19" i="39" s="1"/>
  <c r="M19" i="39" s="1"/>
  <c r="M20" i="39" s="1"/>
  <c r="M22" i="39" s="1"/>
  <c r="M25" i="39" s="1"/>
  <c r="K50" i="39"/>
  <c r="N18" i="39"/>
  <c r="N19" i="39" s="1"/>
  <c r="O19" i="39" s="1"/>
  <c r="O20" i="39" s="1"/>
  <c r="O22" i="39" s="1"/>
  <c r="O25" i="39" s="1"/>
  <c r="I50" i="39"/>
  <c r="J18" i="39"/>
  <c r="J19" i="39" s="1"/>
  <c r="K19" i="39" s="1"/>
  <c r="K20" i="39" s="1"/>
  <c r="K22" i="39" s="1"/>
  <c r="K25" i="39" s="1"/>
  <c r="H18" i="39"/>
  <c r="H19" i="39" s="1"/>
  <c r="I19" i="39" s="1"/>
  <c r="I20" i="39" s="1"/>
  <c r="H50" i="39"/>
  <c r="G31" i="39"/>
  <c r="G28" i="39"/>
  <c r="G32" i="39" l="1"/>
  <c r="K31" i="41"/>
  <c r="Q32" i="39"/>
  <c r="O31" i="41"/>
  <c r="M31" i="41"/>
  <c r="G31" i="41"/>
  <c r="I31" i="41"/>
  <c r="I22" i="39"/>
  <c r="I25" i="39" s="1"/>
  <c r="K31" i="39"/>
  <c r="K28" i="39"/>
  <c r="M31" i="39"/>
  <c r="M28" i="39"/>
  <c r="O31" i="39"/>
  <c r="O28" i="39"/>
  <c r="F34" i="41" l="1"/>
  <c r="F39" i="41" s="1"/>
  <c r="K32" i="39"/>
  <c r="M32" i="39"/>
  <c r="O32" i="39"/>
  <c r="I31" i="39"/>
  <c r="I28" i="39"/>
  <c r="I32" i="39" l="1"/>
  <c r="Q35" i="39" s="1"/>
  <c r="F58" i="38"/>
  <c r="E15" i="38" l="1"/>
  <c r="Q10" i="38"/>
  <c r="O10" i="38"/>
  <c r="M10" i="38"/>
  <c r="K10" i="38"/>
  <c r="I10" i="38"/>
  <c r="G10" i="38"/>
  <c r="E15" i="33"/>
  <c r="Q10" i="33"/>
  <c r="O10" i="33"/>
  <c r="M10" i="33"/>
  <c r="K10" i="33"/>
  <c r="I10" i="33"/>
  <c r="G10" i="33"/>
  <c r="Q11" i="32"/>
  <c r="O11" i="32"/>
  <c r="M11" i="32"/>
  <c r="K11" i="32"/>
  <c r="I11" i="32"/>
  <c r="G11" i="32"/>
  <c r="G15" i="32" s="1"/>
  <c r="P37" i="33" l="1"/>
  <c r="F52" i="38"/>
  <c r="F51" i="38"/>
  <c r="F48" i="38"/>
  <c r="F47" i="38"/>
  <c r="G47" i="38" s="1"/>
  <c r="F47" i="33"/>
  <c r="F46" i="33"/>
  <c r="F43" i="33"/>
  <c r="F42" i="33"/>
  <c r="F48" i="32"/>
  <c r="F61" i="38"/>
  <c r="F60" i="38"/>
  <c r="F59" i="38"/>
  <c r="F57" i="38"/>
  <c r="F56" i="33"/>
  <c r="F55" i="33"/>
  <c r="F54" i="33"/>
  <c r="F53" i="33"/>
  <c r="F52" i="33"/>
  <c r="F57" i="32"/>
  <c r="F56" i="32"/>
  <c r="F55" i="32"/>
  <c r="F54" i="32"/>
  <c r="F53" i="32"/>
  <c r="F54" i="38"/>
  <c r="F45" i="33" l="1"/>
  <c r="F50" i="38"/>
  <c r="F50" i="32"/>
  <c r="F46" i="32"/>
  <c r="F49" i="33"/>
  <c r="G70" i="38"/>
  <c r="G69" i="38"/>
  <c r="G68" i="38"/>
  <c r="G67" i="38"/>
  <c r="F62" i="38"/>
  <c r="L52" i="38"/>
  <c r="K52" i="38"/>
  <c r="J52" i="38"/>
  <c r="I52" i="38"/>
  <c r="H52" i="38"/>
  <c r="G52" i="38"/>
  <c r="L51" i="38"/>
  <c r="K51" i="38"/>
  <c r="J51" i="38"/>
  <c r="I51" i="38"/>
  <c r="H51" i="38"/>
  <c r="G51" i="38"/>
  <c r="L48" i="38"/>
  <c r="K48" i="38"/>
  <c r="J48" i="38"/>
  <c r="I48" i="38"/>
  <c r="H48" i="38"/>
  <c r="G48" i="38"/>
  <c r="L47" i="38"/>
  <c r="K47" i="38"/>
  <c r="J47" i="38"/>
  <c r="I47" i="38"/>
  <c r="H47" i="38"/>
  <c r="S34" i="38"/>
  <c r="P31" i="38"/>
  <c r="N31" i="38"/>
  <c r="L31" i="38"/>
  <c r="J31" i="38"/>
  <c r="H31" i="38"/>
  <c r="P28" i="38"/>
  <c r="F7" i="38"/>
  <c r="F13" i="38" s="1"/>
  <c r="P16" i="38" l="1"/>
  <c r="N16" i="38"/>
  <c r="F16" i="38"/>
  <c r="L16" i="38"/>
  <c r="J16" i="38"/>
  <c r="H16" i="38"/>
  <c r="P7" i="38"/>
  <c r="P13" i="38" s="1"/>
  <c r="F11" i="38"/>
  <c r="G11" i="38" s="1"/>
  <c r="G12" i="38" s="1"/>
  <c r="G14" i="38" s="1"/>
  <c r="G13" i="38"/>
  <c r="L7" i="38"/>
  <c r="L13" i="38" s="1"/>
  <c r="L28" i="38"/>
  <c r="H28" i="38"/>
  <c r="J7" i="38"/>
  <c r="N7" i="38"/>
  <c r="N13" i="38" s="1"/>
  <c r="J28" i="38"/>
  <c r="N28" i="38"/>
  <c r="H7" i="38"/>
  <c r="H13" i="38" s="1"/>
  <c r="J11" i="38" l="1"/>
  <c r="K11" i="38" s="1"/>
  <c r="K12" i="38" s="1"/>
  <c r="K14" i="38" s="1"/>
  <c r="J13" i="38"/>
  <c r="K13" i="38" s="1"/>
  <c r="G15" i="38"/>
  <c r="G46" i="38" s="1"/>
  <c r="Q13" i="38"/>
  <c r="P11" i="38"/>
  <c r="Q11" i="38" s="1"/>
  <c r="Q12" i="38" s="1"/>
  <c r="Q14" i="38" s="1"/>
  <c r="I13" i="38"/>
  <c r="H11" i="38"/>
  <c r="I11" i="38" s="1"/>
  <c r="I12" i="38" s="1"/>
  <c r="I14" i="38" s="1"/>
  <c r="M13" i="38"/>
  <c r="L11" i="38"/>
  <c r="M11" i="38" s="1"/>
  <c r="M12" i="38" s="1"/>
  <c r="M14" i="38" s="1"/>
  <c r="O13" i="38"/>
  <c r="N11" i="38"/>
  <c r="O11" i="38" s="1"/>
  <c r="O12" i="38" s="1"/>
  <c r="O14" i="38" s="1"/>
  <c r="K15" i="38" l="1"/>
  <c r="I46" i="38" s="1"/>
  <c r="M15" i="38"/>
  <c r="J46" i="38" s="1"/>
  <c r="J53" i="38" s="1"/>
  <c r="J54" i="38" s="1"/>
  <c r="L18" i="38" s="1"/>
  <c r="Q15" i="38"/>
  <c r="L46" i="38" s="1"/>
  <c r="O15" i="38"/>
  <c r="I15" i="38"/>
  <c r="G53" i="38"/>
  <c r="G54" i="38" s="1"/>
  <c r="F18" i="38" s="1"/>
  <c r="G49" i="38"/>
  <c r="G50" i="38" s="1"/>
  <c r="F17" i="38" s="1"/>
  <c r="J49" i="38" l="1"/>
  <c r="J50" i="38" s="1"/>
  <c r="L17" i="38" s="1"/>
  <c r="L19" i="38" s="1"/>
  <c r="M19" i="38" s="1"/>
  <c r="M20" i="38" s="1"/>
  <c r="F19" i="38"/>
  <c r="G19" i="38" s="1"/>
  <c r="G20" i="38" s="1"/>
  <c r="K46" i="38"/>
  <c r="I53" i="38"/>
  <c r="I54" i="38" s="1"/>
  <c r="J18" i="38" s="1"/>
  <c r="I49" i="38"/>
  <c r="I50" i="38" s="1"/>
  <c r="J17" i="38" s="1"/>
  <c r="L49" i="38"/>
  <c r="L50" i="38" s="1"/>
  <c r="P17" i="38" s="1"/>
  <c r="L53" i="38"/>
  <c r="L54" i="38" s="1"/>
  <c r="P18" i="38" s="1"/>
  <c r="H46" i="38"/>
  <c r="G55" i="38"/>
  <c r="J55" i="38" l="1"/>
  <c r="J19" i="38"/>
  <c r="K19" i="38" s="1"/>
  <c r="K20" i="38" s="1"/>
  <c r="P19" i="38"/>
  <c r="Q19" i="38" s="1"/>
  <c r="Q20" i="38" s="1"/>
  <c r="H49" i="38"/>
  <c r="H50" i="38" s="1"/>
  <c r="H17" i="38" s="1"/>
  <c r="H53" i="38"/>
  <c r="H54" i="38" s="1"/>
  <c r="H18" i="38" s="1"/>
  <c r="I55" i="38"/>
  <c r="K53" i="38"/>
  <c r="K54" i="38" s="1"/>
  <c r="N18" i="38" s="1"/>
  <c r="K49" i="38"/>
  <c r="K50" i="38" s="1"/>
  <c r="N17" i="38" s="1"/>
  <c r="L55" i="38"/>
  <c r="N19" i="38" l="1"/>
  <c r="O19" i="38" s="1"/>
  <c r="O20" i="38" s="1"/>
  <c r="H19" i="38"/>
  <c r="I19" i="38" s="1"/>
  <c r="I20" i="38" s="1"/>
  <c r="K55" i="38"/>
  <c r="H55" i="38"/>
  <c r="G65" i="33" l="1"/>
  <c r="G64" i="33"/>
  <c r="G63" i="33"/>
  <c r="G62" i="33"/>
  <c r="F57" i="33"/>
  <c r="L47" i="33"/>
  <c r="K47" i="33"/>
  <c r="J47" i="33"/>
  <c r="I47" i="33"/>
  <c r="H47" i="33"/>
  <c r="G47" i="33"/>
  <c r="L46" i="33"/>
  <c r="K46" i="33"/>
  <c r="J46" i="33"/>
  <c r="I46" i="33"/>
  <c r="H46" i="33"/>
  <c r="G46" i="33"/>
  <c r="L43" i="33"/>
  <c r="K43" i="33"/>
  <c r="J43" i="33"/>
  <c r="I43" i="33"/>
  <c r="H43" i="33"/>
  <c r="G43" i="33"/>
  <c r="L42" i="33"/>
  <c r="K42" i="33"/>
  <c r="J42" i="33"/>
  <c r="I42" i="33"/>
  <c r="H42" i="33"/>
  <c r="G42" i="33"/>
  <c r="S34" i="33"/>
  <c r="P31" i="33"/>
  <c r="N31" i="33"/>
  <c r="L31" i="33"/>
  <c r="J31" i="33"/>
  <c r="H31" i="33"/>
  <c r="N28" i="33"/>
  <c r="Q23" i="33"/>
  <c r="O23" i="33"/>
  <c r="M23" i="33"/>
  <c r="K23" i="33"/>
  <c r="I23" i="33"/>
  <c r="F7" i="33"/>
  <c r="F13" i="33" s="1"/>
  <c r="F11" i="33" l="1"/>
  <c r="G13" i="33"/>
  <c r="P16" i="33"/>
  <c r="H16" i="33"/>
  <c r="N16" i="33"/>
  <c r="F16" i="33"/>
  <c r="L16" i="33"/>
  <c r="J16" i="33"/>
  <c r="H28" i="33"/>
  <c r="L7" i="33"/>
  <c r="L13" i="33" s="1"/>
  <c r="L28" i="33"/>
  <c r="H7" i="33"/>
  <c r="H13" i="33" s="1"/>
  <c r="P28" i="33"/>
  <c r="P7" i="33"/>
  <c r="P13" i="33" s="1"/>
  <c r="J7" i="33"/>
  <c r="J13" i="33" s="1"/>
  <c r="N7" i="33"/>
  <c r="N13" i="33" s="1"/>
  <c r="J28" i="33"/>
  <c r="G11" i="33" l="1"/>
  <c r="G12" i="33" s="1"/>
  <c r="N11" i="33"/>
  <c r="O11" i="33" s="1"/>
  <c r="O12" i="33" s="1"/>
  <c r="O13" i="33"/>
  <c r="K13" i="33"/>
  <c r="J11" i="33"/>
  <c r="K11" i="33" s="1"/>
  <c r="K12" i="33" s="1"/>
  <c r="I13" i="33"/>
  <c r="H11" i="33"/>
  <c r="I11" i="33" s="1"/>
  <c r="I12" i="33" s="1"/>
  <c r="M13" i="33"/>
  <c r="L11" i="33"/>
  <c r="M11" i="33" s="1"/>
  <c r="M12" i="33" s="1"/>
  <c r="Q13" i="33"/>
  <c r="P11" i="33"/>
  <c r="Q11" i="33" s="1"/>
  <c r="Q12" i="33" s="1"/>
  <c r="G15" i="33" l="1"/>
  <c r="G41" i="33" s="1"/>
  <c r="G48" i="33" s="1"/>
  <c r="G49" i="33" s="1"/>
  <c r="F18" i="33" s="1"/>
  <c r="Q15" i="33"/>
  <c r="L41" i="33" s="1"/>
  <c r="I15" i="33"/>
  <c r="H41" i="33" s="1"/>
  <c r="O15" i="33"/>
  <c r="M15" i="33"/>
  <c r="J41" i="33" s="1"/>
  <c r="J48" i="33" s="1"/>
  <c r="J49" i="33" s="1"/>
  <c r="L18" i="33" s="1"/>
  <c r="K15" i="33"/>
  <c r="I41" i="33" s="1"/>
  <c r="G44" i="33" l="1"/>
  <c r="G45" i="33" s="1"/>
  <c r="F17" i="33" s="1"/>
  <c r="F19" i="33" s="1"/>
  <c r="G19" i="33" s="1"/>
  <c r="G20" i="33" s="1"/>
  <c r="J44" i="33"/>
  <c r="J45" i="33" s="1"/>
  <c r="L17" i="33" s="1"/>
  <c r="L19" i="33" s="1"/>
  <c r="M19" i="33" s="1"/>
  <c r="M20" i="33" s="1"/>
  <c r="H44" i="33"/>
  <c r="H45" i="33" s="1"/>
  <c r="H17" i="33" s="1"/>
  <c r="H48" i="33"/>
  <c r="H49" i="33" s="1"/>
  <c r="H18" i="33" s="1"/>
  <c r="L44" i="33"/>
  <c r="L45" i="33" s="1"/>
  <c r="P17" i="33" s="1"/>
  <c r="L48" i="33"/>
  <c r="L49" i="33" s="1"/>
  <c r="P18" i="33" s="1"/>
  <c r="K41" i="33"/>
  <c r="I44" i="33"/>
  <c r="I45" i="33" s="1"/>
  <c r="J17" i="33" s="1"/>
  <c r="I48" i="33"/>
  <c r="I49" i="33" s="1"/>
  <c r="J18" i="33" s="1"/>
  <c r="G50" i="33" l="1"/>
  <c r="J50" i="33"/>
  <c r="J19" i="33"/>
  <c r="K19" i="33" s="1"/>
  <c r="K20" i="33" s="1"/>
  <c r="H19" i="33"/>
  <c r="I19" i="33" s="1"/>
  <c r="I20" i="33" s="1"/>
  <c r="P19" i="33"/>
  <c r="Q19" i="33" s="1"/>
  <c r="Q20" i="33" s="1"/>
  <c r="H50" i="33"/>
  <c r="K48" i="33"/>
  <c r="K49" i="33" s="1"/>
  <c r="N18" i="33" s="1"/>
  <c r="K44" i="33"/>
  <c r="K45" i="33" s="1"/>
  <c r="N17" i="33" s="1"/>
  <c r="I50" i="33"/>
  <c r="L50" i="33"/>
  <c r="N19" i="33" l="1"/>
  <c r="O19" i="33" s="1"/>
  <c r="O20" i="33" s="1"/>
  <c r="K50" i="33"/>
  <c r="P38" i="33" l="1"/>
  <c r="F8" i="32" l="1"/>
  <c r="F14" i="32" s="1"/>
  <c r="G65" i="32"/>
  <c r="G64" i="32"/>
  <c r="F58" i="32"/>
  <c r="F17" i="32" s="1"/>
  <c r="L48" i="32"/>
  <c r="K48" i="32"/>
  <c r="J48" i="32"/>
  <c r="I48" i="32"/>
  <c r="H48" i="32"/>
  <c r="G48" i="32"/>
  <c r="L47" i="32"/>
  <c r="K47" i="32"/>
  <c r="J47" i="32"/>
  <c r="I47" i="32"/>
  <c r="H47" i="32"/>
  <c r="G47" i="32"/>
  <c r="L44" i="32"/>
  <c r="K44" i="32"/>
  <c r="J44" i="32"/>
  <c r="I44" i="32"/>
  <c r="H44" i="32"/>
  <c r="G44" i="32"/>
  <c r="L43" i="32"/>
  <c r="K43" i="32"/>
  <c r="J43" i="32"/>
  <c r="I43" i="32"/>
  <c r="H43" i="32"/>
  <c r="G43" i="32"/>
  <c r="S35" i="32"/>
  <c r="P32" i="32"/>
  <c r="N32" i="32"/>
  <c r="L32" i="32"/>
  <c r="J32" i="32"/>
  <c r="H32" i="32"/>
  <c r="N29" i="32"/>
  <c r="Q24" i="32"/>
  <c r="O24" i="32"/>
  <c r="M24" i="32"/>
  <c r="K24" i="32"/>
  <c r="I24" i="32"/>
  <c r="E16" i="32"/>
  <c r="G14" i="32" l="1"/>
  <c r="F12" i="32"/>
  <c r="G12" i="32" s="1"/>
  <c r="G13" i="32" s="1"/>
  <c r="L17" i="32"/>
  <c r="J17" i="32"/>
  <c r="N17" i="32"/>
  <c r="L8" i="32"/>
  <c r="J8" i="32"/>
  <c r="N8" i="32"/>
  <c r="N14" i="32" s="1"/>
  <c r="H8" i="32"/>
  <c r="H14" i="32" s="1"/>
  <c r="P8" i="32"/>
  <c r="P14" i="32" s="1"/>
  <c r="H29" i="32"/>
  <c r="L29" i="32"/>
  <c r="P29" i="32"/>
  <c r="H17" i="32"/>
  <c r="P17" i="32"/>
  <c r="J29" i="32"/>
  <c r="G16" i="32" l="1"/>
  <c r="J12" i="32"/>
  <c r="K12" i="32" s="1"/>
  <c r="K13" i="32" s="1"/>
  <c r="J14" i="32"/>
  <c r="L14" i="32"/>
  <c r="M14" i="32" s="1"/>
  <c r="L12" i="32"/>
  <c r="M12" i="32" s="1"/>
  <c r="M13" i="32" s="1"/>
  <c r="I14" i="32"/>
  <c r="H12" i="32"/>
  <c r="I12" i="32" s="1"/>
  <c r="I13" i="32" s="1"/>
  <c r="Q14" i="32"/>
  <c r="P12" i="32"/>
  <c r="Q12" i="32" s="1"/>
  <c r="Q13" i="32" s="1"/>
  <c r="O14" i="32"/>
  <c r="N12" i="32"/>
  <c r="O12" i="32" s="1"/>
  <c r="O13" i="32" s="1"/>
  <c r="G42" i="32" l="1"/>
  <c r="G49" i="32" s="1"/>
  <c r="G50" i="32" s="1"/>
  <c r="M16" i="32"/>
  <c r="J42" i="32" s="1"/>
  <c r="J45" i="32" s="1"/>
  <c r="J46" i="32" s="1"/>
  <c r="L18" i="32" s="1"/>
  <c r="O16" i="32"/>
  <c r="K42" i="32" s="1"/>
  <c r="K49" i="32" s="1"/>
  <c r="K50" i="32" s="1"/>
  <c r="Q16" i="32"/>
  <c r="L42" i="32" s="1"/>
  <c r="L45" i="32" s="1"/>
  <c r="L46" i="32" s="1"/>
  <c r="P18" i="32" s="1"/>
  <c r="I16" i="32"/>
  <c r="K14" i="32"/>
  <c r="K16" i="32" s="1"/>
  <c r="I42" i="32" s="1"/>
  <c r="H42" i="32" l="1"/>
  <c r="H45" i="32" s="1"/>
  <c r="H46" i="32" s="1"/>
  <c r="H18" i="32" s="1"/>
  <c r="G45" i="32"/>
  <c r="G46" i="32" s="1"/>
  <c r="F18" i="32" s="1"/>
  <c r="I49" i="32"/>
  <c r="I50" i="32" s="1"/>
  <c r="I45" i="32"/>
  <c r="I46" i="32" s="1"/>
  <c r="J18" i="32" s="1"/>
  <c r="J49" i="32"/>
  <c r="J50" i="32" s="1"/>
  <c r="J51" i="32" s="1"/>
  <c r="K45" i="32"/>
  <c r="K46" i="32" s="1"/>
  <c r="N18" i="32" s="1"/>
  <c r="L49" i="32"/>
  <c r="L50" i="32" s="1"/>
  <c r="L51" i="32" s="1"/>
  <c r="F19" i="32"/>
  <c r="N19" i="32"/>
  <c r="G51" i="32" l="1"/>
  <c r="F20" i="32"/>
  <c r="G20" i="32" s="1"/>
  <c r="G21" i="32" s="1"/>
  <c r="H49" i="32"/>
  <c r="H50" i="32" s="1"/>
  <c r="H19" i="32" s="1"/>
  <c r="H20" i="32" s="1"/>
  <c r="I20" i="32" s="1"/>
  <c r="I21" i="32" s="1"/>
  <c r="I51" i="32"/>
  <c r="J19" i="32"/>
  <c r="J20" i="32" s="1"/>
  <c r="K20" i="32" s="1"/>
  <c r="K21" i="32" s="1"/>
  <c r="L19" i="32"/>
  <c r="L20" i="32" s="1"/>
  <c r="M20" i="32" s="1"/>
  <c r="M21" i="32" s="1"/>
  <c r="N20" i="32"/>
  <c r="K51" i="32"/>
  <c r="P19" i="32"/>
  <c r="P20" i="32" s="1"/>
  <c r="Q20" i="32" s="1"/>
  <c r="Q21" i="32" s="1"/>
  <c r="H51" i="32" l="1"/>
  <c r="O20" i="32"/>
  <c r="O21" i="32" s="1"/>
  <c r="J66" i="38" l="1"/>
  <c r="H66" i="38"/>
  <c r="G66" i="38" s="1"/>
  <c r="G71" i="38" s="1"/>
  <c r="G73" i="38" s="1"/>
  <c r="F22" i="38" s="1"/>
  <c r="J61" i="33"/>
  <c r="H61" i="33"/>
  <c r="G61" i="33" s="1"/>
  <c r="G66" i="33" s="1"/>
  <c r="G68" i="33" s="1"/>
  <c r="F22" i="33" s="1"/>
  <c r="J62" i="32"/>
  <c r="H62" i="32"/>
  <c r="G62" i="32" s="1"/>
  <c r="G67" i="32" s="1"/>
  <c r="G69" i="32" s="1"/>
  <c r="F23" i="32" s="1"/>
  <c r="N22" i="38" l="1"/>
  <c r="O22" i="38" s="1"/>
  <c r="O25" i="38" s="1"/>
  <c r="P22" i="38"/>
  <c r="Q22" i="38" s="1"/>
  <c r="Q25" i="38" s="1"/>
  <c r="H22" i="38"/>
  <c r="I22" i="38" s="1"/>
  <c r="I25" i="38" s="1"/>
  <c r="L22" i="38"/>
  <c r="M22" i="38" s="1"/>
  <c r="M25" i="38" s="1"/>
  <c r="J22" i="38"/>
  <c r="K22" i="38" s="1"/>
  <c r="K25" i="38" s="1"/>
  <c r="G22" i="38"/>
  <c r="G25" i="38" s="1"/>
  <c r="P22" i="33"/>
  <c r="Q22" i="33" s="1"/>
  <c r="Q25" i="33" s="1"/>
  <c r="J22" i="33"/>
  <c r="K22" i="33" s="1"/>
  <c r="K25" i="33" s="1"/>
  <c r="H22" i="33"/>
  <c r="I22" i="33" s="1"/>
  <c r="I25" i="33" s="1"/>
  <c r="N22" i="33"/>
  <c r="O22" i="33" s="1"/>
  <c r="O25" i="33" s="1"/>
  <c r="L22" i="33"/>
  <c r="M22" i="33" s="1"/>
  <c r="M25" i="33" s="1"/>
  <c r="G22" i="33"/>
  <c r="G25" i="33" s="1"/>
  <c r="P23" i="32"/>
  <c r="Q23" i="32" s="1"/>
  <c r="Q26" i="32" s="1"/>
  <c r="N23" i="32"/>
  <c r="O23" i="32" s="1"/>
  <c r="O26" i="32" s="1"/>
  <c r="L23" i="32"/>
  <c r="M23" i="32" s="1"/>
  <c r="M26" i="32" s="1"/>
  <c r="J23" i="32"/>
  <c r="K23" i="32" s="1"/>
  <c r="K26" i="32" s="1"/>
  <c r="H23" i="32"/>
  <c r="I23" i="32" s="1"/>
  <c r="I26" i="32" s="1"/>
  <c r="G23" i="32"/>
  <c r="G26" i="32" s="1"/>
  <c r="K32" i="32" l="1"/>
  <c r="K29" i="32"/>
  <c r="G28" i="38"/>
  <c r="G31" i="38"/>
  <c r="K31" i="38"/>
  <c r="K28" i="38"/>
  <c r="G32" i="32"/>
  <c r="G29" i="32"/>
  <c r="O29" i="32"/>
  <c r="O32" i="32"/>
  <c r="G28" i="33"/>
  <c r="G31" i="33"/>
  <c r="K28" i="33"/>
  <c r="K31" i="33"/>
  <c r="M31" i="38"/>
  <c r="M28" i="38"/>
  <c r="O28" i="33"/>
  <c r="O31" i="33"/>
  <c r="Q31" i="38"/>
  <c r="Q28" i="38"/>
  <c r="M32" i="32"/>
  <c r="M29" i="32"/>
  <c r="I31" i="33"/>
  <c r="I28" i="33"/>
  <c r="O31" i="38"/>
  <c r="O28" i="38"/>
  <c r="I29" i="32"/>
  <c r="I32" i="32"/>
  <c r="Q29" i="32"/>
  <c r="Q32" i="32"/>
  <c r="M28" i="33"/>
  <c r="M31" i="33"/>
  <c r="Q31" i="33"/>
  <c r="Q28" i="33"/>
  <c r="I31" i="38"/>
  <c r="I28" i="38"/>
  <c r="G33" i="32" l="1"/>
  <c r="K33" i="32"/>
  <c r="Q32" i="33"/>
  <c r="O32" i="38"/>
  <c r="M33" i="32"/>
  <c r="Q32" i="38"/>
  <c r="M32" i="33"/>
  <c r="O32" i="33"/>
  <c r="O33" i="32"/>
  <c r="I32" i="38"/>
  <c r="Q33" i="32"/>
  <c r="K32" i="38"/>
  <c r="G32" i="38"/>
  <c r="I33" i="32"/>
  <c r="M32" i="38"/>
  <c r="G32" i="33"/>
  <c r="I32" i="33"/>
  <c r="K32" i="33"/>
  <c r="F35" i="38" l="1"/>
  <c r="F40" i="38" s="1"/>
  <c r="Q36" i="32"/>
  <c r="Q35" i="33"/>
  <c r="F12" i="47" l="1"/>
  <c r="G12" i="47" s="1"/>
  <c r="G14" i="47" s="1"/>
  <c r="G45" i="47" s="1"/>
  <c r="F14" i="46"/>
  <c r="G14" i="46" s="1"/>
  <c r="G16" i="46" s="1"/>
  <c r="G41" i="46" s="1"/>
  <c r="J14" i="46"/>
  <c r="K14" i="46" s="1"/>
  <c r="K16" i="46" s="1"/>
  <c r="I41" i="46" s="1"/>
  <c r="J12" i="47"/>
  <c r="K12" i="47" s="1"/>
  <c r="K14" i="47" s="1"/>
  <c r="I45" i="47" s="1"/>
  <c r="H14" i="46"/>
  <c r="I14" i="46" s="1"/>
  <c r="I16" i="46" s="1"/>
  <c r="H41" i="46" s="1"/>
  <c r="P12" i="47"/>
  <c r="Q12" i="47" s="1"/>
  <c r="Q14" i="47" s="1"/>
  <c r="L45" i="47" s="1"/>
  <c r="P14" i="46"/>
  <c r="Q14" i="46" s="1"/>
  <c r="Q16" i="46" s="1"/>
  <c r="L41" i="46" s="1"/>
  <c r="H12" i="47"/>
  <c r="I12" i="47" s="1"/>
  <c r="I14" i="47" s="1"/>
  <c r="H45" i="47" s="1"/>
  <c r="G45" i="1"/>
  <c r="H45" i="1"/>
  <c r="J45" i="1"/>
  <c r="K45" i="1"/>
  <c r="E35" i="1"/>
  <c r="C4" i="2"/>
  <c r="D4" i="2"/>
  <c r="E4" i="2"/>
  <c r="B4" i="2"/>
  <c r="D3" i="2"/>
  <c r="E3" i="2"/>
  <c r="C3" i="2"/>
  <c r="B3" i="2"/>
  <c r="C5" i="2"/>
  <c r="D5" i="2"/>
  <c r="E5" i="2"/>
  <c r="B5" i="2"/>
  <c r="E14" i="1"/>
  <c r="E26" i="1"/>
  <c r="K11" i="1"/>
  <c r="K13" i="1"/>
  <c r="G11" i="1"/>
  <c r="G12" i="1"/>
  <c r="H11" i="1"/>
  <c r="J11" i="1"/>
  <c r="K14" i="1"/>
  <c r="E7" i="2"/>
  <c r="E8" i="2"/>
  <c r="K12" i="1"/>
  <c r="G13" i="1"/>
  <c r="G14" i="1"/>
  <c r="G23" i="1"/>
  <c r="H12" i="1"/>
  <c r="H13" i="1"/>
  <c r="J12" i="1"/>
  <c r="J13" i="1"/>
  <c r="K24" i="1"/>
  <c r="K21" i="1"/>
  <c r="K25" i="1"/>
  <c r="K23" i="1"/>
  <c r="K20" i="1"/>
  <c r="K26" i="1"/>
  <c r="K22" i="1"/>
  <c r="G22" i="1"/>
  <c r="G24" i="1"/>
  <c r="J14" i="1"/>
  <c r="J23" i="1"/>
  <c r="B7" i="2"/>
  <c r="B8" i="2"/>
  <c r="B13" i="2"/>
  <c r="B14" i="2"/>
  <c r="B16" i="2"/>
  <c r="G21" i="1"/>
  <c r="G25" i="1"/>
  <c r="G20" i="1"/>
  <c r="H14" i="1"/>
  <c r="E13" i="2"/>
  <c r="E14" i="2"/>
  <c r="E16" i="2"/>
  <c r="E21" i="2"/>
  <c r="E22" i="2"/>
  <c r="E24" i="2"/>
  <c r="K17" i="1"/>
  <c r="J20" i="1"/>
  <c r="J22" i="1"/>
  <c r="B21" i="2"/>
  <c r="B22" i="2"/>
  <c r="B24" i="2"/>
  <c r="G17" i="1"/>
  <c r="D7" i="2"/>
  <c r="D8" i="2"/>
  <c r="D21" i="2"/>
  <c r="D22" i="2"/>
  <c r="D24" i="2"/>
  <c r="J17" i="1"/>
  <c r="J21" i="1"/>
  <c r="J25" i="1"/>
  <c r="J24" i="1"/>
  <c r="J26" i="1"/>
  <c r="G26" i="1"/>
  <c r="H25" i="1"/>
  <c r="H21" i="1"/>
  <c r="C7" i="2"/>
  <c r="C8" i="2"/>
  <c r="H20" i="1"/>
  <c r="H22" i="1"/>
  <c r="H23" i="1"/>
  <c r="H24" i="1"/>
  <c r="G16" i="1"/>
  <c r="G18" i="1"/>
  <c r="E26" i="2"/>
  <c r="K16" i="1"/>
  <c r="K18" i="1"/>
  <c r="K28" i="1"/>
  <c r="G28" i="1"/>
  <c r="B26" i="2"/>
  <c r="D13" i="2"/>
  <c r="D14" i="2"/>
  <c r="D16" i="2"/>
  <c r="J16" i="1"/>
  <c r="J18" i="1"/>
  <c r="J28" i="1"/>
  <c r="H26" i="1"/>
  <c r="C21" i="2"/>
  <c r="C22" i="2"/>
  <c r="C24" i="2"/>
  <c r="H17" i="1"/>
  <c r="C13" i="2"/>
  <c r="C14" i="2"/>
  <c r="C16" i="2"/>
  <c r="K40" i="1"/>
  <c r="K32" i="1"/>
  <c r="K35" i="1"/>
  <c r="K34" i="1"/>
  <c r="K41" i="1"/>
  <c r="K39" i="1"/>
  <c r="K33" i="1"/>
  <c r="G34" i="1"/>
  <c r="G33" i="1"/>
  <c r="G40" i="1"/>
  <c r="G41" i="1"/>
  <c r="G39" i="1"/>
  <c r="G32" i="1"/>
  <c r="J41" i="1"/>
  <c r="J32" i="1"/>
  <c r="J34" i="1"/>
  <c r="D26" i="2"/>
  <c r="J33" i="1"/>
  <c r="J39" i="1"/>
  <c r="J40" i="1"/>
  <c r="G35" i="1"/>
  <c r="C26" i="2"/>
  <c r="H16" i="1"/>
  <c r="H18" i="1"/>
  <c r="H28" i="1"/>
  <c r="J35" i="1"/>
  <c r="K47" i="1"/>
  <c r="K48" i="1"/>
  <c r="G47" i="1"/>
  <c r="G48" i="1"/>
  <c r="H34" i="1"/>
  <c r="H41" i="1"/>
  <c r="H40" i="1"/>
  <c r="H33" i="1"/>
  <c r="H39" i="1"/>
  <c r="H32" i="1"/>
  <c r="K50" i="1"/>
  <c r="K51" i="1"/>
  <c r="K53" i="1"/>
  <c r="J47" i="1"/>
  <c r="J48" i="1"/>
  <c r="G50" i="1"/>
  <c r="G51" i="1"/>
  <c r="G53" i="1"/>
  <c r="H35" i="1"/>
  <c r="J50" i="1"/>
  <c r="J51" i="1"/>
  <c r="J53" i="1"/>
  <c r="J55" i="1"/>
  <c r="H47" i="1"/>
  <c r="H48" i="1"/>
  <c r="H50" i="1"/>
  <c r="H51" i="1"/>
  <c r="H53" i="1"/>
  <c r="G55" i="1"/>
  <c r="L48" i="46" l="1"/>
  <c r="L49" i="46" s="1"/>
  <c r="L44" i="46"/>
  <c r="L45" i="46" s="1"/>
  <c r="P18" i="46" s="1"/>
  <c r="L52" i="47"/>
  <c r="L53" i="47" s="1"/>
  <c r="L48" i="47"/>
  <c r="L49" i="47" s="1"/>
  <c r="P16" i="47" s="1"/>
  <c r="H48" i="46"/>
  <c r="H49" i="46" s="1"/>
  <c r="H44" i="46"/>
  <c r="H45" i="46" s="1"/>
  <c r="H18" i="46" s="1"/>
  <c r="I52" i="47"/>
  <c r="I53" i="47" s="1"/>
  <c r="I48" i="47"/>
  <c r="I49" i="47" s="1"/>
  <c r="J16" i="47" s="1"/>
  <c r="I48" i="46"/>
  <c r="I49" i="46" s="1"/>
  <c r="I44" i="46"/>
  <c r="I45" i="46" s="1"/>
  <c r="J18" i="46" s="1"/>
  <c r="G44" i="46"/>
  <c r="G45" i="46" s="1"/>
  <c r="F18" i="46" s="1"/>
  <c r="G48" i="46"/>
  <c r="G49" i="46" s="1"/>
  <c r="G52" i="47"/>
  <c r="G53" i="47" s="1"/>
  <c r="G48" i="47"/>
  <c r="G49" i="47" s="1"/>
  <c r="F16" i="47" s="1"/>
  <c r="H48" i="47"/>
  <c r="H49" i="47" s="1"/>
  <c r="H16" i="47" s="1"/>
  <c r="H52" i="47"/>
  <c r="H53" i="47" s="1"/>
  <c r="H17" i="47" l="1"/>
  <c r="H18" i="47" s="1"/>
  <c r="I18" i="47" s="1"/>
  <c r="I19" i="47" s="1"/>
  <c r="I21" i="47" s="1"/>
  <c r="I24" i="47" s="1"/>
  <c r="H54" i="47"/>
  <c r="I50" i="46"/>
  <c r="J19" i="46"/>
  <c r="J20" i="46" s="1"/>
  <c r="K20" i="46" s="1"/>
  <c r="K21" i="46" s="1"/>
  <c r="K23" i="46" s="1"/>
  <c r="K26" i="46" s="1"/>
  <c r="G54" i="47"/>
  <c r="F17" i="47"/>
  <c r="F18" i="47" s="1"/>
  <c r="G18" i="47" s="1"/>
  <c r="G19" i="47" s="1"/>
  <c r="G21" i="47" s="1"/>
  <c r="G24" i="47" s="1"/>
  <c r="I54" i="47"/>
  <c r="J17" i="47"/>
  <c r="J18" i="47" s="1"/>
  <c r="K18" i="47" s="1"/>
  <c r="K19" i="47" s="1"/>
  <c r="K21" i="47" s="1"/>
  <c r="K24" i="47" s="1"/>
  <c r="H19" i="46"/>
  <c r="H20" i="46" s="1"/>
  <c r="I20" i="46" s="1"/>
  <c r="I21" i="46" s="1"/>
  <c r="I23" i="46" s="1"/>
  <c r="I26" i="46" s="1"/>
  <c r="H50" i="46"/>
  <c r="L54" i="47"/>
  <c r="P17" i="47"/>
  <c r="P18" i="47" s="1"/>
  <c r="Q18" i="47" s="1"/>
  <c r="Q19" i="47" s="1"/>
  <c r="Q21" i="47" s="1"/>
  <c r="Q24" i="47" s="1"/>
  <c r="G50" i="46"/>
  <c r="F19" i="46"/>
  <c r="F20" i="46" s="1"/>
  <c r="G20" i="46" s="1"/>
  <c r="G21" i="46" s="1"/>
  <c r="G23" i="46" s="1"/>
  <c r="G26" i="46" s="1"/>
  <c r="L50" i="46"/>
  <c r="P19" i="46"/>
  <c r="P20" i="46" s="1"/>
  <c r="Q20" i="46" s="1"/>
  <c r="Q21" i="46" s="1"/>
  <c r="Q23" i="46" s="1"/>
  <c r="Q26" i="46" s="1"/>
  <c r="Q32" i="46" l="1"/>
  <c r="Q29" i="46"/>
  <c r="G29" i="46"/>
  <c r="G32" i="46"/>
  <c r="I29" i="46"/>
  <c r="I32" i="46"/>
  <c r="G30" i="47"/>
  <c r="G27" i="47"/>
  <c r="Q30" i="47"/>
  <c r="Q27" i="47"/>
  <c r="K29" i="46"/>
  <c r="K32" i="46"/>
  <c r="K30" i="47"/>
  <c r="K27" i="47"/>
  <c r="I30" i="47"/>
  <c r="I27" i="47"/>
  <c r="G31" i="47" l="1"/>
  <c r="K31" i="47"/>
  <c r="K33" i="46"/>
  <c r="Q31" i="47"/>
  <c r="Q33" i="46"/>
  <c r="I33" i="46"/>
  <c r="G33" i="46"/>
  <c r="I31" i="47"/>
  <c r="F34" i="47" l="1"/>
  <c r="F39" i="47" s="1"/>
  <c r="Q36" i="46"/>
</calcChain>
</file>

<file path=xl/sharedStrings.xml><?xml version="1.0" encoding="utf-8"?>
<sst xmlns="http://schemas.openxmlformats.org/spreadsheetml/2006/main" count="1920" uniqueCount="552">
  <si>
    <t>Algemene kostprijsfactoren van toepassing op alle producten</t>
  </si>
  <si>
    <t>Geldende Cao binnen de organisatie</t>
  </si>
  <si>
    <t>Cao VVT</t>
  </si>
  <si>
    <t>anders namelijk:</t>
  </si>
  <si>
    <t>Vakantietoeslag</t>
  </si>
  <si>
    <t>Eindejaarstoeslag</t>
  </si>
  <si>
    <t>Niet-declarabele tijd</t>
  </si>
  <si>
    <t>Benchmark</t>
  </si>
  <si>
    <t>Toelichting</t>
  </si>
  <si>
    <t>Afwijkende waarde zorgaanbieder</t>
  </si>
  <si>
    <t>Motivering</t>
  </si>
  <si>
    <t>Ziekteverzuim</t>
  </si>
  <si>
    <t>OP premie per jaar</t>
  </si>
  <si>
    <t>Werkgeversdeel OP (obv cao)</t>
  </si>
  <si>
    <t>AP premie per jaar</t>
  </si>
  <si>
    <t>Werkgeversdeel AP (obv cao)</t>
  </si>
  <si>
    <t>WAO / WIA (IVA en WGA)</t>
  </si>
  <si>
    <t>WW</t>
  </si>
  <si>
    <t>ZVW</t>
  </si>
  <si>
    <t>WHK</t>
  </si>
  <si>
    <t>Premie is afhankelijk van grote van werkgever obv premieplichtig loon; het UWV heeft een aparte tool waarmee een inschatting kan worden gemaakt</t>
  </si>
  <si>
    <t>WGA eigen risico; herverzekerd</t>
  </si>
  <si>
    <t>Eigenrisico dragenschrap; keuze van werkgever voor privaat, publiekelijk of niet verzekeren</t>
  </si>
  <si>
    <t>Totaal sociale lasten (excl. pensioenpremies)</t>
  </si>
  <si>
    <t>Kostprijsfactoren per product-groep / zorgvorm</t>
  </si>
  <si>
    <t>Van toepassing op producten</t>
  </si>
  <si>
    <t>De groene vensters dienen gevuld te worden met de gegevens van de organisatie.</t>
  </si>
  <si>
    <t>De blauwe vensters worden ingevuld in het tabblad 'algemene kostprijsfactoren'</t>
  </si>
  <si>
    <t>Cao</t>
  </si>
  <si>
    <t>Vast component of cao afgeleid</t>
  </si>
  <si>
    <t>LOONKOSTEN PER UUR</t>
  </si>
  <si>
    <t>Ja</t>
  </si>
  <si>
    <t>Bruto uurloon incl. vakantietoeslag</t>
  </si>
  <si>
    <t xml:space="preserve">Eindejaarsuitkering </t>
  </si>
  <si>
    <t>Onregelmatigheidstoeslag over bruto uurloon incl. vakantietoeslag</t>
  </si>
  <si>
    <t>Totaal bruto uurloon</t>
  </si>
  <si>
    <t>totale sociale lasten</t>
  </si>
  <si>
    <t>Zie berekening 'algemene kostprijsfactoren' en rijen 40 t/m 56.</t>
  </si>
  <si>
    <t>werkgeversdeel OP</t>
  </si>
  <si>
    <t>werkgeversdeel AP</t>
  </si>
  <si>
    <t xml:space="preserve">Totale pensioenpremies en sociale lasten </t>
  </si>
  <si>
    <t>Brutoloon inclusief pensioenpremies en sociale lasten</t>
  </si>
  <si>
    <t>Overig personeelskosten zorgverleners</t>
  </si>
  <si>
    <t>Productiviteit en Correctie voor niet-declarabele tijd/activiteiten</t>
  </si>
  <si>
    <t>Zie berekening 'algemene kostprijsfactoren' en rijen 59 t/m 67</t>
  </si>
  <si>
    <t>Reiskosten cliënt naar cliënt</t>
  </si>
  <si>
    <t>Totale directe kostprijs per uur</t>
  </si>
  <si>
    <t xml:space="preserve">Overhead </t>
  </si>
  <si>
    <t>Opgeven op tabblad 'algemene kostprijsfactoren'</t>
  </si>
  <si>
    <t>Risico- en innovatie-opslag</t>
  </si>
  <si>
    <t>Totale opslag voor risico en innovatie</t>
  </si>
  <si>
    <t>Ongewogen tarief per uur</t>
  </si>
  <si>
    <t>controle som aandelen functiemix:</t>
  </si>
  <si>
    <t>Aandeel in de functiemix</t>
  </si>
  <si>
    <t>Gewogen gemiddelde prijs per uur</t>
  </si>
  <si>
    <t>Uren per jaar</t>
  </si>
  <si>
    <t>Periodiek</t>
  </si>
  <si>
    <t>Fulltime salaris</t>
  </si>
  <si>
    <t>Totaal werkgeversdeel pensioenpremies</t>
  </si>
  <si>
    <t>Meenemen</t>
  </si>
  <si>
    <t>Uren</t>
  </si>
  <si>
    <t>Percentage</t>
  </si>
  <si>
    <t>Bruto uren</t>
  </si>
  <si>
    <t>Gemiddeld aantal uren op jaarbasis (hoofstuk 1, algemene bepaling 15)</t>
  </si>
  <si>
    <t>Verlof</t>
  </si>
  <si>
    <t>Op basis van artikel 6.1.1: 144 wettelijke, 58,4 bovenwettelijke en 35 extra bovenwettelijke vakantieuren</t>
  </si>
  <si>
    <t>Scholing</t>
  </si>
  <si>
    <t>Cliënt niet aanwezig (no-show)</t>
  </si>
  <si>
    <t>Netto uren</t>
  </si>
  <si>
    <t>Productiviteit %</t>
  </si>
  <si>
    <t>Toelichting (evt.)</t>
  </si>
  <si>
    <t>Bruto Uurloon</t>
  </si>
  <si>
    <t>Functie-mix 1</t>
  </si>
  <si>
    <t>Functie-mix 2</t>
  </si>
  <si>
    <t>Functie-mix 3</t>
  </si>
  <si>
    <t>Functie-mix 4</t>
  </si>
  <si>
    <t>Functie-mix 5</t>
  </si>
  <si>
    <t>Functie-mix 6</t>
  </si>
  <si>
    <t>Uitgangspunt op basis van Cao's.</t>
  </si>
  <si>
    <t>Bijvoorbeeld administratie, organisatieoverleg en ketenoverleg, en overige niet-declarabele activiteiten</t>
  </si>
  <si>
    <t>Uren per FTE waarvan kosten niet te verhalen zijn vanwege no-show</t>
  </si>
  <si>
    <t>Bijvoorbeeld administratie, organisatieoverleg en ketenoverleg, en overige niet-declarabele activiteiten. Norm op basis van diverse recente kostprijsonderzoeken.</t>
  </si>
  <si>
    <t>Zie berekening 'algemene kostprijsfactoren' en rijen 45 t/m 62.</t>
  </si>
  <si>
    <t>Uren per dagdeel inzet hulpverleners</t>
  </si>
  <si>
    <t>Huisvestingskosten per dagdeel</t>
  </si>
  <si>
    <t>Tarief per dagdeel per cliënt</t>
  </si>
  <si>
    <t>Beschrijving</t>
  </si>
  <si>
    <t>Kosten</t>
  </si>
  <si>
    <t>Vervoer zonder rolstoel (retour - per aanwezigheidsdag)</t>
  </si>
  <si>
    <t>Vervoer met rolstoel (retour - per aanwezigheidsdag)</t>
  </si>
  <si>
    <t>Overgenomen uit andere kostprijsonderzoeken.</t>
  </si>
  <si>
    <t>Zie berekening 'algemene kostprijsfactoren' en rijen 64 t/m 72</t>
  </si>
  <si>
    <t xml:space="preserve">Deze sheet verschaft achterliggende informatie bij de factoren die samen de kostprijs per bouwsteen bepalen. </t>
  </si>
  <si>
    <t xml:space="preserve">Kostprijsfactor </t>
  </si>
  <si>
    <t>De rekentool houdt standaard rekening met vier cao’s (Gehandicaptenzorg, GGZ, Sociaal Werk en VVT). Deze rij geeft de mogelijkheid om per bouwsteen aan te geven welke cao van toepassing is. Als uw organisatie een andere dan vier genoemde cao's toepast, kunt u de waardes gewoon overschrijven.</t>
  </si>
  <si>
    <t>Ingezette functiewerkgroep</t>
  </si>
  <si>
    <t xml:space="preserve">In deze rij kunt u aangeven welke functiewerkgroep(en) en gemiddelde periodiek per FWG binnen een product worden ingezet. U hoeft niet alle functies in te vullen, maar enkel de functies die u benodigd acht binnen het product.  </t>
  </si>
  <si>
    <t>Bruto uurloon</t>
  </si>
  <si>
    <t xml:space="preserve">Het bruto-uurloon hangt af van de functiewerkgroep binnen de van toepassing zijnde cao. Vanuit het bruto fulltime maandsalaris zoals opgenomen in de salarisschalen in de cao’s wordt het uurtarief berekend. Hierbij wordt uitgegaan van een 36-urige werkweek (1.878 uren) op jaarbasis bij een fulltime positie, hetgeen neerkomt op 156,5 uren per maand. </t>
  </si>
  <si>
    <t xml:space="preserve">Conform cao bedraagt de vakantietoeslag 8,00% van het feitelijk verdiende loon in de 12 maanden voor uitkering. </t>
  </si>
  <si>
    <t>Eindejaarsuitkering</t>
  </si>
  <si>
    <t>Totale pensioenpremies en sociale lasten</t>
  </si>
  <si>
    <t>Het totale bedrag voor het werkgeversdeel van pensioenpremies en sociale lasten wordt berekend op een aparte sheet. Aldaar is tevens een uitleg per factor (WGA / WIA (+WKO); WW; sectorfonds, ZVW, WHK, WGA eigen risico) opgenomen.</t>
  </si>
  <si>
    <t>Het aantal verlofuren is afhankelijk van de cao. Vul de toepasselijke hoeveelheid uren verlof op jaarbasis in.</t>
  </si>
  <si>
    <t>Cliëntgebonden activiteiten (declarabele tijd)</t>
  </si>
  <si>
    <t>Wel gewerkte, niet-declarabele activiteiten</t>
  </si>
  <si>
    <t>Onregelmatigheidstoeslag</t>
  </si>
  <si>
    <t>Overhead - niet cliëntgebonden kosten</t>
  </si>
  <si>
    <t>Bijdrage huisvestingskosten per dagdeel</t>
  </si>
  <si>
    <t>Hulp-tabellen:</t>
  </si>
  <si>
    <t>CAO</t>
  </si>
  <si>
    <t>Percentage eindejaarsuitkering</t>
  </si>
  <si>
    <t>Cao GGZ</t>
  </si>
  <si>
    <t>Cao Sociaal Werk</t>
  </si>
  <si>
    <t>Cao GHZ</t>
  </si>
  <si>
    <t>Ondersteuningsvorm: benaming van gemeente</t>
  </si>
  <si>
    <t>HH-1</t>
  </si>
  <si>
    <t>HH-2</t>
  </si>
  <si>
    <t>CAO keuze</t>
  </si>
  <si>
    <t>VVT</t>
  </si>
  <si>
    <t>[Datum CAO]</t>
  </si>
  <si>
    <t>FWG schaal</t>
  </si>
  <si>
    <t>FWG10</t>
  </si>
  <si>
    <t>FWG15</t>
  </si>
  <si>
    <t>FWG20</t>
  </si>
  <si>
    <t>Inzetmix per FWG schaal</t>
  </si>
  <si>
    <t>Vaste componenten of cao afgeleid</t>
  </si>
  <si>
    <t>%</t>
  </si>
  <si>
    <t>Pas toe en leg uit</t>
  </si>
  <si>
    <t>Bruto uurloon cao</t>
  </si>
  <si>
    <t>Vakantietoeslag (minimum cao bepaald 0,98)</t>
  </si>
  <si>
    <t>Eindejaarsuitkering (minimum cao bepaald (0,94)</t>
  </si>
  <si>
    <t>OP werkgeversdeel (zie werkblad "Pensioenpremie)</t>
  </si>
  <si>
    <t>AP werkgeversdeel (zie werkblad "Pensioenpremie)</t>
  </si>
  <si>
    <t>Totaal pensioenpremies</t>
  </si>
  <si>
    <t>WGA / WIA (+ WKO)</t>
  </si>
  <si>
    <t>Sectorfonds</t>
  </si>
  <si>
    <t>Nee</t>
  </si>
  <si>
    <t>Beschikking belastingdienst</t>
  </si>
  <si>
    <t>Eigen risicodrager: keuze onderneming</t>
  </si>
  <si>
    <t>Totaal Sociale lasten</t>
  </si>
  <si>
    <t>Totaal te verlonen kosten per uur</t>
  </si>
  <si>
    <t>KOSTPRIJS PER UUR</t>
  </si>
  <si>
    <t>Bron: Brancheviewer Vernet</t>
  </si>
  <si>
    <t>Kosten niet-werkbare uren claimrecht (verlof, ziekteverzuim, scholing)</t>
  </si>
  <si>
    <t>SECUNDAIR TOE TE BEREKENEN KOSTEN PER UUR</t>
  </si>
  <si>
    <t>Niet planbaar, wel te verlonen tijd</t>
  </si>
  <si>
    <t>Indirect Clientgebonden tijd (%)</t>
  </si>
  <si>
    <t>Rapportage clientdossier, casus overleg</t>
  </si>
  <si>
    <t>Organisatiegebonden tijd (%)</t>
  </si>
  <si>
    <t>Overige administratie, team overleg</t>
  </si>
  <si>
    <t>Eerste reis naar werk</t>
  </si>
  <si>
    <t>Ter vergelijking: onderzoek PWC april 2017 invloed op tarief eerste reis naar werk 3,4% tov de hier gehanteerde 1,9% (€0,28)</t>
  </si>
  <si>
    <t>Reiskosten client naar client, toe te berekenen per uur</t>
  </si>
  <si>
    <t>Totaal reiskosten per uur</t>
  </si>
  <si>
    <t>Overhead over alle bovenstaande posten</t>
  </si>
  <si>
    <t>Totale kosten per uur in te zetten medewerker</t>
  </si>
  <si>
    <t>Opslag voor additionele administratieve lasten</t>
  </si>
  <si>
    <t>Gemeentelijke eisen, inkoopkenmerken, extra accountantscontroles</t>
  </si>
  <si>
    <t>RISICO &amp; MARGE</t>
  </si>
  <si>
    <t>Ongewogen tarief totaal</t>
  </si>
  <si>
    <t>Gewogen tarief</t>
  </si>
  <si>
    <t>Tarief per ondersteuningsvorm met de gekozen FWG inzetmix</t>
  </si>
  <si>
    <t>Berekening pensioenpremie (VVT / VGN beide Pensioenfonds PZW)</t>
  </si>
  <si>
    <t xml:space="preserve">Ondersteuningsvorm; benaming gemeente </t>
  </si>
  <si>
    <t>FWG</t>
  </si>
  <si>
    <r>
      <t>Totaal Bruto uurloon</t>
    </r>
    <r>
      <rPr>
        <i/>
        <sz val="9"/>
        <color theme="1"/>
        <rFont val="Verdana"/>
        <family val="2"/>
      </rPr>
      <t/>
    </r>
  </si>
  <si>
    <t>OP Premie vaststellen</t>
  </si>
  <si>
    <t>% (werkgevers +werknemersdeel)</t>
  </si>
  <si>
    <t xml:space="preserve">Franchise </t>
  </si>
  <si>
    <t>Grondslag</t>
  </si>
  <si>
    <t>Premie (per jaar)</t>
  </si>
  <si>
    <r>
      <t xml:space="preserve">Werkgeversdeel OP </t>
    </r>
    <r>
      <rPr>
        <sz val="11"/>
        <color theme="1"/>
        <rFont val="Calibri"/>
        <family val="2"/>
        <scheme val="minor"/>
      </rPr>
      <t>(toe te passen %, na aftrek franchise)</t>
    </r>
  </si>
  <si>
    <t>AP Premie vaststellen</t>
  </si>
  <si>
    <t>Franchise (= frachisebedrag pensioenfonds)</t>
  </si>
  <si>
    <r>
      <t xml:space="preserve">Werkgeversdeel AP </t>
    </r>
    <r>
      <rPr>
        <sz val="11"/>
        <color theme="1"/>
        <rFont val="Calibri"/>
        <family val="2"/>
        <scheme val="minor"/>
      </rPr>
      <t>(toe te passen %, na aftrek franchise)</t>
    </r>
  </si>
  <si>
    <t>Totaal Werkgeversdeel</t>
  </si>
  <si>
    <t>Pensioenfonds zorg &amp; welzijn, OP-premie per 1-1-2023</t>
  </si>
  <si>
    <t>Pensioenfonds zorg &amp; welzijn, AP-premie per 1-1-2023</t>
  </si>
  <si>
    <t>AOW franchise 2023</t>
  </si>
  <si>
    <t>Pensioenfonds zorg &amp; welzijn, franchise per 1-1-2023</t>
  </si>
  <si>
    <t>Premie 2023: op basis van cijfers UWV en de WAB; premie voor vaste krachten is 2,64%; voor flexibele krachten is deze 7,64%.</t>
  </si>
  <si>
    <t>Premie 2023; op basis van cijfers belastingdienst</t>
  </si>
  <si>
    <t>ORT</t>
  </si>
  <si>
    <t>Product:        BGI langdurig structureel - waakvlam begeleiding</t>
  </si>
  <si>
    <t>Product:        BGI Langdurig structureel - lichte begeleiding</t>
  </si>
  <si>
    <t>Product:          BGI Langdurig structureel - gemiddeld intensieve begeleiding</t>
  </si>
  <si>
    <t>Product:          Perspectief zelfstandig gemiddeld intensieve begeleiding</t>
  </si>
  <si>
    <t>Product:          BGI Perspectief zelfstandig - hoog intensieve begeleiding</t>
  </si>
  <si>
    <t>Product:          BGI Langdurig structureel - hoog intensieve begeleiding</t>
  </si>
  <si>
    <t>Product:         Dagbesteding Regulier</t>
  </si>
  <si>
    <t>Product:        Dagbesteding specialistisch</t>
  </si>
  <si>
    <t>Product:        BGI Perspectief zelfstandig lichte begeleiding</t>
  </si>
  <si>
    <t>Premie 2023; op basis van cijfers UWV; WIA bestaat uit IVA en WGA; vanaf 1 januari 2022 is een gedifferentieerde premie naar grootte van de werkgever ingevoerd</t>
  </si>
  <si>
    <t xml:space="preserve">Het aandeel van een specifieke functie als percentage van de declarabele zorguren </t>
  </si>
  <si>
    <t>Vernet 3-jarig gemiddelde (2020-2022) VVT, GHZ, GGZ en SW.</t>
  </si>
  <si>
    <t xml:space="preserve">Hieronder vallen de huisvestingskosten niet direct toe te rekenen aan cliënten, ICT-kosten, management kosten en andere algemene kosten en zakelijke lasten zoals kosten om te voldoen aan ARBO-wet, overige relevante wettelijke verplichtingen, en eventuele aanvullende personeelskosten die in specifieke cao's kunnen gelden. Ook de meerkosten voor inzet van extern personeel (PNIL) dient onder overhead te worden gerekend. Waar van toepassing valt onder overhead ook: de inzet van ondersteunend personeel dat geen direct cliëntgebonden activiteiten uitvoert, en kosten voor beschikbaarheid conform eisen aan het product. Er wordt gerekend met een percentage overhead over de totale directe kostprijs per uur. </t>
  </si>
  <si>
    <t>Huisvestingskosten voor de locatie waar hulp met verblijf plaats vindt: de kapitaallasten, instandhoudingskosten, gas, water, licht, en inrichting (inventaris). Enkel wanneer deze kosten van toepassing zijn op de te leveren zorg waar de kostprijs voor wordt berekend. Houd in de gebouwgebonden kosten rekening met de gemiddelde bezettingsgraad / groepsgrootte.</t>
  </si>
  <si>
    <t>Overhead en reiskosten cliënt-cliënt</t>
  </si>
  <si>
    <t>Product:        Dagbesteding Beschermd Wonen</t>
  </si>
  <si>
    <t>Naast verlof, ziekte en opleidingstijd onderscheid de rekentool overige niet-declarabele activiteiten (alle overige inzet die niet onder declarabele tijd valt) en no-show. Onder no-show verstaan we (percentage van) de tijd die hulpverleners kwijt zijn als gevolg van niet-planbare uitval van ondersteuningsmomenten, en die aanbieders niet in rekening mogen brengen bij de gemeente(n).</t>
  </si>
  <si>
    <r>
      <t xml:space="preserve">Schaal en trede in Cao-schaal | </t>
    </r>
    <r>
      <rPr>
        <b/>
        <sz val="12"/>
        <color theme="1"/>
        <rFont val="Calibri"/>
        <family val="2"/>
        <scheme val="minor"/>
      </rPr>
      <t>maandloon behorende bij schaal en trede</t>
    </r>
  </si>
  <si>
    <t>OP premie (werkgeversdeel + werknemersdeel) 2023</t>
  </si>
  <si>
    <t>AP premie (werkgeversdeel + werknemersdeel) 2023</t>
  </si>
  <si>
    <t>AP franchise 2023</t>
  </si>
  <si>
    <t>vooraf ingevuld op basis van benchmark</t>
  </si>
  <si>
    <t>Gemiddeld aantal cliënten per hulpverlener</t>
  </si>
  <si>
    <t>vooraf ingevuld op basis van verwachting</t>
  </si>
  <si>
    <t>Voeding, verzorging en hotelmatige kosten</t>
  </si>
  <si>
    <t>Voeding, verzorging en hotelmatige kosten per dagdeel</t>
  </si>
  <si>
    <t>FWG …</t>
  </si>
  <si>
    <t>FWG ...</t>
  </si>
  <si>
    <t>Voor dagbesteding / beschermd wonen zit no-show verwerkt in gemiddelde groepsgrootte / algemene risico-opslag. Eventuele correctie moet daar plaats vinden!</t>
  </si>
  <si>
    <t>Totaal overhead als opslag loonkosten</t>
  </si>
  <si>
    <t xml:space="preserve">Totaal overhead als opslag loonkosten </t>
  </si>
  <si>
    <t>Administratie, overleg en overige niet-declarabele activiteiten</t>
  </si>
  <si>
    <t>Onregelmatigheidstoeslag over bruto uurloon</t>
  </si>
  <si>
    <t xml:space="preserve">Onregelmatigheidstoeslag over bruto uurloon </t>
  </si>
  <si>
    <t>Reistijd cliënt naar cliënt</t>
  </si>
  <si>
    <t>Rol / functie</t>
  </si>
  <si>
    <t>Begeleider HBO</t>
  </si>
  <si>
    <t>Zie 'algemene kostprijsfactoren'</t>
  </si>
  <si>
    <t>Gemiddeld aantal uren op jaarbasis</t>
  </si>
  <si>
    <t xml:space="preserve"> </t>
  </si>
  <si>
    <t>Zie berekening 'algemene kostprijsfactoren' en rijen 41 t/m 59.</t>
  </si>
  <si>
    <t>Zie berekening 'algemene kostprijsfactoren' en rijen 61 t/m 71</t>
  </si>
  <si>
    <t>Premie is afhankelijk van grote van werkgever obv premieplichtig loon; het UWV heeft een aparte tool waarmee een inschatting kan worden gemaakt. Ingevuld op basis van benchmark.</t>
  </si>
  <si>
    <t>Eigenrisico dragenschrap; keuze van werkgever voor privaat, publiekelijk of niet verzekeren. Ingevuld op basis van benchmark.</t>
  </si>
  <si>
    <t>Benchmark waarde</t>
  </si>
  <si>
    <t xml:space="preserve"> Evt. afwijkende waarde zorgaanbieder</t>
  </si>
  <si>
    <r>
      <rPr>
        <b/>
        <sz val="12"/>
        <color rgb="FFFF0000"/>
        <rFont val="Calibri"/>
        <family val="2"/>
        <scheme val="minor"/>
      </rPr>
      <t>Gemiddelde</t>
    </r>
    <r>
      <rPr>
        <sz val="12"/>
        <color theme="1"/>
        <rFont val="Calibri"/>
        <family val="2"/>
        <scheme val="minor"/>
      </rPr>
      <t xml:space="preserve"> Schaal en trede in Cao-schaal | maandloon behorende bij schaal en trede</t>
    </r>
  </si>
  <si>
    <t>FWG 25 - 1</t>
  </si>
  <si>
    <t>FWG 25 - 2</t>
  </si>
  <si>
    <t>FWG 25 - 3</t>
  </si>
  <si>
    <t>FWG 25 - 4</t>
  </si>
  <si>
    <t>FWG 25 - 5</t>
  </si>
  <si>
    <t>FWG 25 - 6</t>
  </si>
  <si>
    <t>FWG 25 - 7</t>
  </si>
  <si>
    <t>FWG 25 - 8</t>
  </si>
  <si>
    <t>FWG 25 - 9</t>
  </si>
  <si>
    <t>FWG 25 - 10</t>
  </si>
  <si>
    <t>FWG 30 - 1</t>
  </si>
  <si>
    <t>FWG 30 - 2</t>
  </si>
  <si>
    <t>FWG 30 - 3</t>
  </si>
  <si>
    <t>FWG 30 - 4</t>
  </si>
  <si>
    <t>FWG 30 - 5</t>
  </si>
  <si>
    <t>FWG 30 - 6</t>
  </si>
  <si>
    <t>FWG 30 - 7</t>
  </si>
  <si>
    <t>FWG 30 - 8</t>
  </si>
  <si>
    <t>FWG 30 - 9</t>
  </si>
  <si>
    <t>FWG 30 - 10</t>
  </si>
  <si>
    <t>FWG 35 - 1</t>
  </si>
  <si>
    <t>FWG 35 - 2</t>
  </si>
  <si>
    <t>FWG 35 - 3</t>
  </si>
  <si>
    <t>FWG 35 - 4</t>
  </si>
  <si>
    <t>FWG 35 - 5</t>
  </si>
  <si>
    <t>FWG 35 - 6</t>
  </si>
  <si>
    <t>FWG 35 - 7</t>
  </si>
  <si>
    <t>FWG 35 - 8</t>
  </si>
  <si>
    <t>FWG 35 - 9</t>
  </si>
  <si>
    <t>FWG 35 - 10</t>
  </si>
  <si>
    <t>FWG 35 - 11</t>
  </si>
  <si>
    <t>FWG 40 - 1</t>
  </si>
  <si>
    <t>FWG 40 - 2</t>
  </si>
  <si>
    <t>FWG 40 - 3</t>
  </si>
  <si>
    <t>FWG 40 - 4</t>
  </si>
  <si>
    <t>FWG 40 - 5</t>
  </si>
  <si>
    <t>FWG 40 - 6</t>
  </si>
  <si>
    <t>FWG 40 - 7</t>
  </si>
  <si>
    <t>FWG 40 - 8</t>
  </si>
  <si>
    <t>FWG 40 - 9</t>
  </si>
  <si>
    <t>FWG 40 - 10</t>
  </si>
  <si>
    <t>FWG 40 - 11</t>
  </si>
  <si>
    <t>FWG 40 - 12</t>
  </si>
  <si>
    <t>FWG 40 - 13</t>
  </si>
  <si>
    <t>FWG 45 - 1</t>
  </si>
  <si>
    <t>FWG 45 - 2</t>
  </si>
  <si>
    <t>FWG 45 - 3</t>
  </si>
  <si>
    <t>FWG 45 - 4</t>
  </si>
  <si>
    <t>FWG 45 - 5</t>
  </si>
  <si>
    <t>FWG 45 - 6</t>
  </si>
  <si>
    <t>FWG 45 - 7</t>
  </si>
  <si>
    <t>FWG 45 - 8</t>
  </si>
  <si>
    <t>FWG 45 - 9</t>
  </si>
  <si>
    <t>FWG 45 - 10</t>
  </si>
  <si>
    <t>FWG 45 - 11</t>
  </si>
  <si>
    <t>FWG 45 - 12</t>
  </si>
  <si>
    <t>FWG 45 - 13</t>
  </si>
  <si>
    <t>FWG 50 - 1</t>
  </si>
  <si>
    <t>FWG 50 - 2</t>
  </si>
  <si>
    <t>FWG 50 - 3</t>
  </si>
  <si>
    <t>FWG 50 - 4</t>
  </si>
  <si>
    <t>FWG 50 - 5</t>
  </si>
  <si>
    <t>FWG 50 - 6</t>
  </si>
  <si>
    <t>FWG 50 - 7</t>
  </si>
  <si>
    <t>FWG 50 - 8</t>
  </si>
  <si>
    <t>FWG 50 - 9</t>
  </si>
  <si>
    <t>FWG 50 - 10</t>
  </si>
  <si>
    <t>FWG 50 - 11</t>
  </si>
  <si>
    <t>FWG 50 - 12</t>
  </si>
  <si>
    <t>FWG 55 - 1</t>
  </si>
  <si>
    <t>FWG 55 - 2</t>
  </si>
  <si>
    <t>FWG 55 - 3</t>
  </si>
  <si>
    <t>FWG 55 - 4</t>
  </si>
  <si>
    <t>FWG 55 - 5</t>
  </si>
  <si>
    <t>FWG 55 - 6</t>
  </si>
  <si>
    <t>FWG 55 - 7</t>
  </si>
  <si>
    <t>FWG 55 - 8</t>
  </si>
  <si>
    <t>FWG 55 - 9</t>
  </si>
  <si>
    <t>FWG 55 - 10</t>
  </si>
  <si>
    <t>FWG 55 - 11</t>
  </si>
  <si>
    <t>FWG 55 - 12</t>
  </si>
  <si>
    <t>FWG 60 - 1</t>
  </si>
  <si>
    <t>FWG 60 - 2</t>
  </si>
  <si>
    <t>FWG 60 - 3</t>
  </si>
  <si>
    <t>FWG 60 - 4</t>
  </si>
  <si>
    <t>FWG 60 - 5</t>
  </si>
  <si>
    <t>FWG 60 - 6</t>
  </si>
  <si>
    <t>FWG 60 - 7</t>
  </si>
  <si>
    <t>FWG 60 - 8</t>
  </si>
  <si>
    <t>FWG 60 - 9</t>
  </si>
  <si>
    <t>FWG 60 - 10</t>
  </si>
  <si>
    <t>FWG 60 - 11</t>
  </si>
  <si>
    <t>FWG 65 - 1</t>
  </si>
  <si>
    <t>FWG 65 - 2</t>
  </si>
  <si>
    <t>FWG 65 - 3</t>
  </si>
  <si>
    <t>FWG 65 - 4</t>
  </si>
  <si>
    <t>FWG 65 - 5</t>
  </si>
  <si>
    <t>FWG 65 - 6</t>
  </si>
  <si>
    <t>FWG 65 - 7</t>
  </si>
  <si>
    <t>FWG 65 - 8</t>
  </si>
  <si>
    <t>FWG 65 - 9</t>
  </si>
  <si>
    <t>FWG 65 - 10</t>
  </si>
  <si>
    <t>FWG 65 - 11</t>
  </si>
  <si>
    <t>FWG 65 - 12</t>
  </si>
  <si>
    <t>FWG 65 - 13</t>
  </si>
  <si>
    <t>Cao_VVT</t>
  </si>
  <si>
    <t>Cao_GGZ</t>
  </si>
  <si>
    <t>Cao_GHZ</t>
  </si>
  <si>
    <t xml:space="preserve">Schaal 1 - 1 </t>
  </si>
  <si>
    <t>Schaal 1 - 2</t>
  </si>
  <si>
    <t>Schaal 1 - 3</t>
  </si>
  <si>
    <t>Schaal 1 - 4</t>
  </si>
  <si>
    <t>Schaal 1 - 5</t>
  </si>
  <si>
    <t>Schaal 1 - 6</t>
  </si>
  <si>
    <t>Schaal 1 - 7</t>
  </si>
  <si>
    <t>Schaal 1 - 8</t>
  </si>
  <si>
    <t>Schaal 1 - 9</t>
  </si>
  <si>
    <t>Schaal 2 - 1</t>
  </si>
  <si>
    <t>Schaal 2 - 2</t>
  </si>
  <si>
    <t>Schaal 2 - 3</t>
  </si>
  <si>
    <t>Schaal 2 - 4</t>
  </si>
  <si>
    <t>Schaal 2 - 5</t>
  </si>
  <si>
    <t>Schaal 2 - 6</t>
  </si>
  <si>
    <t>Schaal 2 - 7</t>
  </si>
  <si>
    <t>Schaal 2 - 8</t>
  </si>
  <si>
    <t>Schaal 2 - 9</t>
  </si>
  <si>
    <t>Schaal 2 - 10</t>
  </si>
  <si>
    <t>Schaal 3 - 1</t>
  </si>
  <si>
    <t>Schaal 3 - 2</t>
  </si>
  <si>
    <t>Schaal 3 - 3</t>
  </si>
  <si>
    <t>Schaal 3 - 4</t>
  </si>
  <si>
    <t>Schaal 3 - 5</t>
  </si>
  <si>
    <t>Schaal 3 - 6</t>
  </si>
  <si>
    <t>Schaal 3 - 7</t>
  </si>
  <si>
    <t>Schaal 3 - 8</t>
  </si>
  <si>
    <t>Schaal 3 - 9</t>
  </si>
  <si>
    <t>Schaal 4 - 1</t>
  </si>
  <si>
    <t>Schaal 4 - 2</t>
  </si>
  <si>
    <t>Schaal 4 - 3</t>
  </si>
  <si>
    <t>Schaal 4 - 4</t>
  </si>
  <si>
    <t>Schaal 4 - 5</t>
  </si>
  <si>
    <t>Schaal 4 - 6</t>
  </si>
  <si>
    <t>Schaal 3 - 10</t>
  </si>
  <si>
    <t>Schaal 3 - 11</t>
  </si>
  <si>
    <t>Schaal 4 - 7</t>
  </si>
  <si>
    <t>Schaal 4 - 8</t>
  </si>
  <si>
    <t>Schaal 4 - 9</t>
  </si>
  <si>
    <t>Schaal 4 - 10</t>
  </si>
  <si>
    <t>Schaal 4 - 11</t>
  </si>
  <si>
    <t>Schaal 5 - 1</t>
  </si>
  <si>
    <t>Schaal 5 - 2</t>
  </si>
  <si>
    <t>Schaal 5 - 3</t>
  </si>
  <si>
    <t>Schaal 5 - 4</t>
  </si>
  <si>
    <t>Schaal 5 - 5</t>
  </si>
  <si>
    <t>Schaal 5 - 6</t>
  </si>
  <si>
    <t>Schaal 5 - 7</t>
  </si>
  <si>
    <t>Schaal 5 - 8</t>
  </si>
  <si>
    <t>Schaal 5 - 9</t>
  </si>
  <si>
    <t>Schaal 5 - 10</t>
  </si>
  <si>
    <t>Schaal 5 - 11</t>
  </si>
  <si>
    <t>Schaal 5 - 12</t>
  </si>
  <si>
    <t>Schaal 5 - 13</t>
  </si>
  <si>
    <t>Schaal 6 - 1</t>
  </si>
  <si>
    <t>Schaal 6 - 2</t>
  </si>
  <si>
    <t>Schaal 6 - 3</t>
  </si>
  <si>
    <t>Schaal 6 - 4</t>
  </si>
  <si>
    <t>Schaal 6 - 5</t>
  </si>
  <si>
    <t>Schaal 6 - 6</t>
  </si>
  <si>
    <t>Schaal 6 - 7</t>
  </si>
  <si>
    <t>Schaal 6 - 8</t>
  </si>
  <si>
    <t>Schaal 6 - 9</t>
  </si>
  <si>
    <t>Schaal 6 - 10</t>
  </si>
  <si>
    <t>Schaal 6 - 11</t>
  </si>
  <si>
    <t>Schaal 6 - 12</t>
  </si>
  <si>
    <t>Schaal 6 - 13</t>
  </si>
  <si>
    <t>Schaal 7 - 1</t>
  </si>
  <si>
    <t>Schaal 7 - 2</t>
  </si>
  <si>
    <t>Schaal 7 - 3</t>
  </si>
  <si>
    <t>Schaal 7 - 4</t>
  </si>
  <si>
    <t>Schaal 7 - 5</t>
  </si>
  <si>
    <t>Schaal 7 - 6</t>
  </si>
  <si>
    <t>Schaal 7 - 7</t>
  </si>
  <si>
    <t>Schaal 7 - 8</t>
  </si>
  <si>
    <t>Schaal 7 - 9</t>
  </si>
  <si>
    <t>Schaal 7 - 10</t>
  </si>
  <si>
    <t>Schaal 7 - 11</t>
  </si>
  <si>
    <t>Schaal 7 - 12</t>
  </si>
  <si>
    <t>Schaal 7 - 13</t>
  </si>
  <si>
    <t>Schaal 8 - 1</t>
  </si>
  <si>
    <t>Schaal 8 - 2</t>
  </si>
  <si>
    <t>Schaal 8 - 3</t>
  </si>
  <si>
    <t>Schaal 8 - 4</t>
  </si>
  <si>
    <t>Schaal 8 - 5</t>
  </si>
  <si>
    <t>Schaal 8 - 6</t>
  </si>
  <si>
    <t>Schaal 8 - 7</t>
  </si>
  <si>
    <t>Schaal 8 - 8</t>
  </si>
  <si>
    <t>Schaal 8 - 9</t>
  </si>
  <si>
    <t>Schaal 8 - 10</t>
  </si>
  <si>
    <t>Schaal 8 - 11</t>
  </si>
  <si>
    <t>Schaal 8 - 12</t>
  </si>
  <si>
    <t>Schaal 8 - 13</t>
  </si>
  <si>
    <t>Schaal 9 - 1</t>
  </si>
  <si>
    <t>Schaal 9 - 2</t>
  </si>
  <si>
    <t>Schaal 9 - 3</t>
  </si>
  <si>
    <t>Schaal 9 - 4</t>
  </si>
  <si>
    <t>Schaal 9 - 5</t>
  </si>
  <si>
    <t>Schaal 9 - 6</t>
  </si>
  <si>
    <t>Schaal 9 - 7</t>
  </si>
  <si>
    <t>Schaal 9 - 8</t>
  </si>
  <si>
    <t>Schaal 9 - 9</t>
  </si>
  <si>
    <t>Schaal 9 - 10</t>
  </si>
  <si>
    <t>Schaal 9 - 11</t>
  </si>
  <si>
    <t>Schaal 9 - 12</t>
  </si>
  <si>
    <t>Schaal 9 - 13</t>
  </si>
  <si>
    <t>Schaal 10 - 1</t>
  </si>
  <si>
    <t>Schaal 10 - 2</t>
  </si>
  <si>
    <t>Schaal 10 - 3</t>
  </si>
  <si>
    <t>Schaal 10 - 4</t>
  </si>
  <si>
    <t>Schaal 10 - 5</t>
  </si>
  <si>
    <t>Schaal 10 - 6</t>
  </si>
  <si>
    <t>Schaal 10 - 7</t>
  </si>
  <si>
    <t>Schaal 10 - 8</t>
  </si>
  <si>
    <t>Schaal 10 - 9</t>
  </si>
  <si>
    <t>Schaal 10 - 10</t>
  </si>
  <si>
    <t>Schaal 10 - 11</t>
  </si>
  <si>
    <t>Schaal 10 - 12</t>
  </si>
  <si>
    <t>Schaal 10 - 13</t>
  </si>
  <si>
    <t>Cao_Sociaal_Werk</t>
  </si>
  <si>
    <t>FWG 25 - 11</t>
  </si>
  <si>
    <t>FWG 30 - 11</t>
  </si>
  <si>
    <t>FWG 35 - 12</t>
  </si>
  <si>
    <t>FWG 45 - 14</t>
  </si>
  <si>
    <t>FWG 50 - 13</t>
  </si>
  <si>
    <t>FWG 60 - 12</t>
  </si>
  <si>
    <t xml:space="preserve">FWG 30 -1 </t>
  </si>
  <si>
    <t>FWG 30 -2</t>
  </si>
  <si>
    <t>FWG 30 -3</t>
  </si>
  <si>
    <t>FWG 30 -4</t>
  </si>
  <si>
    <t>FWG 30 -5</t>
  </si>
  <si>
    <t>FWG 30 -6</t>
  </si>
  <si>
    <t>FWG 30 -7</t>
  </si>
  <si>
    <t>FWG 30 -8</t>
  </si>
  <si>
    <t>FWG 30 -9</t>
  </si>
  <si>
    <t>FWG 30 -10</t>
  </si>
  <si>
    <t>FWG 65 - 14</t>
  </si>
  <si>
    <t>FWG 65 - 15</t>
  </si>
  <si>
    <t>Cao Jeugdzorg</t>
  </si>
  <si>
    <t xml:space="preserve">Schaal 6 - 1 </t>
  </si>
  <si>
    <t>Schaal 11 - 1</t>
  </si>
  <si>
    <t>Schaal 11 - 2</t>
  </si>
  <si>
    <t>Schaal 11 - 3</t>
  </si>
  <si>
    <t>Schaal 11 - 4</t>
  </si>
  <si>
    <t>Schaal 11 - 5</t>
  </si>
  <si>
    <t>Schaal 11 - 6</t>
  </si>
  <si>
    <t>Schaal 11 - 7</t>
  </si>
  <si>
    <t>Schaal 11 - 8</t>
  </si>
  <si>
    <t>Schaal 11 - 9</t>
  </si>
  <si>
    <t>Schaal 11 - 10</t>
  </si>
  <si>
    <t>Schaal 11 - 11</t>
  </si>
  <si>
    <t>Schaal 11 - 12</t>
  </si>
  <si>
    <t>Overhead IBG</t>
  </si>
  <si>
    <t>Overhead dagbesteding</t>
  </si>
  <si>
    <t>Dagbesteding</t>
  </si>
  <si>
    <t>Waarde zorgaanbieder</t>
  </si>
  <si>
    <t>Individuele begeleiding</t>
  </si>
  <si>
    <t>Onregelmatigheidstoeslag over bruto uurloon (niet verwacht bij IVN 4)</t>
  </si>
  <si>
    <t>Het percentage van de uren (verleturen) dat werknemers daadwerkelijk besteden aan scholing.</t>
  </si>
  <si>
    <t>Het percentage ziekteverzuim dat gedurende langere tijd representatief is voor uw organisatie. Wij baseren ons hiervoor op de Vernet-verzuimcijfers over 2023 voor de cao's SW, GGZ, GHZ en VVT.</t>
  </si>
  <si>
    <r>
      <t xml:space="preserve">Hieronder vallen eventuele </t>
    </r>
    <r>
      <rPr>
        <sz val="12"/>
        <rFont val="Calibri"/>
        <family val="2"/>
        <scheme val="minor"/>
      </rPr>
      <t xml:space="preserve">hotelmatige kosten: voeding, en activiteiten tijdens het verblijf, linnenbewassing, energiekosten en eventuele andere materiele clientgebonden kosten. Enkel relevant voor dagbesteding in de vorm van een bedrag per dagdeel.
</t>
    </r>
  </si>
  <si>
    <t>Gemiddeld aantal cliënten per hulpverlener (dagbesteding)</t>
  </si>
  <si>
    <t>Eventuele toelichting</t>
  </si>
  <si>
    <t>Het gemiddeld aantal cliënten op de groep per hulpverlener bij dagbesteding. Hierin dient ongeplande no-show verdisconteerd te worden.</t>
  </si>
  <si>
    <t>Hier kunnen zorgaanbieders een percentage opnemen voor risico en marge.</t>
  </si>
  <si>
    <t>De kosten die de werkgever vergoed van de werknemer voor het reizen van cliënt naar cliënt bij ambulante producten. Dit omvat niet de niet-declarabele werktijd, deze moet onder 'wel gewerkte niet declarabele activiteiten' opgegeven worden. Het betreft de reiskosten per gewerkt uur.</t>
  </si>
  <si>
    <t>Bijvoorbeeld administratie, organisatieoverleg en ketenoverleg, en overige niet-declarabele activiteiten.</t>
  </si>
  <si>
    <t>Bij dagbesteding is er geen reistijd naar cliënten</t>
  </si>
  <si>
    <t>No-show moet bij dagbesteding in de gemiddelde groepsgrootte (cliënten per hulpverlener) verrekend worden!</t>
  </si>
  <si>
    <t>Product:      Individuele begeleiding basis</t>
  </si>
  <si>
    <t>Product:      Individuele begeleiding plus</t>
  </si>
  <si>
    <t>Product:         Dagbesteding basis</t>
  </si>
  <si>
    <t>Product:       Beschermd  Thuis</t>
  </si>
  <si>
    <t>Gemiddeld aantal uur inzet per cliënt per etmaal</t>
  </si>
  <si>
    <t>Opslag vor 24-uur bereikbaarheidscomponent (per etmaal)</t>
  </si>
  <si>
    <t>Tarief per etmaal per cliënt</t>
  </si>
  <si>
    <t>Totale kosten voor inzet hulpverleners per etmaal</t>
  </si>
  <si>
    <r>
      <t xml:space="preserve">Te verwachten gemiddelde in te zetten uren per etmaal per functie - </t>
    </r>
    <r>
      <rPr>
        <b/>
        <sz val="12"/>
        <color theme="1"/>
        <rFont val="Calibri"/>
        <family val="2"/>
        <scheme val="minor"/>
      </rPr>
      <t>omgerekend per client</t>
    </r>
    <r>
      <rPr>
        <sz val="12"/>
        <color theme="1"/>
        <rFont val="Calibri"/>
        <family val="2"/>
        <scheme val="minor"/>
      </rPr>
      <t xml:space="preserve"> </t>
    </r>
  </si>
  <si>
    <t>Totale inzet (uren per etmaal per cliënt)</t>
  </si>
  <si>
    <t>Begeleider MBO 2</t>
  </si>
  <si>
    <t>Begeleider MBO 3</t>
  </si>
  <si>
    <t>Begeleider MBO 4</t>
  </si>
  <si>
    <t>Overhead Kortdurend verblijf / beschermd thuis</t>
  </si>
  <si>
    <t>Kortdurend Verblijf, Beschermd thuis</t>
  </si>
  <si>
    <t>Opslag voor 24-uur bereikbaarheid (per etmaal)</t>
  </si>
  <si>
    <t>De tijdsbesteding van hulpverleners die u conform het contract in rekening mag brengen als declarabele inzet.</t>
  </si>
  <si>
    <t>Deze rij laat toe om een extra uitkering volgend uit onregelmatige diensten op te nemen middels een opslag over het bruto-uurloon. Onregelmatigheidstoeslag kan per functie opgegeven worden voor individuele begeleiding. Wij verwachten geen inzet gedurende onregelmatige tijden individuele begeleiding basis en dagbesteding, en zeer beperkt bij individuele begeleiding plus.</t>
  </si>
  <si>
    <t>Opslag voor risico en marge</t>
  </si>
  <si>
    <t>Totale opslag voor risico en marge</t>
  </si>
  <si>
    <t>Product:       Kortdurend verblijf</t>
  </si>
  <si>
    <t>Opslag voor 24-uur bereikbaarheid per etmaal (beschermd thuis)</t>
  </si>
  <si>
    <t>Als de gemeenten eisen dat er bij Beschermd Thuis 24/7 gebeld kan worden door cliënten, vereist dit in de nacht een slapende wacht. Als aanbieders deze slapende wacht niet kunnen combineren met een intramurale beschermd wonen setting, kunnen de kosten per cliënt per etmaal hier worden opgenomen.</t>
  </si>
  <si>
    <t>Uren per FTE waarvan kosten niet te verhalen zijn vanwege no-show.</t>
  </si>
  <si>
    <t>Uren per FTE die de hulpverlener besteed aan reizen naar cliënten.</t>
  </si>
  <si>
    <t>Recent kostprijsonderzoek PPRC voor dezelfde zorgvormen.</t>
  </si>
  <si>
    <t>Voeding, verzorging en hotelmatige kosten per etmaal</t>
  </si>
  <si>
    <t>Huisvestingskosten per etmaal</t>
  </si>
  <si>
    <t>Product:      Dagbesteding plus</t>
  </si>
  <si>
    <t>Premie 2025; op basis van cijfers UWV; WIA bestaat uit IVA en WGA. Vooraf ingevuld voor (middel)grote aanbieders, kleine aanbieders zitten op 6,35%.</t>
  </si>
  <si>
    <t>Premie 2025: op basis van cijfers UWV en de WAB; premie voor vaste krachten is 2,74%; voor flexibele krachten is deze 7,74%. Uitgangspunt is verhouding 85% - 15%.</t>
  </si>
  <si>
    <t>Premie 2025; op basis van cijfers rijksbegroting VWS</t>
  </si>
  <si>
    <t>Pensioenfonds zorg &amp; welzijn, OP-premie per 1-1-2025</t>
  </si>
  <si>
    <t>Pensioenfonds zorg &amp; welzijn, franchise per 1-1-2025</t>
  </si>
  <si>
    <t>Pensioenfonds zorg &amp; welzijn, AP-premie per 1-1-2025</t>
  </si>
  <si>
    <t>OP premie (werkgeversdeel + werknemersdeel) 2025</t>
  </si>
  <si>
    <t>AOW franchise 2025</t>
  </si>
  <si>
    <t>AP premie (werkgeversdeel + werknemersdeel) 2025</t>
  </si>
  <si>
    <t>AP franchise 2025</t>
  </si>
  <si>
    <t>De eindejaarsuitkering is afhankelijk van de betreffende cao. De percentages per 01-01-2025 bedragen:                                                                                                                                                                                                               VVT: 8,33%                                                                                                                                                                                                                                                                                        GGZ: 8,33%                                                                                                                                                                                                                                                                                                                                                                                                                                                                                                                                                                GHZ: 8,33% 
Sociaal Werk: 8,96% (of minder indien seniorenverlof wordt opgenomen) - hierin is verdisconteerd dat eindejaarsuitkering bij de CAO Sociaal Werk ook over vakantiegeld wordt uitbetaald.
Jeugdzorg: 8,33%</t>
  </si>
  <si>
    <t>Op basis van NZA NHC en NIC component WLZ H900 VG licht / H001 GGZ wonen 1-4  PP / H531 dagbesteding basis - PP 2025</t>
  </si>
  <si>
    <t>Vernet voortschrijdend jaargemiddelde Q4 2023 - Q3 2024 VVT, GHZ, GGZ en SW</t>
  </si>
  <si>
    <t>snachts</t>
  </si>
  <si>
    <t>overdag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</si>
</sst>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quot;€&quot;\ * #,##0.00_);_(&quot;€&quot;\ * \(#,##0.00\);_(&quot;€&quot;\ * &quot;-&quot;??_);_(@_)"/>
    <numFmt numFmtId="165" formatCode="&quot;€&quot;\ #,##0.00"/>
    <numFmt numFmtId="166" formatCode="0.0"/>
    <numFmt numFmtId="167" formatCode="0.0%"/>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9"/>
      <color theme="1"/>
      <name val="Verdana"/>
      <family val="2"/>
    </font>
    <font>
      <i/>
      <sz val="9"/>
      <color theme="1"/>
      <name val="Verdana"/>
      <family val="2"/>
    </font>
    <font>
      <sz val="11"/>
      <color theme="1"/>
      <name val="Calibri"/>
      <family val="2"/>
      <scheme val="minor"/>
    </font>
    <font>
      <b/>
      <sz val="11"/>
      <color theme="1"/>
      <name val="Calibri"/>
      <family val="2"/>
      <scheme val="minor"/>
    </font>
    <font>
      <b/>
      <i/>
      <sz val="11"/>
      <color theme="1"/>
      <name val="Calibri"/>
      <family val="2"/>
      <scheme val="minor"/>
    </font>
    <font>
      <sz val="14"/>
      <color theme="1"/>
      <name val="Calibri"/>
      <family val="2"/>
      <scheme val="minor"/>
    </font>
    <font>
      <b/>
      <sz val="14"/>
      <color theme="1"/>
      <name val="Calibri"/>
      <family val="2"/>
      <scheme val="minor"/>
    </font>
    <font>
      <u/>
      <sz val="12"/>
      <color theme="10"/>
      <name val="Calibri"/>
      <family val="2"/>
      <scheme val="minor"/>
    </font>
    <font>
      <sz val="10"/>
      <color rgb="FF000000"/>
      <name val="Times New Roman"/>
      <family val="1"/>
    </font>
    <font>
      <sz val="11"/>
      <color rgb="FF000000"/>
      <name val="Calibri"/>
      <family val="2"/>
    </font>
    <font>
      <sz val="10"/>
      <color theme="1"/>
      <name val="Verdana"/>
      <family val="2"/>
    </font>
    <font>
      <sz val="8"/>
      <name val="Calibri"/>
      <family val="2"/>
      <scheme val="minor"/>
    </font>
    <font>
      <b/>
      <i/>
      <sz val="12"/>
      <color theme="1"/>
      <name val="Calibri"/>
      <family val="2"/>
      <scheme val="minor"/>
    </font>
    <font>
      <sz val="10"/>
      <color theme="1"/>
      <name val="Arial"/>
      <family val="2"/>
    </font>
    <font>
      <sz val="12"/>
      <color rgb="FFFF0000"/>
      <name val="Calibri"/>
      <family val="2"/>
      <scheme val="minor"/>
    </font>
    <font>
      <i/>
      <sz val="12"/>
      <color theme="1"/>
      <name val="Calibri"/>
      <family val="2"/>
      <scheme val="minor"/>
    </font>
    <font>
      <sz val="12"/>
      <name val="Calibri"/>
      <family val="2"/>
      <scheme val="minor"/>
    </font>
    <font>
      <sz val="8"/>
      <color theme="1"/>
      <name val="Segoe UI"/>
      <family val="2"/>
    </font>
    <font>
      <sz val="8"/>
      <color rgb="FFFF0000"/>
      <name val="Segoe UI"/>
      <family val="2"/>
    </font>
    <font>
      <b/>
      <sz val="12"/>
      <name val="Calibri"/>
      <family val="2"/>
      <scheme val="minor"/>
    </font>
    <font>
      <sz val="8"/>
      <color theme="5"/>
      <name val="Segoe UI"/>
      <family val="2"/>
    </font>
    <font>
      <b/>
      <sz val="14"/>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sz val="10"/>
      <name val="Calibri"/>
      <family val="2"/>
      <scheme val="minor"/>
    </font>
    <font>
      <b/>
      <sz val="10"/>
      <name val="Calibri"/>
      <family val="2"/>
      <scheme val="minor"/>
    </font>
    <font>
      <b/>
      <sz val="12"/>
      <color theme="0"/>
      <name val="Calibri"/>
      <family val="2"/>
      <scheme val="minor"/>
    </font>
    <font>
      <sz val="12"/>
      <color theme="0"/>
      <name val="Calibri"/>
      <family val="2"/>
      <scheme val="minor"/>
    </font>
    <font>
      <b/>
      <sz val="16"/>
      <name val="Calibri"/>
      <family val="2"/>
      <scheme val="minor"/>
    </font>
    <font>
      <b/>
      <sz val="16"/>
      <color theme="1"/>
      <name val="Calibri"/>
      <family val="2"/>
      <scheme val="minor"/>
    </font>
    <font>
      <b/>
      <sz val="12"/>
      <color rgb="FFFF0000"/>
      <name val="Calibri"/>
      <family val="2"/>
      <scheme val="minor"/>
    </font>
  </fonts>
  <fills count="13">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249977111117893"/>
        <bgColor indexed="64"/>
      </patternFill>
    </fill>
  </fills>
  <borders count="105">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auto="1"/>
      </bottom>
      <diagonal/>
    </border>
    <border>
      <left style="thin">
        <color theme="2" tint="-9.9948118533890809E-2"/>
      </left>
      <right/>
      <top/>
      <bottom style="hair">
        <color auto="1"/>
      </bottom>
      <diagonal/>
    </border>
    <border>
      <left/>
      <right/>
      <top style="hair">
        <color auto="1"/>
      </top>
      <bottom style="hair">
        <color theme="1"/>
      </bottom>
      <diagonal/>
    </border>
    <border>
      <left/>
      <right/>
      <top style="hair">
        <color theme="1"/>
      </top>
      <bottom style="hair">
        <color theme="1"/>
      </bottom>
      <diagonal/>
    </border>
    <border>
      <left/>
      <right/>
      <top style="hair">
        <color theme="1"/>
      </top>
      <bottom/>
      <diagonal/>
    </border>
    <border>
      <left/>
      <right style="thin">
        <color theme="2" tint="-9.9948118533890809E-2"/>
      </right>
      <top style="hair">
        <color auto="1"/>
      </top>
      <bottom style="hair">
        <color theme="1"/>
      </bottom>
      <diagonal/>
    </border>
    <border>
      <left/>
      <right style="thin">
        <color theme="2" tint="-9.9948118533890809E-2"/>
      </right>
      <top style="hair">
        <color theme="1"/>
      </top>
      <bottom/>
      <diagonal/>
    </border>
    <border>
      <left style="thin">
        <color theme="2" tint="-9.9948118533890809E-2"/>
      </left>
      <right/>
      <top style="hair">
        <color auto="1"/>
      </top>
      <bottom/>
      <diagonal/>
    </border>
    <border>
      <left/>
      <right style="hair">
        <color theme="2" tint="-9.9948118533890809E-2"/>
      </right>
      <top style="hair">
        <color auto="1"/>
      </top>
      <bottom/>
      <diagonal/>
    </border>
    <border>
      <left style="hair">
        <color theme="2" tint="-9.9948118533890809E-2"/>
      </left>
      <right/>
      <top style="hair">
        <color auto="1"/>
      </top>
      <bottom/>
      <diagonal/>
    </border>
    <border>
      <left/>
      <right style="medium">
        <color auto="1"/>
      </right>
      <top/>
      <bottom/>
      <diagonal/>
    </border>
    <border>
      <left style="thin">
        <color theme="2" tint="-9.9948118533890809E-2"/>
      </left>
      <right style="medium">
        <color auto="1"/>
      </right>
      <top/>
      <bottom style="hair">
        <color auto="1"/>
      </bottom>
      <diagonal/>
    </border>
    <border>
      <left style="thin">
        <color theme="2" tint="-9.9948118533890809E-2"/>
      </left>
      <right style="medium">
        <color auto="1"/>
      </right>
      <top style="hair">
        <color auto="1"/>
      </top>
      <bottom style="hair">
        <color auto="1"/>
      </bottom>
      <diagonal/>
    </border>
    <border>
      <left style="thin">
        <color theme="2" tint="-9.9948118533890809E-2"/>
      </left>
      <right style="medium">
        <color auto="1"/>
      </right>
      <top style="hair">
        <color auto="1"/>
      </top>
      <bottom style="hair">
        <color theme="1"/>
      </bottom>
      <diagonal/>
    </border>
    <border>
      <left style="thin">
        <color theme="2" tint="-9.9948118533890809E-2"/>
      </left>
      <right style="medium">
        <color auto="1"/>
      </right>
      <top style="hair">
        <color theme="1"/>
      </top>
      <bottom style="hair">
        <color theme="1"/>
      </bottom>
      <diagonal/>
    </border>
    <border>
      <left style="thin">
        <color theme="2" tint="-9.9948118533890809E-2"/>
      </left>
      <right style="medium">
        <color auto="1"/>
      </right>
      <top style="hair">
        <color theme="1"/>
      </top>
      <bottom/>
      <diagonal/>
    </border>
    <border>
      <left style="thin">
        <color theme="2" tint="-9.9917600024414813E-2"/>
      </left>
      <right style="medium">
        <color auto="1"/>
      </right>
      <top/>
      <bottom style="hair">
        <color auto="1"/>
      </bottom>
      <diagonal/>
    </border>
    <border>
      <left style="thin">
        <color theme="2" tint="-9.9917600024414813E-2"/>
      </left>
      <right style="medium">
        <color auto="1"/>
      </right>
      <top style="hair">
        <color auto="1"/>
      </top>
      <bottom style="hair">
        <color theme="1"/>
      </bottom>
      <diagonal/>
    </border>
    <border>
      <left style="thin">
        <color theme="2" tint="-9.9917600024414813E-2"/>
      </left>
      <right style="medium">
        <color auto="1"/>
      </right>
      <top style="hair">
        <color theme="1"/>
      </top>
      <bottom/>
      <diagonal/>
    </border>
    <border>
      <left style="thin">
        <color theme="2" tint="-9.9917600024414813E-2"/>
      </left>
      <right style="medium">
        <color auto="1"/>
      </right>
      <top style="hair">
        <color auto="1"/>
      </top>
      <bottom/>
      <diagonal/>
    </border>
    <border>
      <left style="medium">
        <color auto="1"/>
      </left>
      <right/>
      <top style="hair">
        <color auto="1"/>
      </top>
      <bottom/>
      <diagonal/>
    </border>
    <border>
      <left style="medium">
        <color auto="1"/>
      </left>
      <right/>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style="thin">
        <color theme="2" tint="-9.9948118533890809E-2"/>
      </right>
      <top style="hair">
        <color auto="1"/>
      </top>
      <bottom style="hair">
        <color theme="1"/>
      </bottom>
      <diagonal/>
    </border>
    <border>
      <left style="medium">
        <color auto="1"/>
      </left>
      <right style="thin">
        <color theme="2" tint="-9.9948118533890809E-2"/>
      </right>
      <top style="hair">
        <color theme="1"/>
      </top>
      <bottom/>
      <diagonal/>
    </border>
    <border>
      <left style="medium">
        <color auto="1"/>
      </left>
      <right style="thin">
        <color theme="2" tint="-9.9948118533890809E-2"/>
      </right>
      <top/>
      <bottom style="hair">
        <color auto="1"/>
      </bottom>
      <diagonal/>
    </border>
    <border>
      <left style="medium">
        <color auto="1"/>
      </left>
      <right style="hair">
        <color theme="2" tint="-9.9948118533890809E-2"/>
      </right>
      <top style="hair">
        <color auto="1"/>
      </top>
      <bottom/>
      <diagonal/>
    </border>
    <border>
      <left style="hair">
        <color theme="2" tint="-9.9948118533890809E-2"/>
      </left>
      <right style="medium">
        <color auto="1"/>
      </right>
      <top style="hair">
        <color auto="1"/>
      </top>
      <bottom/>
      <diagonal/>
    </border>
    <border>
      <left style="medium">
        <color auto="1"/>
      </left>
      <right style="thin">
        <color theme="2" tint="-9.9948118533890809E-2"/>
      </right>
      <top style="hair">
        <color auto="1"/>
      </top>
      <bottom/>
      <diagonal/>
    </border>
    <border>
      <left style="thin">
        <color theme="2" tint="-9.9948118533890809E-2"/>
      </left>
      <right style="medium">
        <color auto="1"/>
      </right>
      <top style="hair">
        <color auto="1"/>
      </top>
      <bottom/>
      <diagonal/>
    </border>
    <border>
      <left style="thin">
        <color theme="2" tint="-9.9917600024414813E-2"/>
      </left>
      <right/>
      <top style="hair">
        <color auto="1"/>
      </top>
      <bottom/>
      <diagonal/>
    </border>
    <border>
      <left style="thin">
        <color theme="2" tint="-9.9917600024414813E-2"/>
      </left>
      <right/>
      <top/>
      <bottom/>
      <diagonal/>
    </border>
    <border>
      <left style="medium">
        <color auto="1"/>
      </left>
      <right style="thin">
        <color theme="2" tint="-9.9948118533890809E-2"/>
      </right>
      <top/>
      <bottom/>
      <diagonal/>
    </border>
    <border>
      <left style="thin">
        <color theme="2" tint="-9.9948118533890809E-2"/>
      </left>
      <right style="medium">
        <color auto="1"/>
      </right>
      <top/>
      <bottom/>
      <diagonal/>
    </border>
    <border>
      <left style="thin">
        <color theme="2" tint="-9.9948118533890809E-2"/>
      </left>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top/>
      <bottom style="hair">
        <color theme="1"/>
      </bottom>
      <diagonal/>
    </border>
    <border>
      <left style="thin">
        <color theme="2" tint="-9.9948118533890809E-2"/>
      </left>
      <right style="medium">
        <color auto="1"/>
      </right>
      <top/>
      <bottom style="hair">
        <color theme="1"/>
      </bottom>
      <diagonal/>
    </border>
    <border>
      <left style="medium">
        <color auto="1"/>
      </left>
      <right/>
      <top style="hair">
        <color theme="1"/>
      </top>
      <bottom style="hair">
        <color theme="1"/>
      </bottom>
      <diagonal/>
    </border>
    <border>
      <left style="thin">
        <color auto="1"/>
      </left>
      <right style="thin">
        <color auto="1"/>
      </right>
      <top style="thin">
        <color auto="1"/>
      </top>
      <bottom style="thin">
        <color auto="1"/>
      </bottom>
      <diagonal/>
    </border>
    <border>
      <left style="thin">
        <color theme="6"/>
      </left>
      <right/>
      <top/>
      <bottom style="hair">
        <color auto="1"/>
      </bottom>
      <diagonal/>
    </border>
    <border>
      <left style="thin">
        <color theme="6"/>
      </left>
      <right/>
      <top style="hair">
        <color auto="1"/>
      </top>
      <bottom style="hair">
        <color auto="1"/>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thin">
        <color theme="0" tint="-0.34998626667073579"/>
      </left>
      <right style="thin">
        <color theme="0" tint="-0.34998626667073579"/>
      </right>
      <top style="double">
        <color theme="0" tint="-0.34998626667073579"/>
      </top>
      <bottom style="double">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
      <left/>
      <right/>
      <top/>
      <bottom style="thin">
        <color theme="0" tint="-0.34998626667073579"/>
      </bottom>
      <diagonal/>
    </border>
    <border>
      <left style="thin">
        <color indexed="64"/>
      </left>
      <right/>
      <top style="thin">
        <color indexed="64"/>
      </top>
      <bottom style="thin">
        <color indexed="64"/>
      </bottom>
      <diagonal/>
    </border>
    <border>
      <left style="thin">
        <color theme="2" tint="-9.9917600024414813E-2"/>
      </left>
      <right style="medium">
        <color auto="1"/>
      </right>
      <top/>
      <bottom style="hair">
        <color theme="1"/>
      </bottom>
      <diagonal/>
    </border>
    <border>
      <left/>
      <right style="medium">
        <color theme="1"/>
      </right>
      <top/>
      <bottom/>
      <diagonal/>
    </border>
    <border>
      <left/>
      <right style="medium">
        <color indexed="64"/>
      </right>
      <top style="medium">
        <color indexed="64"/>
      </top>
      <bottom style="medium">
        <color indexed="64"/>
      </bottom>
      <diagonal/>
    </border>
    <border>
      <left/>
      <right/>
      <top style="dashed">
        <color theme="0" tint="-0.34998626667073579"/>
      </top>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right/>
      <top style="thin">
        <color theme="0" tint="-0.34998626667073579"/>
      </top>
      <bottom style="dashed">
        <color theme="0" tint="-0.34998626667073579"/>
      </bottom>
      <diagonal/>
    </border>
    <border>
      <left/>
      <right style="dashed">
        <color theme="0" tint="-0.34998626667073579"/>
      </right>
      <top style="thin">
        <color theme="0" tint="-0.34998626667073579"/>
      </top>
      <bottom style="dashed">
        <color theme="0" tint="-0.34998626667073579"/>
      </bottom>
      <diagonal/>
    </border>
    <border>
      <left/>
      <right style="thin">
        <color theme="0" tint="-0.34998626667073579"/>
      </right>
      <top style="dashed">
        <color theme="0" tint="-0.34998626667073579"/>
      </top>
      <bottom/>
      <diagonal/>
    </border>
    <border>
      <left style="thin">
        <color theme="0" tint="-0.34998626667073579"/>
      </left>
      <right/>
      <top style="dashed">
        <color theme="0" tint="-0.34998626667073579"/>
      </top>
      <bottom/>
      <diagonal/>
    </border>
    <border>
      <left style="thin">
        <color theme="2" tint="-9.9917600024414813E-2"/>
      </left>
      <right style="medium">
        <color auto="1"/>
      </right>
      <top style="thin">
        <color theme="2" tint="-9.9887081514938816E-2"/>
      </top>
      <bottom style="hair">
        <color auto="1"/>
      </bottom>
      <diagonal/>
    </border>
    <border>
      <left style="thin">
        <color theme="0" tint="-0.34998626667073579"/>
      </left>
      <right/>
      <top style="double">
        <color theme="0" tint="-0.34998626667073579"/>
      </top>
      <bottom/>
      <diagonal/>
    </border>
    <border>
      <left style="thin">
        <color theme="0" tint="-0.34998626667073579"/>
      </left>
      <right/>
      <top style="double">
        <color theme="0" tint="-0.34998626667073579"/>
      </top>
      <bottom style="double">
        <color theme="0" tint="-0.34998626667073579"/>
      </bottom>
      <diagonal/>
    </border>
    <border>
      <left/>
      <right/>
      <top style="double">
        <color theme="0" tint="-0.34998626667073579"/>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thin">
        <color theme="2" tint="-9.9948118533890809E-2"/>
      </right>
      <top/>
      <bottom style="hair">
        <color theme="1"/>
      </bottom>
      <diagonal/>
    </border>
    <border>
      <left/>
      <right style="thin">
        <color theme="2" tint="-9.9948118533890809E-2"/>
      </right>
      <top/>
      <bottom style="hair">
        <color theme="1"/>
      </bottom>
      <diagonal/>
    </border>
    <border>
      <left/>
      <right style="thin">
        <color theme="0"/>
      </right>
      <top style="thin">
        <color theme="0"/>
      </top>
      <bottom style="thin">
        <color theme="0"/>
      </bottom>
      <diagonal/>
    </border>
    <border>
      <left/>
      <right style="thin">
        <color theme="0" tint="-0.34998626667073579"/>
      </right>
      <top style="double">
        <color theme="0" tint="-0.34998626667073579"/>
      </top>
      <bottom style="double">
        <color theme="0" tint="-0.34998626667073579"/>
      </bottom>
      <diagonal/>
    </border>
    <border>
      <left style="thin">
        <color theme="0" tint="-0.34998626667073579"/>
      </left>
      <right style="thin">
        <color theme="0"/>
      </right>
      <top style="thin">
        <color theme="0"/>
      </top>
      <bottom style="thin">
        <color theme="0"/>
      </bottom>
      <diagonal/>
    </border>
  </borders>
  <cellStyleXfs count="37">
    <xf numFmtId="0" fontId="0" fillId="0" borderId="0"/>
    <xf numFmtId="164" fontId="8" fillId="0" borderId="0" applyFont="0" applyFill="0" applyBorder="0" applyAlignment="0" applyProtection="0"/>
    <xf numFmtId="9" fontId="8" fillId="0" borderId="0" applyFont="0" applyFill="0" applyBorder="0" applyAlignment="0" applyProtection="0"/>
    <xf numFmtId="0" fontId="10" fillId="0" borderId="0"/>
    <xf numFmtId="0" fontId="17" fillId="0" borderId="0" applyNumberFormat="0" applyFill="0" applyBorder="0" applyAlignment="0" applyProtection="0"/>
    <xf numFmtId="0" fontId="18" fillId="0" borderId="0"/>
    <xf numFmtId="44" fontId="18" fillId="0" borderId="0" applyFont="0" applyFill="0" applyBorder="0" applyAlignment="0" applyProtection="0"/>
    <xf numFmtId="9" fontId="12" fillId="0" borderId="0" applyFont="0" applyFill="0" applyBorder="0" applyAlignment="0" applyProtection="0"/>
    <xf numFmtId="0" fontId="12" fillId="0" borderId="0"/>
    <xf numFmtId="0" fontId="19" fillId="0" borderId="0"/>
    <xf numFmtId="44" fontId="1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8" fillId="0" borderId="0" applyFont="0" applyFill="0" applyBorder="0" applyAlignment="0" applyProtection="0"/>
    <xf numFmtId="9" fontId="1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0" borderId="0"/>
    <xf numFmtId="44" fontId="10" fillId="0" borderId="0" applyFont="0" applyFill="0" applyBorder="0" applyAlignment="0" applyProtection="0"/>
    <xf numFmtId="44" fontId="10" fillId="0" borderId="0" applyFont="0" applyFill="0" applyBorder="0" applyAlignment="0" applyProtection="0"/>
    <xf numFmtId="44" fontId="12" fillId="0" borderId="0" applyFont="0" applyFill="0" applyBorder="0" applyAlignment="0" applyProtection="0"/>
    <xf numFmtId="44" fontId="20" fillId="0" borderId="0" applyFont="0" applyFill="0" applyBorder="0" applyAlignment="0" applyProtection="0"/>
    <xf numFmtId="0" fontId="23" fillId="0" borderId="0"/>
    <xf numFmtId="44" fontId="23" fillId="0" borderId="0" applyFont="0" applyFill="0" applyBorder="0" applyAlignment="0" applyProtection="0"/>
    <xf numFmtId="43" fontId="23" fillId="0" borderId="0" applyFont="0" applyFill="0" applyBorder="0" applyAlignment="0" applyProtection="0"/>
    <xf numFmtId="0" fontId="6" fillId="0" borderId="0"/>
    <xf numFmtId="0" fontId="3" fillId="0" borderId="0"/>
    <xf numFmtId="0" fontId="3" fillId="0" borderId="0"/>
    <xf numFmtId="0" fontId="2" fillId="0" borderId="0"/>
  </cellStyleXfs>
  <cellXfs count="536">
    <xf numFmtId="0" fontId="0" fillId="0" borderId="0" xfId="0"/>
    <xf numFmtId="0" fontId="0" fillId="3" borderId="0" xfId="0" applyFill="1"/>
    <xf numFmtId="0" fontId="9" fillId="3" borderId="0" xfId="0" applyFont="1" applyFill="1"/>
    <xf numFmtId="0" fontId="0" fillId="3" borderId="0" xfId="0" applyFill="1" applyAlignment="1">
      <alignment horizontal="center"/>
    </xf>
    <xf numFmtId="0" fontId="9" fillId="3" borderId="0" xfId="0" applyFont="1" applyFill="1" applyAlignment="1">
      <alignment horizontal="center"/>
    </xf>
    <xf numFmtId="0" fontId="0" fillId="4" borderId="0" xfId="0" applyFill="1"/>
    <xf numFmtId="0" fontId="0" fillId="4" borderId="0" xfId="0" applyFill="1" applyAlignment="1">
      <alignment horizontal="center"/>
    </xf>
    <xf numFmtId="10" fontId="0" fillId="4" borderId="0" xfId="2" applyNumberFormat="1" applyFont="1" applyFill="1"/>
    <xf numFmtId="164" fontId="0" fillId="4" borderId="0" xfId="0" applyNumberFormat="1" applyFill="1" applyAlignment="1">
      <alignment horizontal="center"/>
    </xf>
    <xf numFmtId="0" fontId="9" fillId="4" borderId="0" xfId="0" applyFont="1" applyFill="1"/>
    <xf numFmtId="164" fontId="9" fillId="4" borderId="0" xfId="0" applyNumberFormat="1" applyFont="1" applyFill="1" applyAlignment="1">
      <alignment horizontal="center"/>
    </xf>
    <xf numFmtId="164" fontId="9" fillId="4" borderId="0" xfId="1" applyFont="1" applyFill="1" applyAlignment="1">
      <alignment horizontal="center"/>
    </xf>
    <xf numFmtId="10" fontId="0" fillId="4" borderId="0" xfId="0" applyNumberFormat="1" applyFill="1"/>
    <xf numFmtId="0" fontId="9" fillId="4" borderId="0" xfId="0" applyFont="1" applyFill="1" applyAlignment="1">
      <alignment horizontal="center"/>
    </xf>
    <xf numFmtId="10" fontId="9" fillId="4" borderId="0" xfId="0" applyNumberFormat="1" applyFont="1" applyFill="1"/>
    <xf numFmtId="164" fontId="9" fillId="4" borderId="0" xfId="1" applyFont="1" applyFill="1"/>
    <xf numFmtId="0" fontId="0" fillId="5" borderId="0" xfId="0" applyFill="1" applyAlignment="1">
      <alignment horizontal="center"/>
    </xf>
    <xf numFmtId="0" fontId="0" fillId="5" borderId="0" xfId="0" applyFill="1"/>
    <xf numFmtId="0" fontId="15" fillId="4" borderId="0" xfId="0" applyFont="1" applyFill="1"/>
    <xf numFmtId="0" fontId="0" fillId="4" borderId="1" xfId="0" applyFill="1" applyBorder="1"/>
    <xf numFmtId="0" fontId="0" fillId="4" borderId="1" xfId="0" applyFill="1" applyBorder="1" applyAlignment="1">
      <alignment horizontal="center"/>
    </xf>
    <xf numFmtId="164" fontId="0" fillId="4" borderId="1" xfId="1" applyFont="1" applyFill="1" applyBorder="1" applyAlignment="1">
      <alignment horizontal="center"/>
    </xf>
    <xf numFmtId="0" fontId="0" fillId="4" borderId="2" xfId="0" applyFill="1" applyBorder="1"/>
    <xf numFmtId="0" fontId="0" fillId="4" borderId="2" xfId="0" applyFill="1" applyBorder="1" applyAlignment="1">
      <alignment horizontal="center"/>
    </xf>
    <xf numFmtId="10" fontId="0" fillId="4" borderId="2" xfId="0" applyNumberFormat="1" applyFill="1" applyBorder="1"/>
    <xf numFmtId="164" fontId="0" fillId="4" borderId="2" xfId="1" applyFont="1" applyFill="1" applyBorder="1" applyAlignment="1">
      <alignment horizontal="center"/>
    </xf>
    <xf numFmtId="10" fontId="0" fillId="4" borderId="2" xfId="2" applyNumberFormat="1" applyFont="1" applyFill="1" applyBorder="1"/>
    <xf numFmtId="0" fontId="9" fillId="4" borderId="2" xfId="0" applyFont="1" applyFill="1" applyBorder="1" applyAlignment="1">
      <alignment horizontal="center"/>
    </xf>
    <xf numFmtId="10" fontId="0" fillId="4" borderId="1" xfId="0" applyNumberFormat="1" applyFill="1" applyBorder="1"/>
    <xf numFmtId="10" fontId="0" fillId="4" borderId="1" xfId="2" applyNumberFormat="1" applyFont="1" applyFill="1" applyBorder="1"/>
    <xf numFmtId="0" fontId="9" fillId="4" borderId="3" xfId="0" applyFont="1" applyFill="1" applyBorder="1"/>
    <xf numFmtId="0" fontId="9" fillId="4" borderId="3" xfId="0" applyFont="1" applyFill="1" applyBorder="1" applyAlignment="1">
      <alignment horizontal="center"/>
    </xf>
    <xf numFmtId="10" fontId="9" fillId="4" borderId="3" xfId="2" applyNumberFormat="1" applyFont="1" applyFill="1" applyBorder="1"/>
    <xf numFmtId="164" fontId="9" fillId="4" borderId="3" xfId="0" applyNumberFormat="1" applyFont="1" applyFill="1" applyBorder="1" applyAlignment="1">
      <alignment horizontal="center"/>
    </xf>
    <xf numFmtId="0" fontId="0" fillId="4" borderId="3" xfId="0" applyFill="1" applyBorder="1"/>
    <xf numFmtId="10" fontId="0" fillId="4" borderId="3" xfId="0" applyNumberFormat="1" applyFill="1" applyBorder="1"/>
    <xf numFmtId="10" fontId="9" fillId="4" borderId="3" xfId="0" applyNumberFormat="1" applyFont="1" applyFill="1" applyBorder="1"/>
    <xf numFmtId="0" fontId="16" fillId="2" borderId="0" xfId="0" applyFont="1" applyFill="1"/>
    <xf numFmtId="0" fontId="16" fillId="2" borderId="0" xfId="0" applyFont="1" applyFill="1" applyAlignment="1">
      <alignment horizontal="center"/>
    </xf>
    <xf numFmtId="0" fontId="15" fillId="2" borderId="0" xfId="0" applyFont="1" applyFill="1"/>
    <xf numFmtId="0" fontId="0" fillId="2" borderId="0" xfId="0" applyFill="1"/>
    <xf numFmtId="0" fontId="15" fillId="2" borderId="0" xfId="0" applyFont="1" applyFill="1" applyAlignment="1">
      <alignment horizontal="center"/>
    </xf>
    <xf numFmtId="164" fontId="0" fillId="4" borderId="1" xfId="0" applyNumberFormat="1" applyFill="1" applyBorder="1" applyAlignment="1">
      <alignment horizontal="center"/>
    </xf>
    <xf numFmtId="164" fontId="0" fillId="4" borderId="2" xfId="0" applyNumberFormat="1" applyFill="1" applyBorder="1" applyAlignment="1">
      <alignment horizontal="center"/>
    </xf>
    <xf numFmtId="0" fontId="0" fillId="4" borderId="1" xfId="0" applyFill="1" applyBorder="1" applyAlignment="1">
      <alignment wrapText="1"/>
    </xf>
    <xf numFmtId="0" fontId="13" fillId="4" borderId="0" xfId="0" applyFont="1" applyFill="1"/>
    <xf numFmtId="0" fontId="14" fillId="4" borderId="0" xfId="0" applyFont="1" applyFill="1"/>
    <xf numFmtId="0" fontId="13" fillId="2" borderId="0" xfId="0" applyFont="1" applyFill="1"/>
    <xf numFmtId="10" fontId="9" fillId="2" borderId="0" xfId="0" applyNumberFormat="1" applyFont="1" applyFill="1"/>
    <xf numFmtId="164" fontId="0" fillId="4" borderId="2" xfId="1" applyFont="1" applyFill="1" applyBorder="1"/>
    <xf numFmtId="164" fontId="0" fillId="4" borderId="2" xfId="0" applyNumberFormat="1" applyFill="1" applyBorder="1"/>
    <xf numFmtId="164" fontId="0" fillId="4" borderId="1" xfId="0" applyNumberFormat="1" applyFill="1" applyBorder="1"/>
    <xf numFmtId="0" fontId="13" fillId="4" borderId="2" xfId="0" applyFont="1" applyFill="1" applyBorder="1"/>
    <xf numFmtId="0" fontId="13" fillId="3" borderId="0" xfId="0" applyFont="1" applyFill="1"/>
    <xf numFmtId="10" fontId="9" fillId="3" borderId="0" xfId="2" applyNumberFormat="1" applyFont="1" applyFill="1"/>
    <xf numFmtId="0" fontId="0" fillId="5" borderId="2" xfId="0" applyFill="1" applyBorder="1" applyAlignment="1" applyProtection="1">
      <alignment horizontal="center"/>
      <protection locked="0"/>
    </xf>
    <xf numFmtId="9" fontId="0" fillId="5" borderId="2" xfId="0" applyNumberFormat="1" applyFill="1" applyBorder="1" applyAlignment="1" applyProtection="1">
      <alignment horizontal="center"/>
      <protection locked="0"/>
    </xf>
    <xf numFmtId="14" fontId="0" fillId="5" borderId="1" xfId="0" applyNumberFormat="1" applyFill="1" applyBorder="1" applyProtection="1">
      <protection locked="0"/>
    </xf>
    <xf numFmtId="0" fontId="0" fillId="5" borderId="2" xfId="0" applyFill="1" applyBorder="1" applyProtection="1">
      <protection locked="0"/>
    </xf>
    <xf numFmtId="10" fontId="0" fillId="5" borderId="2" xfId="2" applyNumberFormat="1" applyFont="1" applyFill="1" applyBorder="1" applyProtection="1">
      <protection locked="0"/>
    </xf>
    <xf numFmtId="10" fontId="0" fillId="5" borderId="2" xfId="0" applyNumberFormat="1" applyFill="1" applyBorder="1" applyProtection="1">
      <protection locked="0"/>
    </xf>
    <xf numFmtId="10" fontId="0" fillId="5" borderId="1" xfId="2" applyNumberFormat="1" applyFont="1" applyFill="1" applyBorder="1" applyProtection="1">
      <protection locked="0"/>
    </xf>
    <xf numFmtId="0" fontId="0" fillId="5" borderId="1" xfId="0" applyFill="1" applyBorder="1" applyProtection="1">
      <protection locked="0"/>
    </xf>
    <xf numFmtId="164" fontId="0" fillId="5" borderId="1" xfId="1" applyFont="1" applyFill="1" applyBorder="1" applyAlignment="1" applyProtection="1">
      <alignment horizontal="center"/>
      <protection locked="0"/>
    </xf>
    <xf numFmtId="0" fontId="0" fillId="5" borderId="1" xfId="0" applyFill="1" applyBorder="1" applyAlignment="1" applyProtection="1">
      <alignment wrapText="1"/>
      <protection locked="0"/>
    </xf>
    <xf numFmtId="164" fontId="0" fillId="5" borderId="2" xfId="1" applyFont="1" applyFill="1" applyBorder="1" applyAlignment="1" applyProtection="1">
      <alignment horizontal="center"/>
      <protection locked="0"/>
    </xf>
    <xf numFmtId="0" fontId="17" fillId="5" borderId="1" xfId="4" applyFill="1" applyBorder="1" applyProtection="1">
      <protection locked="0"/>
    </xf>
    <xf numFmtId="0" fontId="22" fillId="5" borderId="0" xfId="0" applyFont="1" applyFill="1"/>
    <xf numFmtId="0" fontId="0" fillId="3" borderId="2" xfId="0" applyFill="1" applyBorder="1" applyAlignment="1" applyProtection="1">
      <alignment horizontal="center"/>
      <protection locked="0"/>
    </xf>
    <xf numFmtId="9" fontId="0" fillId="3" borderId="2" xfId="0" applyNumberFormat="1" applyFill="1" applyBorder="1" applyAlignment="1" applyProtection="1">
      <alignment horizontal="center"/>
      <protection locked="0"/>
    </xf>
    <xf numFmtId="164" fontId="0" fillId="3" borderId="1" xfId="1" applyFont="1" applyFill="1" applyBorder="1" applyAlignment="1">
      <alignment horizontal="center"/>
    </xf>
    <xf numFmtId="164" fontId="0" fillId="3" borderId="2" xfId="1" applyFont="1" applyFill="1" applyBorder="1" applyAlignment="1">
      <alignment horizontal="center"/>
    </xf>
    <xf numFmtId="164" fontId="9" fillId="3" borderId="3" xfId="0" applyNumberFormat="1" applyFont="1" applyFill="1" applyBorder="1" applyAlignment="1">
      <alignment horizontal="center"/>
    </xf>
    <xf numFmtId="164" fontId="9" fillId="3" borderId="0" xfId="0" applyNumberFormat="1" applyFont="1" applyFill="1" applyAlignment="1">
      <alignment horizontal="center"/>
    </xf>
    <xf numFmtId="164" fontId="9" fillId="3" borderId="0" xfId="1" applyFont="1" applyFill="1"/>
    <xf numFmtId="164" fontId="0" fillId="3" borderId="1" xfId="0" applyNumberFormat="1" applyFill="1" applyBorder="1" applyAlignment="1">
      <alignment horizontal="center"/>
    </xf>
    <xf numFmtId="164" fontId="0" fillId="3" borderId="2" xfId="0" applyNumberFormat="1" applyFill="1" applyBorder="1" applyAlignment="1">
      <alignment horizontal="center"/>
    </xf>
    <xf numFmtId="164" fontId="0" fillId="3" borderId="0" xfId="0" applyNumberFormat="1" applyFill="1" applyAlignment="1">
      <alignment horizontal="center"/>
    </xf>
    <xf numFmtId="164" fontId="0" fillId="3" borderId="1" xfId="1" applyFont="1" applyFill="1" applyBorder="1" applyAlignment="1" applyProtection="1">
      <alignment horizontal="center"/>
      <protection locked="0"/>
    </xf>
    <xf numFmtId="164" fontId="0" fillId="3" borderId="2" xfId="1" applyFont="1" applyFill="1" applyBorder="1" applyAlignment="1" applyProtection="1">
      <alignment horizontal="center"/>
      <protection locked="0"/>
    </xf>
    <xf numFmtId="164" fontId="9" fillId="3" borderId="0" xfId="1" applyFont="1" applyFill="1" applyAlignment="1">
      <alignment horizontal="center"/>
    </xf>
    <xf numFmtId="0" fontId="9" fillId="3" borderId="1" xfId="0" applyFont="1" applyFill="1" applyBorder="1" applyAlignment="1" applyProtection="1">
      <alignment horizontal="center"/>
      <protection locked="0"/>
    </xf>
    <xf numFmtId="0" fontId="0" fillId="3" borderId="1" xfId="0" applyFill="1" applyBorder="1"/>
    <xf numFmtId="0" fontId="0" fillId="3" borderId="2" xfId="0" applyFill="1" applyBorder="1"/>
    <xf numFmtId="0" fontId="0" fillId="3" borderId="3" xfId="0" applyFill="1" applyBorder="1"/>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0" fillId="3" borderId="0" xfId="0" applyFill="1" applyAlignment="1">
      <alignment horizontal="center" vertical="center"/>
    </xf>
    <xf numFmtId="0" fontId="0" fillId="2" borderId="0" xfId="0" applyFill="1" applyAlignment="1">
      <alignment horizontal="center" vertical="center"/>
    </xf>
    <xf numFmtId="0" fontId="0" fillId="3" borderId="0" xfId="0" applyFill="1" applyAlignment="1">
      <alignment vertical="center"/>
    </xf>
    <xf numFmtId="0" fontId="9" fillId="2" borderId="0" xfId="0" applyFont="1" applyFill="1" applyAlignment="1">
      <alignment vertical="center"/>
    </xf>
    <xf numFmtId="0" fontId="9" fillId="4" borderId="0" xfId="0" applyFont="1" applyFill="1" applyAlignment="1">
      <alignment wrapText="1"/>
    </xf>
    <xf numFmtId="0" fontId="16" fillId="2" borderId="0" xfId="0" applyFont="1" applyFill="1" applyAlignment="1">
      <alignment vertical="center"/>
    </xf>
    <xf numFmtId="0" fontId="16" fillId="2" borderId="0" xfId="0" applyFont="1" applyFill="1" applyAlignment="1">
      <alignment horizontal="center" vertical="center"/>
    </xf>
    <xf numFmtId="0" fontId="0" fillId="4" borderId="2" xfId="0" applyFill="1" applyBorder="1" applyAlignment="1">
      <alignment vertical="center"/>
    </xf>
    <xf numFmtId="0" fontId="0" fillId="2" borderId="0" xfId="0" applyFill="1" applyAlignment="1">
      <alignment vertical="center"/>
    </xf>
    <xf numFmtId="0" fontId="9" fillId="3" borderId="0" xfId="0" applyFont="1" applyFill="1" applyAlignment="1">
      <alignment vertical="center"/>
    </xf>
    <xf numFmtId="0" fontId="0" fillId="4" borderId="1" xfId="0" applyFill="1" applyBorder="1" applyAlignment="1">
      <alignment vertical="center"/>
    </xf>
    <xf numFmtId="0" fontId="9" fillId="4" borderId="0" xfId="0" applyFont="1" applyFill="1" applyAlignment="1">
      <alignment horizontal="center" vertical="center"/>
    </xf>
    <xf numFmtId="0" fontId="0" fillId="4" borderId="0" xfId="0" applyFill="1" applyAlignment="1">
      <alignment horizontal="center" vertical="center"/>
    </xf>
    <xf numFmtId="164" fontId="0" fillId="3" borderId="0" xfId="0" applyNumberFormat="1" applyFill="1" applyAlignment="1">
      <alignment horizontal="center" vertical="center"/>
    </xf>
    <xf numFmtId="0" fontId="16" fillId="2" borderId="0" xfId="0" applyFont="1" applyFill="1" applyAlignment="1" applyProtection="1">
      <alignment horizontal="center"/>
      <protection locked="0"/>
    </xf>
    <xf numFmtId="164" fontId="16" fillId="2" borderId="0" xfId="0" applyNumberFormat="1" applyFont="1" applyFill="1" applyAlignment="1">
      <alignment horizontal="center"/>
    </xf>
    <xf numFmtId="164" fontId="16" fillId="2" borderId="0" xfId="0" applyNumberFormat="1" applyFont="1" applyFill="1" applyAlignment="1">
      <alignment horizontal="center" vertical="center"/>
    </xf>
    <xf numFmtId="0" fontId="0" fillId="4" borderId="3" xfId="0" applyFill="1" applyBorder="1" applyAlignment="1">
      <alignment vertical="center"/>
    </xf>
    <xf numFmtId="0" fontId="9" fillId="4" borderId="2" xfId="0" applyFont="1" applyFill="1"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9" fillId="4" borderId="6" xfId="0" applyFont="1" applyFill="1" applyBorder="1" applyAlignment="1">
      <alignment vertical="center"/>
    </xf>
    <xf numFmtId="0" fontId="9" fillId="4" borderId="7" xfId="0" applyFont="1" applyFill="1" applyBorder="1" applyAlignment="1">
      <alignment vertical="center"/>
    </xf>
    <xf numFmtId="0" fontId="9" fillId="4" borderId="8" xfId="0" applyFont="1" applyFill="1" applyBorder="1" applyAlignment="1">
      <alignment vertical="center"/>
    </xf>
    <xf numFmtId="0" fontId="9" fillId="4" borderId="1" xfId="0" applyFont="1" applyFill="1" applyBorder="1" applyAlignment="1">
      <alignment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3" borderId="14" xfId="0" applyFill="1" applyBorder="1" applyAlignment="1">
      <alignment horizontal="center" vertical="center"/>
    </xf>
    <xf numFmtId="0" fontId="0" fillId="4" borderId="23" xfId="0" applyFill="1" applyBorder="1" applyAlignment="1">
      <alignment horizontal="center" vertical="center"/>
    </xf>
    <xf numFmtId="0" fontId="0" fillId="3" borderId="25" xfId="0" applyFill="1" applyBorder="1" applyAlignment="1">
      <alignment horizontal="center" vertical="center"/>
    </xf>
    <xf numFmtId="0" fontId="0" fillId="4" borderId="31" xfId="0" applyFill="1" applyBorder="1" applyAlignment="1">
      <alignment horizontal="center" vertical="center"/>
    </xf>
    <xf numFmtId="0" fontId="0" fillId="4" borderId="32" xfId="0" applyFill="1" applyBorder="1" applyAlignment="1">
      <alignment horizontal="center" vertical="center"/>
    </xf>
    <xf numFmtId="0" fontId="16" fillId="2" borderId="1" xfId="0" applyFont="1" applyFill="1" applyBorder="1" applyAlignment="1">
      <alignment vertical="center"/>
    </xf>
    <xf numFmtId="0" fontId="0" fillId="6" borderId="2" xfId="0" applyFill="1" applyBorder="1" applyAlignment="1">
      <alignment wrapText="1"/>
    </xf>
    <xf numFmtId="0" fontId="9" fillId="4" borderId="0" xfId="0" applyFont="1" applyFill="1" applyAlignment="1">
      <alignment vertical="center"/>
    </xf>
    <xf numFmtId="164" fontId="16" fillId="3" borderId="0" xfId="0" applyNumberFormat="1" applyFont="1" applyFill="1" applyAlignment="1">
      <alignment horizontal="center" vertical="center"/>
    </xf>
    <xf numFmtId="0" fontId="15" fillId="3" borderId="0" xfId="0" applyFont="1" applyFill="1" applyAlignment="1">
      <alignment horizontal="center" vertical="center"/>
    </xf>
    <xf numFmtId="0" fontId="24" fillId="3" borderId="0" xfId="0" applyFont="1" applyFill="1" applyAlignment="1">
      <alignment horizontal="center"/>
    </xf>
    <xf numFmtId="0" fontId="9" fillId="3" borderId="0" xfId="0" applyFont="1" applyFill="1" applyAlignment="1">
      <alignment horizontal="center" vertical="center"/>
    </xf>
    <xf numFmtId="164" fontId="9" fillId="3" borderId="0" xfId="0" applyNumberFormat="1" applyFont="1" applyFill="1" applyAlignment="1">
      <alignment horizontal="center" vertical="center"/>
    </xf>
    <xf numFmtId="0" fontId="9" fillId="4" borderId="3" xfId="0" applyFont="1" applyFill="1" applyBorder="1" applyAlignment="1">
      <alignment vertical="center"/>
    </xf>
    <xf numFmtId="0" fontId="9" fillId="6" borderId="2" xfId="0" applyFont="1" applyFill="1" applyBorder="1" applyAlignment="1">
      <alignment wrapText="1"/>
    </xf>
    <xf numFmtId="0" fontId="22" fillId="4" borderId="3" xfId="0" applyFont="1" applyFill="1" applyBorder="1" applyAlignment="1">
      <alignment vertical="center"/>
    </xf>
    <xf numFmtId="0" fontId="22" fillId="3" borderId="0" xfId="0" applyFont="1" applyFill="1" applyAlignment="1">
      <alignment horizontal="center" vertical="center"/>
    </xf>
    <xf numFmtId="0" fontId="22" fillId="4" borderId="0" xfId="0" applyFont="1" applyFill="1" applyAlignment="1">
      <alignment horizontal="center" vertical="center"/>
    </xf>
    <xf numFmtId="0" fontId="0" fillId="4" borderId="2" xfId="0" applyFill="1" applyBorder="1" applyAlignment="1">
      <alignment horizontal="center" vertical="center"/>
    </xf>
    <xf numFmtId="0" fontId="24" fillId="4" borderId="0" xfId="0" applyFont="1" applyFill="1"/>
    <xf numFmtId="0" fontId="24" fillId="4" borderId="0" xfId="0" applyFont="1" applyFill="1" applyAlignment="1">
      <alignment vertical="top" wrapText="1"/>
    </xf>
    <xf numFmtId="10" fontId="9" fillId="3" borderId="0" xfId="0" applyNumberFormat="1" applyFont="1" applyFill="1" applyAlignment="1">
      <alignment vertical="center"/>
    </xf>
    <xf numFmtId="0" fontId="0" fillId="3" borderId="6" xfId="0" applyFill="1" applyBorder="1"/>
    <xf numFmtId="0" fontId="0" fillId="3" borderId="7" xfId="0" applyFill="1" applyBorder="1"/>
    <xf numFmtId="0" fontId="22" fillId="0" borderId="3" xfId="0" applyFont="1" applyBorder="1" applyAlignment="1">
      <alignment horizontal="center" vertical="center"/>
    </xf>
    <xf numFmtId="0" fontId="0" fillId="0" borderId="3" xfId="0" applyBorder="1" applyAlignment="1">
      <alignment horizontal="center" vertical="center"/>
    </xf>
    <xf numFmtId="0" fontId="25" fillId="4" borderId="0" xfId="0" applyFont="1" applyFill="1"/>
    <xf numFmtId="0" fontId="0" fillId="3" borderId="24" xfId="0" applyFill="1" applyBorder="1" applyAlignment="1">
      <alignment horizontal="center"/>
    </xf>
    <xf numFmtId="0" fontId="9" fillId="0" borderId="2" xfId="0" applyFont="1" applyBorder="1" applyAlignment="1">
      <alignment wrapText="1"/>
    </xf>
    <xf numFmtId="0" fontId="0" fillId="3" borderId="42" xfId="0" applyFill="1" applyBorder="1"/>
    <xf numFmtId="0" fontId="25" fillId="4" borderId="42" xfId="0" applyFont="1" applyFill="1" applyBorder="1" applyAlignment="1">
      <alignment vertical="center"/>
    </xf>
    <xf numFmtId="9" fontId="0" fillId="0" borderId="0" xfId="0" applyNumberFormat="1"/>
    <xf numFmtId="10" fontId="0" fillId="0" borderId="0" xfId="0" applyNumberFormat="1"/>
    <xf numFmtId="0" fontId="9" fillId="2" borderId="0" xfId="0" applyFont="1" applyFill="1" applyAlignment="1">
      <alignment horizontal="center" wrapText="1"/>
    </xf>
    <xf numFmtId="0" fontId="9" fillId="0" borderId="1" xfId="0" applyFont="1" applyBorder="1" applyAlignment="1">
      <alignment wrapText="1"/>
    </xf>
    <xf numFmtId="0" fontId="9" fillId="4" borderId="2" xfId="0" applyFont="1" applyFill="1" applyBorder="1" applyAlignment="1">
      <alignment wrapText="1"/>
    </xf>
    <xf numFmtId="0" fontId="0" fillId="0" borderId="46" xfId="0" applyBorder="1" applyAlignment="1">
      <alignment wrapText="1"/>
    </xf>
    <xf numFmtId="0" fontId="0" fillId="6" borderId="47" xfId="0" applyFill="1" applyBorder="1" applyAlignment="1">
      <alignment wrapText="1"/>
    </xf>
    <xf numFmtId="0" fontId="0" fillId="0" borderId="47" xfId="0" applyBorder="1" applyAlignment="1">
      <alignment wrapText="1"/>
    </xf>
    <xf numFmtId="0" fontId="0" fillId="6" borderId="47" xfId="0" applyFill="1" applyBorder="1" applyAlignment="1">
      <alignment vertical="top" wrapText="1"/>
    </xf>
    <xf numFmtId="0" fontId="0" fillId="0" borderId="47" xfId="0" applyBorder="1" applyAlignment="1">
      <alignment vertical="top" wrapText="1"/>
    </xf>
    <xf numFmtId="0" fontId="24" fillId="4" borderId="0" xfId="0" applyFont="1" applyFill="1" applyAlignment="1">
      <alignment horizontal="center"/>
    </xf>
    <xf numFmtId="164" fontId="0" fillId="3" borderId="0" xfId="1" applyFont="1" applyFill="1" applyAlignment="1" applyProtection="1">
      <alignment horizontal="center" vertical="center"/>
    </xf>
    <xf numFmtId="44" fontId="0" fillId="4" borderId="15" xfId="1" applyNumberFormat="1" applyFont="1" applyFill="1" applyBorder="1" applyAlignment="1" applyProtection="1">
      <alignment horizontal="right" vertical="center"/>
    </xf>
    <xf numFmtId="10" fontId="25" fillId="0" borderId="1" xfId="1" applyNumberFormat="1" applyFont="1" applyBorder="1" applyAlignment="1" applyProtection="1">
      <alignment horizontal="right" vertical="center"/>
    </xf>
    <xf numFmtId="44" fontId="0" fillId="4" borderId="16" xfId="1" applyNumberFormat="1" applyFont="1" applyFill="1" applyBorder="1" applyAlignment="1" applyProtection="1">
      <alignment horizontal="right" vertical="center"/>
    </xf>
    <xf numFmtId="44" fontId="9" fillId="4" borderId="16" xfId="1" applyNumberFormat="1" applyFont="1" applyFill="1" applyBorder="1" applyAlignment="1" applyProtection="1">
      <alignment horizontal="right" vertical="center"/>
    </xf>
    <xf numFmtId="10" fontId="25" fillId="0" borderId="2" xfId="2" applyNumberFormat="1" applyFont="1" applyBorder="1" applyAlignment="1" applyProtection="1">
      <alignment horizontal="right" vertical="center"/>
    </xf>
    <xf numFmtId="44" fontId="0" fillId="4" borderId="20" xfId="1" applyNumberFormat="1" applyFont="1" applyFill="1" applyBorder="1" applyAlignment="1" applyProtection="1">
      <alignment horizontal="center" vertical="center"/>
    </xf>
    <xf numFmtId="164" fontId="9" fillId="4" borderId="43" xfId="1" applyFont="1" applyFill="1" applyBorder="1" applyAlignment="1" applyProtection="1">
      <alignment vertical="center"/>
    </xf>
    <xf numFmtId="10" fontId="9" fillId="0" borderId="1" xfId="2" applyNumberFormat="1" applyFont="1" applyBorder="1" applyAlignment="1" applyProtection="1">
      <alignment horizontal="right" vertical="center"/>
    </xf>
    <xf numFmtId="44" fontId="9" fillId="4" borderId="20" xfId="1" applyNumberFormat="1" applyFont="1" applyFill="1" applyBorder="1" applyAlignment="1" applyProtection="1">
      <alignment horizontal="center" vertical="center"/>
    </xf>
    <xf numFmtId="10" fontId="9" fillId="0" borderId="26" xfId="2" applyNumberFormat="1" applyFont="1" applyBorder="1" applyAlignment="1" applyProtection="1">
      <alignment horizontal="right" vertical="center"/>
    </xf>
    <xf numFmtId="164" fontId="9" fillId="3" borderId="0" xfId="1" applyFont="1" applyFill="1" applyAlignment="1" applyProtection="1">
      <alignment horizontal="center" vertical="center"/>
    </xf>
    <xf numFmtId="164" fontId="9" fillId="0" borderId="2" xfId="1" applyFont="1" applyBorder="1" applyAlignment="1" applyProtection="1">
      <alignment horizontal="center" vertical="center"/>
    </xf>
    <xf numFmtId="44" fontId="9" fillId="4" borderId="21" xfId="1" applyNumberFormat="1" applyFont="1" applyFill="1" applyBorder="1" applyAlignment="1" applyProtection="1">
      <alignment horizontal="center" vertical="center"/>
    </xf>
    <xf numFmtId="164" fontId="9" fillId="4" borderId="28" xfId="1" applyFont="1" applyFill="1" applyBorder="1" applyAlignment="1" applyProtection="1">
      <alignment horizontal="center" vertical="center"/>
    </xf>
    <xf numFmtId="164" fontId="9" fillId="4" borderId="9" xfId="1" applyFont="1" applyFill="1" applyBorder="1" applyAlignment="1" applyProtection="1">
      <alignment horizontal="center" vertical="center"/>
    </xf>
    <xf numFmtId="44" fontId="9" fillId="4" borderId="15" xfId="1" applyNumberFormat="1" applyFont="1" applyFill="1" applyBorder="1" applyAlignment="1" applyProtection="1">
      <alignment horizontal="center" vertical="center"/>
    </xf>
    <xf numFmtId="44" fontId="9" fillId="4" borderId="5" xfId="1" applyNumberFormat="1" applyFont="1" applyFill="1" applyBorder="1" applyAlignment="1" applyProtection="1">
      <alignment horizontal="center" vertical="center"/>
    </xf>
    <xf numFmtId="9" fontId="8" fillId="0" borderId="3" xfId="2" applyBorder="1" applyAlignment="1" applyProtection="1">
      <alignment horizontal="center" vertical="center"/>
    </xf>
    <xf numFmtId="164" fontId="9" fillId="4" borderId="35" xfId="1" applyFont="1" applyFill="1" applyBorder="1" applyAlignment="1" applyProtection="1">
      <alignment horizontal="center" vertical="center"/>
    </xf>
    <xf numFmtId="9" fontId="8" fillId="0" borderId="33" xfId="2" applyBorder="1" applyAlignment="1" applyProtection="1">
      <alignment horizontal="center" vertical="center"/>
    </xf>
    <xf numFmtId="164" fontId="9" fillId="4" borderId="34" xfId="1" applyFont="1" applyFill="1" applyBorder="1" applyAlignment="1" applyProtection="1">
      <alignment horizontal="center" vertical="center"/>
    </xf>
    <xf numFmtId="164" fontId="9" fillId="4" borderId="11" xfId="1" applyFont="1" applyFill="1" applyBorder="1" applyAlignment="1" applyProtection="1">
      <alignment horizontal="center" vertical="center"/>
    </xf>
    <xf numFmtId="9" fontId="8" fillId="0" borderId="24" xfId="2" applyBorder="1" applyAlignment="1" applyProtection="1">
      <alignment horizontal="center" vertical="center"/>
    </xf>
    <xf numFmtId="9" fontId="8" fillId="3" borderId="0" xfId="2" applyFill="1" applyAlignment="1" applyProtection="1">
      <alignment horizontal="center" vertical="center"/>
    </xf>
    <xf numFmtId="164" fontId="9" fillId="3" borderId="36" xfId="1" applyFont="1" applyFill="1" applyBorder="1" applyAlignment="1" applyProtection="1">
      <alignment horizontal="center" vertical="center"/>
    </xf>
    <xf numFmtId="9" fontId="8" fillId="3" borderId="37" xfId="2" applyFill="1" applyBorder="1" applyAlignment="1" applyProtection="1">
      <alignment horizontal="center" vertical="center"/>
    </xf>
    <xf numFmtId="164" fontId="9" fillId="3" borderId="38" xfId="1" applyFont="1" applyFill="1" applyBorder="1" applyAlignment="1" applyProtection="1">
      <alignment horizontal="center" vertical="center"/>
    </xf>
    <xf numFmtId="164" fontId="9" fillId="3" borderId="39" xfId="1" applyFont="1" applyFill="1" applyBorder="1" applyAlignment="1" applyProtection="1">
      <alignment horizontal="center" vertical="center"/>
    </xf>
    <xf numFmtId="9" fontId="8" fillId="3" borderId="25" xfId="2" applyFill="1" applyBorder="1" applyAlignment="1" applyProtection="1">
      <alignment horizontal="center" vertical="center"/>
    </xf>
    <xf numFmtId="0" fontId="0" fillId="3" borderId="14" xfId="0" applyFill="1" applyBorder="1" applyAlignment="1">
      <alignment horizontal="center"/>
    </xf>
    <xf numFmtId="0" fontId="9" fillId="4" borderId="1" xfId="0" applyFont="1" applyFill="1" applyBorder="1"/>
    <xf numFmtId="0" fontId="24" fillId="4" borderId="1" xfId="0" applyFont="1" applyFill="1" applyBorder="1" applyAlignment="1">
      <alignment horizontal="center"/>
    </xf>
    <xf numFmtId="164" fontId="16" fillId="0" borderId="1" xfId="0" applyNumberFormat="1" applyFont="1" applyBorder="1" applyAlignment="1">
      <alignment horizontal="center" vertical="center"/>
    </xf>
    <xf numFmtId="164" fontId="16" fillId="4" borderId="1" xfId="0" applyNumberFormat="1" applyFont="1" applyFill="1" applyBorder="1" applyAlignment="1">
      <alignment horizontal="center" vertical="center"/>
    </xf>
    <xf numFmtId="164" fontId="16" fillId="0" borderId="0" xfId="0" applyNumberFormat="1" applyFont="1" applyAlignment="1">
      <alignment horizontal="center" vertical="center"/>
    </xf>
    <xf numFmtId="164" fontId="16" fillId="4" borderId="0" xfId="0" applyNumberFormat="1" applyFont="1" applyFill="1" applyAlignment="1">
      <alignment horizontal="center" vertical="center"/>
    </xf>
    <xf numFmtId="0" fontId="0" fillId="4" borderId="4" xfId="0" applyFill="1" applyBorder="1"/>
    <xf numFmtId="0" fontId="9" fillId="4" borderId="1" xfId="0" applyFont="1" applyFill="1" applyBorder="1" applyAlignment="1">
      <alignment horizontal="center"/>
    </xf>
    <xf numFmtId="164" fontId="28" fillId="4" borderId="0" xfId="1" applyFont="1" applyFill="1" applyBorder="1" applyAlignment="1" applyProtection="1">
      <alignment horizontal="center"/>
    </xf>
    <xf numFmtId="164" fontId="27" fillId="4" borderId="0" xfId="1" applyFont="1" applyFill="1" applyBorder="1" applyAlignment="1" applyProtection="1">
      <alignment horizontal="center"/>
    </xf>
    <xf numFmtId="0" fontId="0" fillId="4" borderId="55" xfId="0" applyFill="1" applyBorder="1"/>
    <xf numFmtId="0" fontId="9" fillId="4" borderId="57" xfId="0" applyFont="1" applyFill="1" applyBorder="1"/>
    <xf numFmtId="0" fontId="0" fillId="4" borderId="58" xfId="0" applyFill="1" applyBorder="1"/>
    <xf numFmtId="0" fontId="9" fillId="4" borderId="59" xfId="0" applyFont="1" applyFill="1" applyBorder="1"/>
    <xf numFmtId="0" fontId="26" fillId="4" borderId="55" xfId="0" applyFont="1" applyFill="1" applyBorder="1"/>
    <xf numFmtId="0" fontId="26" fillId="4" borderId="55" xfId="0" applyFont="1" applyFill="1" applyBorder="1" applyAlignment="1">
      <alignment horizontal="center"/>
    </xf>
    <xf numFmtId="0" fontId="26" fillId="4" borderId="0" xfId="0" applyFont="1" applyFill="1" applyAlignment="1">
      <alignment horizontal="center"/>
    </xf>
    <xf numFmtId="164" fontId="26" fillId="4" borderId="55" xfId="1" applyFont="1" applyFill="1" applyBorder="1" applyAlignment="1" applyProtection="1">
      <alignment horizontal="center"/>
    </xf>
    <xf numFmtId="10" fontId="26" fillId="4" borderId="55" xfId="1" applyNumberFormat="1" applyFont="1" applyFill="1" applyBorder="1" applyAlignment="1" applyProtection="1">
      <alignment horizontal="center"/>
    </xf>
    <xf numFmtId="10" fontId="29" fillId="4" borderId="57" xfId="2" applyNumberFormat="1" applyFont="1" applyFill="1" applyBorder="1" applyAlignment="1" applyProtection="1">
      <alignment horizontal="center"/>
    </xf>
    <xf numFmtId="164" fontId="26" fillId="4" borderId="58" xfId="1" applyFont="1" applyFill="1" applyBorder="1" applyAlignment="1" applyProtection="1">
      <alignment horizontal="center"/>
    </xf>
    <xf numFmtId="10" fontId="29" fillId="4" borderId="59" xfId="1" applyNumberFormat="1" applyFont="1" applyFill="1" applyBorder="1" applyAlignment="1" applyProtection="1">
      <alignment horizontal="center"/>
    </xf>
    <xf numFmtId="10" fontId="8" fillId="0" borderId="56" xfId="2" applyNumberFormat="1" applyFont="1" applyFill="1" applyBorder="1" applyAlignment="1" applyProtection="1">
      <alignment horizontal="center"/>
    </xf>
    <xf numFmtId="10" fontId="26" fillId="0" borderId="61" xfId="1" applyNumberFormat="1" applyFont="1" applyFill="1" applyBorder="1" applyAlignment="1" applyProtection="1">
      <alignment horizontal="center"/>
      <protection locked="0"/>
    </xf>
    <xf numFmtId="0" fontId="27" fillId="0" borderId="0" xfId="0" applyFont="1"/>
    <xf numFmtId="0" fontId="30" fillId="4" borderId="0" xfId="0" applyFont="1" applyFill="1"/>
    <xf numFmtId="0" fontId="27" fillId="4" borderId="0" xfId="0" applyFont="1" applyFill="1"/>
    <xf numFmtId="0" fontId="27" fillId="4" borderId="60" xfId="0" applyFont="1" applyFill="1" applyBorder="1"/>
    <xf numFmtId="0" fontId="9" fillId="4" borderId="63" xfId="0" applyFont="1" applyFill="1" applyBorder="1"/>
    <xf numFmtId="0" fontId="0" fillId="4" borderId="52" xfId="0" applyFill="1" applyBorder="1"/>
    <xf numFmtId="0" fontId="0" fillId="4" borderId="54" xfId="0" applyFill="1" applyBorder="1"/>
    <xf numFmtId="0" fontId="9" fillId="4" borderId="64" xfId="0" applyFont="1" applyFill="1" applyBorder="1"/>
    <xf numFmtId="0" fontId="29" fillId="9" borderId="62" xfId="0" applyFont="1" applyFill="1" applyBorder="1" applyAlignment="1">
      <alignment horizontal="center"/>
    </xf>
    <xf numFmtId="0" fontId="9" fillId="4" borderId="62" xfId="0" applyFont="1" applyFill="1" applyBorder="1" applyAlignment="1">
      <alignment horizontal="center"/>
    </xf>
    <xf numFmtId="1" fontId="25" fillId="4" borderId="61" xfId="0" applyNumberFormat="1" applyFont="1" applyFill="1" applyBorder="1" applyAlignment="1">
      <alignment horizontal="center"/>
    </xf>
    <xf numFmtId="0" fontId="25" fillId="4" borderId="55" xfId="0" applyFont="1" applyFill="1" applyBorder="1" applyAlignment="1">
      <alignment horizontal="center"/>
    </xf>
    <xf numFmtId="0" fontId="9" fillId="4" borderId="68" xfId="0" applyFont="1" applyFill="1" applyBorder="1"/>
    <xf numFmtId="0" fontId="9" fillId="4" borderId="59" xfId="0" applyFont="1" applyFill="1" applyBorder="1" applyAlignment="1">
      <alignment horizontal="center"/>
    </xf>
    <xf numFmtId="0" fontId="0" fillId="4" borderId="53" xfId="0" applyFill="1" applyBorder="1"/>
    <xf numFmtId="0" fontId="0" fillId="4" borderId="69" xfId="0" applyFill="1" applyBorder="1"/>
    <xf numFmtId="10" fontId="25" fillId="5" borderId="61" xfId="0" applyNumberFormat="1" applyFont="1" applyFill="1" applyBorder="1" applyAlignment="1" applyProtection="1">
      <alignment horizontal="center"/>
      <protection locked="0"/>
    </xf>
    <xf numFmtId="167" fontId="25" fillId="5" borderId="61" xfId="0" applyNumberFormat="1" applyFont="1" applyFill="1" applyBorder="1" applyAlignment="1" applyProtection="1">
      <alignment horizontal="center"/>
      <protection locked="0"/>
    </xf>
    <xf numFmtId="167" fontId="25" fillId="5" borderId="58" xfId="2" applyNumberFormat="1" applyFont="1" applyFill="1" applyBorder="1" applyAlignment="1" applyProtection="1">
      <alignment horizontal="center"/>
      <protection locked="0"/>
    </xf>
    <xf numFmtId="10" fontId="0" fillId="0" borderId="56" xfId="2" applyNumberFormat="1" applyFont="1" applyFill="1" applyBorder="1" applyAlignment="1" applyProtection="1">
      <alignment horizontal="center"/>
    </xf>
    <xf numFmtId="0" fontId="9" fillId="4" borderId="67" xfId="0" applyFont="1" applyFill="1" applyBorder="1"/>
    <xf numFmtId="10" fontId="9" fillId="0" borderId="1" xfId="2" applyNumberFormat="1" applyFont="1" applyFill="1" applyBorder="1" applyAlignment="1" applyProtection="1">
      <alignment horizontal="right" vertical="center"/>
    </xf>
    <xf numFmtId="10" fontId="9" fillId="0" borderId="26" xfId="2" applyNumberFormat="1" applyFont="1" applyFill="1" applyBorder="1" applyAlignment="1" applyProtection="1">
      <alignment horizontal="right" vertical="center"/>
    </xf>
    <xf numFmtId="0" fontId="25" fillId="5" borderId="61" xfId="0" applyFont="1" applyFill="1" applyBorder="1" applyAlignment="1" applyProtection="1">
      <alignment horizontal="center"/>
      <protection locked="0"/>
    </xf>
    <xf numFmtId="9" fontId="0" fillId="4" borderId="0" xfId="0" applyNumberFormat="1" applyFill="1" applyAlignment="1">
      <alignment horizontal="center"/>
    </xf>
    <xf numFmtId="0" fontId="22" fillId="5" borderId="70" xfId="0" applyFont="1" applyFill="1" applyBorder="1"/>
    <xf numFmtId="0" fontId="0" fillId="5" borderId="51" xfId="0" applyFill="1" applyBorder="1" applyAlignment="1">
      <alignment horizontal="center"/>
    </xf>
    <xf numFmtId="0" fontId="0" fillId="5" borderId="50" xfId="0" applyFill="1" applyBorder="1" applyAlignment="1">
      <alignment horizontal="center"/>
    </xf>
    <xf numFmtId="0" fontId="9" fillId="7" borderId="70" xfId="0" applyFont="1" applyFill="1" applyBorder="1"/>
    <xf numFmtId="0" fontId="0" fillId="7" borderId="51" xfId="0" applyFill="1" applyBorder="1" applyAlignment="1">
      <alignment horizontal="center"/>
    </xf>
    <xf numFmtId="0" fontId="0" fillId="7" borderId="50" xfId="0" applyFill="1" applyBorder="1" applyAlignment="1">
      <alignment horizontal="center"/>
    </xf>
    <xf numFmtId="0" fontId="0" fillId="4" borderId="0" xfId="0" applyFill="1" applyAlignment="1">
      <alignment horizontal="left"/>
    </xf>
    <xf numFmtId="44" fontId="0" fillId="4" borderId="0" xfId="0" applyNumberFormat="1" applyFill="1" applyAlignment="1">
      <alignment horizontal="center"/>
    </xf>
    <xf numFmtId="10" fontId="9" fillId="3" borderId="41" xfId="2" applyNumberFormat="1" applyFont="1" applyFill="1" applyBorder="1" applyAlignment="1" applyProtection="1">
      <alignment horizontal="right" vertical="center"/>
    </xf>
    <xf numFmtId="44" fontId="9" fillId="4" borderId="1" xfId="1" applyNumberFormat="1" applyFont="1" applyFill="1" applyBorder="1" applyAlignment="1" applyProtection="1">
      <alignment horizontal="center" vertical="center"/>
    </xf>
    <xf numFmtId="9" fontId="8" fillId="0" borderId="0" xfId="2" applyBorder="1" applyAlignment="1" applyProtection="1">
      <alignment horizontal="center" vertical="center"/>
    </xf>
    <xf numFmtId="44" fontId="9" fillId="4" borderId="14" xfId="1" applyNumberFormat="1" applyFont="1" applyFill="1" applyBorder="1" applyAlignment="1" applyProtection="1">
      <alignment horizontal="center" vertical="center"/>
    </xf>
    <xf numFmtId="44" fontId="9" fillId="4" borderId="71" xfId="1" applyNumberFormat="1" applyFont="1" applyFill="1" applyBorder="1" applyAlignment="1" applyProtection="1">
      <alignment horizontal="center" vertical="center"/>
    </xf>
    <xf numFmtId="44" fontId="0" fillId="5" borderId="41" xfId="1" applyNumberFormat="1" applyFont="1" applyFill="1" applyBorder="1" applyAlignment="1" applyProtection="1">
      <alignment horizontal="center" vertical="center"/>
      <protection locked="0"/>
    </xf>
    <xf numFmtId="10" fontId="8" fillId="5" borderId="41" xfId="2" applyNumberFormat="1" applyFill="1" applyBorder="1" applyAlignment="1" applyProtection="1">
      <alignment horizontal="right" vertical="center"/>
      <protection locked="0"/>
    </xf>
    <xf numFmtId="44" fontId="9" fillId="4" borderId="40" xfId="0" applyNumberFormat="1" applyFont="1" applyFill="1" applyBorder="1" applyAlignment="1">
      <alignment horizontal="center"/>
    </xf>
    <xf numFmtId="10" fontId="26" fillId="4" borderId="54" xfId="1" applyNumberFormat="1" applyFont="1" applyFill="1" applyBorder="1" applyAlignment="1" applyProtection="1">
      <alignment horizontal="center"/>
    </xf>
    <xf numFmtId="0" fontId="26" fillId="4" borderId="58" xfId="0" applyFont="1" applyFill="1" applyBorder="1"/>
    <xf numFmtId="9" fontId="26" fillId="8" borderId="61" xfId="2" applyFont="1" applyFill="1" applyBorder="1" applyAlignment="1" applyProtection="1">
      <alignment horizontal="center"/>
    </xf>
    <xf numFmtId="9" fontId="26" fillId="8" borderId="66" xfId="2" applyFont="1" applyFill="1" applyBorder="1" applyAlignment="1" applyProtection="1">
      <alignment horizontal="center"/>
    </xf>
    <xf numFmtId="10" fontId="8" fillId="0" borderId="56" xfId="2" applyNumberFormat="1" applyFont="1" applyFill="1" applyBorder="1" applyAlignment="1" applyProtection="1">
      <alignment horizontal="left"/>
    </xf>
    <xf numFmtId="0" fontId="0" fillId="4" borderId="75" xfId="0" applyFill="1" applyBorder="1" applyAlignment="1">
      <alignment horizontal="left"/>
    </xf>
    <xf numFmtId="0" fontId="0" fillId="4" borderId="76" xfId="0" applyFill="1" applyBorder="1" applyAlignment="1">
      <alignment horizontal="center"/>
    </xf>
    <xf numFmtId="0" fontId="0" fillId="4" borderId="76" xfId="0" applyFill="1" applyBorder="1"/>
    <xf numFmtId="0" fontId="0" fillId="4" borderId="77" xfId="0" applyFill="1" applyBorder="1"/>
    <xf numFmtId="0" fontId="0" fillId="4" borderId="69" xfId="0" applyFill="1" applyBorder="1" applyAlignment="1">
      <alignment horizontal="center"/>
    </xf>
    <xf numFmtId="0" fontId="0" fillId="4" borderId="82" xfId="0" applyFill="1" applyBorder="1"/>
    <xf numFmtId="167" fontId="0" fillId="0" borderId="83" xfId="2" applyNumberFormat="1" applyFont="1" applyFill="1" applyBorder="1" applyAlignment="1" applyProtection="1">
      <alignment horizontal="left"/>
    </xf>
    <xf numFmtId="0" fontId="0" fillId="4" borderId="84" xfId="0" applyFill="1" applyBorder="1" applyAlignment="1">
      <alignment horizontal="center"/>
    </xf>
    <xf numFmtId="0" fontId="0" fillId="4" borderId="84" xfId="0" applyFill="1" applyBorder="1"/>
    <xf numFmtId="0" fontId="0" fillId="4" borderId="85" xfId="0" applyFill="1" applyBorder="1"/>
    <xf numFmtId="0" fontId="0" fillId="4" borderId="74" xfId="0" applyFill="1" applyBorder="1" applyAlignment="1">
      <alignment horizontal="center"/>
    </xf>
    <xf numFmtId="0" fontId="0" fillId="4" borderId="74" xfId="0" applyFill="1" applyBorder="1"/>
    <xf numFmtId="0" fontId="0" fillId="4" borderId="86" xfId="0" applyFill="1" applyBorder="1"/>
    <xf numFmtId="0" fontId="0" fillId="4" borderId="53" xfId="0" applyFill="1" applyBorder="1" applyAlignment="1">
      <alignment horizontal="center"/>
    </xf>
    <xf numFmtId="10" fontId="9" fillId="0" borderId="6" xfId="0" applyNumberFormat="1" applyFont="1" applyBorder="1" applyAlignment="1">
      <alignment horizontal="right" vertical="center"/>
    </xf>
    <xf numFmtId="44" fontId="9" fillId="4" borderId="17" xfId="0" applyNumberFormat="1" applyFont="1" applyFill="1" applyBorder="1" applyAlignment="1">
      <alignment horizontal="right" vertical="center"/>
    </xf>
    <xf numFmtId="165" fontId="9" fillId="4" borderId="28" xfId="0" applyNumberFormat="1" applyFont="1" applyFill="1" applyBorder="1" applyAlignment="1">
      <alignment horizontal="right" vertical="center"/>
    </xf>
    <xf numFmtId="165" fontId="9" fillId="4" borderId="9" xfId="0" applyNumberFormat="1" applyFont="1" applyFill="1" applyBorder="1" applyAlignment="1">
      <alignment horizontal="right" vertical="center"/>
    </xf>
    <xf numFmtId="10" fontId="9" fillId="4" borderId="28" xfId="0" applyNumberFormat="1" applyFont="1" applyFill="1" applyBorder="1" applyAlignment="1">
      <alignment vertical="center"/>
    </xf>
    <xf numFmtId="10" fontId="25" fillId="0" borderId="42" xfId="0" applyNumberFormat="1" applyFont="1" applyBorder="1" applyAlignment="1">
      <alignment horizontal="right" vertical="center"/>
    </xf>
    <xf numFmtId="165" fontId="9" fillId="4" borderId="43" xfId="0" applyNumberFormat="1" applyFont="1" applyFill="1" applyBorder="1" applyAlignment="1">
      <alignment horizontal="right" vertical="center"/>
    </xf>
    <xf numFmtId="10" fontId="0" fillId="4" borderId="7" xfId="0" applyNumberFormat="1" applyFill="1" applyBorder="1" applyAlignment="1">
      <alignment vertical="center"/>
    </xf>
    <xf numFmtId="44" fontId="9" fillId="4" borderId="18" xfId="0" applyNumberFormat="1" applyFont="1" applyFill="1" applyBorder="1" applyAlignment="1">
      <alignment horizontal="right" vertical="center"/>
    </xf>
    <xf numFmtId="10" fontId="0" fillId="4" borderId="44" xfId="0" applyNumberFormat="1" applyFill="1" applyBorder="1" applyAlignment="1">
      <alignment vertical="center"/>
    </xf>
    <xf numFmtId="44" fontId="9" fillId="4" borderId="18" xfId="0" applyNumberFormat="1" applyFont="1" applyFill="1" applyBorder="1" applyAlignment="1">
      <alignment horizontal="center" vertical="center"/>
    </xf>
    <xf numFmtId="164" fontId="9" fillId="0" borderId="8" xfId="0" applyNumberFormat="1" applyFont="1" applyBorder="1" applyAlignment="1">
      <alignment horizontal="right" vertical="center"/>
    </xf>
    <xf numFmtId="44" fontId="9" fillId="4" borderId="19" xfId="0" applyNumberFormat="1" applyFont="1" applyFill="1" applyBorder="1" applyAlignment="1">
      <alignment horizontal="right" vertical="center"/>
    </xf>
    <xf numFmtId="165" fontId="9" fillId="4" borderId="29" xfId="0" applyNumberFormat="1" applyFont="1" applyFill="1" applyBorder="1" applyAlignment="1">
      <alignment horizontal="right" vertical="center"/>
    </xf>
    <xf numFmtId="165" fontId="9" fillId="4" borderId="10" xfId="0" applyNumberFormat="1" applyFont="1" applyFill="1" applyBorder="1" applyAlignment="1">
      <alignment horizontal="right" vertical="center"/>
    </xf>
    <xf numFmtId="164" fontId="9" fillId="4" borderId="29" xfId="0" applyNumberFormat="1" applyFont="1" applyFill="1" applyBorder="1" applyAlignment="1">
      <alignment horizontal="center" vertical="center"/>
    </xf>
    <xf numFmtId="44" fontId="9" fillId="4" borderId="19" xfId="0" applyNumberFormat="1" applyFont="1" applyFill="1" applyBorder="1" applyAlignment="1">
      <alignment horizontal="center" vertical="center"/>
    </xf>
    <xf numFmtId="44" fontId="0" fillId="0" borderId="20" xfId="1" applyNumberFormat="1" applyFont="1" applyFill="1" applyBorder="1" applyAlignment="1" applyProtection="1">
      <alignment horizontal="center" vertical="center"/>
    </xf>
    <xf numFmtId="0" fontId="22" fillId="4" borderId="29" xfId="0" applyFont="1" applyFill="1" applyBorder="1" applyAlignment="1">
      <alignment horizontal="center" vertical="center"/>
    </xf>
    <xf numFmtId="44" fontId="22" fillId="4" borderId="22" xfId="0" applyNumberFormat="1" applyFont="1" applyFill="1" applyBorder="1" applyAlignment="1">
      <alignment horizontal="center" vertical="center"/>
    </xf>
    <xf numFmtId="0" fontId="22" fillId="4" borderId="10" xfId="0" applyFont="1" applyFill="1" applyBorder="1" applyAlignment="1">
      <alignment horizontal="center" vertical="center"/>
    </xf>
    <xf numFmtId="0" fontId="0" fillId="4" borderId="29" xfId="0" applyFill="1" applyBorder="1" applyAlignment="1">
      <alignment horizontal="center" vertical="center"/>
    </xf>
    <xf numFmtId="10" fontId="8" fillId="4" borderId="30" xfId="2" applyNumberFormat="1" applyFill="1" applyBorder="1" applyAlignment="1" applyProtection="1">
      <alignment horizontal="right" vertical="center"/>
    </xf>
    <xf numFmtId="10" fontId="8" fillId="0" borderId="1" xfId="2" applyNumberFormat="1" applyFill="1" applyBorder="1" applyAlignment="1" applyProtection="1">
      <alignment horizontal="right" vertical="center"/>
    </xf>
    <xf numFmtId="10" fontId="0" fillId="0" borderId="30" xfId="2" applyNumberFormat="1" applyFont="1" applyFill="1" applyBorder="1" applyAlignment="1" applyProtection="1">
      <alignment horizontal="right" vertical="center"/>
    </xf>
    <xf numFmtId="44" fontId="9" fillId="4" borderId="15" xfId="0" applyNumberFormat="1" applyFont="1" applyFill="1" applyBorder="1" applyAlignment="1">
      <alignment horizontal="center" vertical="center"/>
    </xf>
    <xf numFmtId="10" fontId="8" fillId="0" borderId="26" xfId="2" applyNumberFormat="1" applyFill="1" applyBorder="1" applyAlignment="1" applyProtection="1">
      <alignment horizontal="right" vertical="center"/>
    </xf>
    <xf numFmtId="164" fontId="0" fillId="4" borderId="37" xfId="0" applyNumberFormat="1" applyFill="1" applyBorder="1" applyAlignment="1">
      <alignment horizontal="center" vertical="center"/>
    </xf>
    <xf numFmtId="164" fontId="0" fillId="4" borderId="38" xfId="0" applyNumberFormat="1" applyFill="1" applyBorder="1" applyAlignment="1">
      <alignment horizontal="center" vertical="center"/>
    </xf>
    <xf numFmtId="164" fontId="0" fillId="3" borderId="37" xfId="0" applyNumberFormat="1" applyFill="1" applyBorder="1" applyAlignment="1">
      <alignment horizontal="center" vertical="center"/>
    </xf>
    <xf numFmtId="164" fontId="0" fillId="3" borderId="38" xfId="0" applyNumberFormat="1" applyFill="1" applyBorder="1" applyAlignment="1">
      <alignment horizontal="center" vertical="center"/>
    </xf>
    <xf numFmtId="44" fontId="9" fillId="4" borderId="72" xfId="0" applyNumberFormat="1" applyFont="1" applyFill="1" applyBorder="1" applyAlignment="1">
      <alignment horizontal="center" vertical="center"/>
    </xf>
    <xf numFmtId="44" fontId="9" fillId="4" borderId="38" xfId="0" applyNumberFormat="1" applyFont="1" applyFill="1" applyBorder="1" applyAlignment="1">
      <alignment horizontal="center" vertical="center"/>
    </xf>
    <xf numFmtId="44" fontId="9" fillId="4" borderId="39" xfId="0" applyNumberFormat="1" applyFont="1" applyFill="1" applyBorder="1" applyAlignment="1">
      <alignment horizontal="center" vertical="center"/>
    </xf>
    <xf numFmtId="44" fontId="16" fillId="2" borderId="0" xfId="0" applyNumberFormat="1" applyFont="1" applyFill="1" applyAlignment="1">
      <alignment vertical="center"/>
    </xf>
    <xf numFmtId="165" fontId="16" fillId="2" borderId="25" xfId="0" applyNumberFormat="1" applyFont="1" applyFill="1" applyBorder="1" applyAlignment="1">
      <alignment vertical="center"/>
    </xf>
    <xf numFmtId="165" fontId="16" fillId="2" borderId="0" xfId="0" applyNumberFormat="1" applyFont="1" applyFill="1" applyAlignment="1">
      <alignment vertical="center"/>
    </xf>
    <xf numFmtId="164" fontId="16" fillId="2" borderId="25" xfId="0" applyNumberFormat="1" applyFont="1" applyFill="1" applyBorder="1" applyAlignment="1">
      <alignment vertical="center"/>
    </xf>
    <xf numFmtId="44" fontId="16" fillId="2" borderId="14" xfId="0" applyNumberFormat="1" applyFont="1" applyFill="1" applyBorder="1" applyAlignment="1">
      <alignment vertical="center"/>
    </xf>
    <xf numFmtId="44" fontId="26" fillId="4" borderId="54" xfId="0" applyNumberFormat="1" applyFont="1" applyFill="1" applyBorder="1"/>
    <xf numFmtId="44" fontId="26" fillId="4" borderId="55" xfId="0" applyNumberFormat="1" applyFont="1" applyFill="1" applyBorder="1"/>
    <xf numFmtId="0" fontId="0" fillId="0" borderId="52" xfId="0" applyBorder="1"/>
    <xf numFmtId="0" fontId="0" fillId="0" borderId="87" xfId="0" applyBorder="1"/>
    <xf numFmtId="1" fontId="9" fillId="4" borderId="59" xfId="0" applyNumberFormat="1" applyFont="1" applyFill="1" applyBorder="1" applyAlignment="1">
      <alignment horizontal="center"/>
    </xf>
    <xf numFmtId="0" fontId="24" fillId="4" borderId="0" xfId="0" applyFont="1" applyFill="1" applyAlignment="1" applyProtection="1">
      <alignment vertical="top" wrapText="1"/>
      <protection locked="0"/>
    </xf>
    <xf numFmtId="0" fontId="0" fillId="4" borderId="0" xfId="0" applyFill="1" applyProtection="1">
      <protection locked="0"/>
    </xf>
    <xf numFmtId="0" fontId="24" fillId="4" borderId="0" xfId="0" applyFont="1" applyFill="1" applyProtection="1">
      <protection locked="0"/>
    </xf>
    <xf numFmtId="0" fontId="25" fillId="4" borderId="0" xfId="0" applyFont="1" applyFill="1" applyProtection="1">
      <protection locked="0"/>
    </xf>
    <xf numFmtId="0" fontId="0" fillId="4" borderId="3" xfId="0" applyFill="1" applyBorder="1" applyAlignment="1">
      <alignment horizontal="center" vertical="center"/>
    </xf>
    <xf numFmtId="44" fontId="0" fillId="4" borderId="27" xfId="1" applyNumberFormat="1" applyFont="1" applyFill="1" applyBorder="1" applyAlignment="1" applyProtection="1">
      <alignment horizontal="center" vertical="center"/>
    </xf>
    <xf numFmtId="10" fontId="9" fillId="0" borderId="42" xfId="0" applyNumberFormat="1" applyFont="1" applyBorder="1" applyAlignment="1">
      <alignment horizontal="right" vertical="center"/>
    </xf>
    <xf numFmtId="44" fontId="0" fillId="0" borderId="88" xfId="1" applyNumberFormat="1" applyFont="1" applyFill="1" applyBorder="1" applyAlignment="1" applyProtection="1">
      <alignment horizontal="center" vertical="center"/>
    </xf>
    <xf numFmtId="10" fontId="25" fillId="7" borderId="61" xfId="0" applyNumberFormat="1" applyFont="1" applyFill="1" applyBorder="1" applyAlignment="1" applyProtection="1">
      <alignment horizontal="center"/>
      <protection locked="0"/>
    </xf>
    <xf numFmtId="0" fontId="0" fillId="3" borderId="92" xfId="0" applyFill="1" applyBorder="1" applyAlignment="1">
      <alignment horizontal="center" vertical="center"/>
    </xf>
    <xf numFmtId="0" fontId="26" fillId="4" borderId="0" xfId="0" applyFont="1" applyFill="1"/>
    <xf numFmtId="0" fontId="0" fillId="0" borderId="4" xfId="0" applyBorder="1"/>
    <xf numFmtId="0" fontId="26" fillId="4" borderId="0" xfId="0" applyFont="1" applyFill="1" applyProtection="1">
      <protection locked="0"/>
    </xf>
    <xf numFmtId="10" fontId="26" fillId="0" borderId="61" xfId="1" applyNumberFormat="1" applyFont="1" applyFill="1" applyBorder="1" applyAlignment="1" applyProtection="1">
      <alignment horizontal="center"/>
    </xf>
    <xf numFmtId="10" fontId="25" fillId="7" borderId="61" xfId="0" applyNumberFormat="1" applyFont="1" applyFill="1" applyBorder="1" applyAlignment="1">
      <alignment horizontal="center"/>
    </xf>
    <xf numFmtId="10" fontId="26" fillId="7" borderId="55" xfId="1" applyNumberFormat="1" applyFont="1" applyFill="1" applyBorder="1" applyAlignment="1" applyProtection="1">
      <alignment horizontal="center"/>
    </xf>
    <xf numFmtId="10" fontId="26" fillId="7" borderId="41" xfId="1" applyNumberFormat="1" applyFont="1" applyFill="1" applyBorder="1" applyAlignment="1" applyProtection="1">
      <alignment horizontal="center"/>
    </xf>
    <xf numFmtId="165" fontId="26" fillId="7" borderId="41" xfId="1" applyNumberFormat="1" applyFont="1" applyFill="1" applyBorder="1" applyAlignment="1" applyProtection="1">
      <alignment horizontal="center"/>
    </xf>
    <xf numFmtId="0" fontId="29" fillId="4" borderId="59" xfId="0" applyFont="1" applyFill="1" applyBorder="1"/>
    <xf numFmtId="164" fontId="0" fillId="5" borderId="41" xfId="1" applyFont="1" applyFill="1" applyBorder="1" applyAlignment="1" applyProtection="1">
      <alignment horizontal="right" vertical="center"/>
      <protection locked="0"/>
    </xf>
    <xf numFmtId="44" fontId="0" fillId="5" borderId="41" xfId="1" applyNumberFormat="1" applyFont="1" applyFill="1" applyBorder="1" applyAlignment="1" applyProtection="1">
      <alignment horizontal="right" vertical="center"/>
      <protection locked="0"/>
    </xf>
    <xf numFmtId="1" fontId="25" fillId="4" borderId="61" xfId="0" applyNumberFormat="1" applyFont="1" applyFill="1" applyBorder="1" applyAlignment="1" applyProtection="1">
      <alignment horizontal="center"/>
      <protection locked="0"/>
    </xf>
    <xf numFmtId="1" fontId="25" fillId="5" borderId="61" xfId="0" applyNumberFormat="1" applyFont="1" applyFill="1" applyBorder="1" applyAlignment="1" applyProtection="1">
      <alignment horizontal="center"/>
      <protection locked="0"/>
    </xf>
    <xf numFmtId="1" fontId="25" fillId="4" borderId="66" xfId="0" applyNumberFormat="1" applyFont="1" applyFill="1" applyBorder="1" applyAlignment="1" applyProtection="1">
      <alignment horizontal="center"/>
      <protection locked="0"/>
    </xf>
    <xf numFmtId="0" fontId="25" fillId="4" borderId="55" xfId="0" applyFont="1" applyFill="1" applyBorder="1" applyAlignment="1" applyProtection="1">
      <alignment horizontal="center"/>
      <protection locked="0"/>
    </xf>
    <xf numFmtId="44" fontId="9" fillId="0" borderId="40" xfId="0" applyNumberFormat="1" applyFont="1" applyBorder="1" applyAlignment="1">
      <alignment horizontal="center"/>
    </xf>
    <xf numFmtId="166" fontId="9" fillId="4" borderId="40" xfId="0" applyNumberFormat="1" applyFont="1" applyFill="1" applyBorder="1" applyAlignment="1">
      <alignment horizontal="center"/>
    </xf>
    <xf numFmtId="1" fontId="25" fillId="4" borderId="66" xfId="0" applyNumberFormat="1" applyFont="1" applyFill="1" applyBorder="1" applyAlignment="1">
      <alignment horizontal="center"/>
    </xf>
    <xf numFmtId="166" fontId="9" fillId="5" borderId="40" xfId="0" applyNumberFormat="1" applyFont="1" applyFill="1" applyBorder="1" applyAlignment="1" applyProtection="1">
      <alignment horizontal="center"/>
      <protection locked="0"/>
    </xf>
    <xf numFmtId="44" fontId="9" fillId="5" borderId="40" xfId="0" applyNumberFormat="1" applyFont="1" applyFill="1" applyBorder="1" applyAlignment="1" applyProtection="1">
      <alignment horizontal="center"/>
      <protection locked="0"/>
    </xf>
    <xf numFmtId="167" fontId="0" fillId="5" borderId="41" xfId="2" applyNumberFormat="1" applyFont="1" applyFill="1" applyBorder="1" applyAlignment="1" applyProtection="1">
      <alignment horizontal="right" vertical="center"/>
      <protection locked="0"/>
    </xf>
    <xf numFmtId="0" fontId="7" fillId="3" borderId="8" xfId="0" applyFont="1" applyFill="1" applyBorder="1"/>
    <xf numFmtId="0" fontId="7" fillId="4" borderId="2" xfId="0" applyFont="1" applyFill="1" applyBorder="1"/>
    <xf numFmtId="0" fontId="7" fillId="4" borderId="1" xfId="0" applyFont="1" applyFill="1" applyBorder="1" applyAlignment="1">
      <alignment wrapText="1"/>
    </xf>
    <xf numFmtId="0" fontId="7" fillId="4" borderId="1" xfId="0" applyFont="1" applyFill="1" applyBorder="1"/>
    <xf numFmtId="0" fontId="16" fillId="10" borderId="0" xfId="0" applyFont="1" applyFill="1" applyAlignment="1">
      <alignment vertical="center"/>
    </xf>
    <xf numFmtId="0" fontId="16" fillId="2" borderId="1" xfId="0" applyFont="1" applyFill="1" applyBorder="1" applyAlignment="1" applyProtection="1">
      <alignment horizontal="center" vertical="center"/>
      <protection locked="0"/>
    </xf>
    <xf numFmtId="0" fontId="31" fillId="10" borderId="0" xfId="0" applyFont="1" applyFill="1" applyAlignment="1">
      <alignment vertical="center"/>
    </xf>
    <xf numFmtId="0" fontId="0" fillId="7" borderId="0" xfId="0" applyFill="1" applyAlignment="1">
      <alignment horizontal="center"/>
    </xf>
    <xf numFmtId="0" fontId="16" fillId="10" borderId="0" xfId="0" applyFont="1" applyFill="1"/>
    <xf numFmtId="0" fontId="16" fillId="2" borderId="0" xfId="0" applyFont="1" applyFill="1" applyAlignment="1" applyProtection="1">
      <alignment horizontal="center" vertical="center"/>
      <protection locked="0"/>
    </xf>
    <xf numFmtId="0" fontId="26" fillId="0" borderId="0" xfId="0" applyFont="1"/>
    <xf numFmtId="0" fontId="16" fillId="2" borderId="1" xfId="0" applyFont="1" applyFill="1" applyBorder="1" applyAlignment="1">
      <alignment horizontal="center" vertical="center"/>
    </xf>
    <xf numFmtId="0" fontId="34" fillId="5" borderId="45" xfId="0" applyFont="1" applyFill="1" applyBorder="1" applyAlignment="1" applyProtection="1">
      <alignment horizontal="center"/>
      <protection locked="0"/>
    </xf>
    <xf numFmtId="10" fontId="33" fillId="7" borderId="45" xfId="2" applyNumberFormat="1" applyFont="1" applyFill="1" applyBorder="1" applyAlignment="1" applyProtection="1">
      <alignment horizontal="center"/>
    </xf>
    <xf numFmtId="10" fontId="35" fillId="7" borderId="48" xfId="1" applyNumberFormat="1" applyFont="1" applyFill="1" applyBorder="1" applyAlignment="1" applyProtection="1">
      <alignment horizontal="center"/>
    </xf>
    <xf numFmtId="10" fontId="33" fillId="0" borderId="45" xfId="2" applyNumberFormat="1" applyFont="1" applyFill="1" applyBorder="1" applyAlignment="1" applyProtection="1">
      <alignment horizontal="center"/>
    </xf>
    <xf numFmtId="9" fontId="35" fillId="8" borderId="60" xfId="2" applyFont="1" applyFill="1" applyBorder="1" applyAlignment="1" applyProtection="1">
      <alignment horizontal="center"/>
    </xf>
    <xf numFmtId="9" fontId="36" fillId="9" borderId="89" xfId="2" applyFont="1" applyFill="1" applyBorder="1" applyAlignment="1" applyProtection="1">
      <alignment horizontal="center"/>
    </xf>
    <xf numFmtId="9" fontId="35" fillId="8" borderId="66" xfId="2" applyFont="1" applyFill="1" applyBorder="1" applyAlignment="1" applyProtection="1">
      <alignment horizontal="center"/>
    </xf>
    <xf numFmtId="9" fontId="36" fillId="9" borderId="90" xfId="2" applyFont="1" applyFill="1" applyBorder="1" applyAlignment="1" applyProtection="1">
      <alignment horizontal="center"/>
    </xf>
    <xf numFmtId="10" fontId="35" fillId="7" borderId="45" xfId="1" applyNumberFormat="1" applyFont="1" applyFill="1" applyBorder="1" applyAlignment="1" applyProtection="1">
      <alignment horizontal="center"/>
    </xf>
    <xf numFmtId="10" fontId="33" fillId="0" borderId="76" xfId="2" applyNumberFormat="1" applyFont="1" applyFill="1" applyBorder="1" applyAlignment="1" applyProtection="1"/>
    <xf numFmtId="10" fontId="33" fillId="0" borderId="77" xfId="2" applyNumberFormat="1" applyFont="1" applyFill="1" applyBorder="1" applyAlignment="1" applyProtection="1"/>
    <xf numFmtId="10" fontId="35" fillId="0" borderId="45" xfId="1" applyNumberFormat="1" applyFont="1" applyFill="1" applyBorder="1" applyAlignment="1" applyProtection="1">
      <alignment horizontal="center"/>
    </xf>
    <xf numFmtId="10" fontId="33" fillId="0" borderId="45" xfId="2" applyNumberFormat="1" applyFont="1" applyFill="1" applyBorder="1" applyAlignment="1" applyProtection="1">
      <alignment horizontal="left"/>
    </xf>
    <xf numFmtId="0" fontId="0" fillId="4" borderId="2" xfId="0" applyFill="1" applyBorder="1" applyAlignment="1">
      <alignment wrapText="1"/>
    </xf>
    <xf numFmtId="164" fontId="0" fillId="3" borderId="41" xfId="1" applyFont="1" applyFill="1" applyBorder="1" applyAlignment="1" applyProtection="1">
      <alignment horizontal="center" vertical="center"/>
      <protection locked="0"/>
    </xf>
    <xf numFmtId="44" fontId="0" fillId="3" borderId="41" xfId="1" applyNumberFormat="1" applyFont="1" applyFill="1" applyBorder="1" applyAlignment="1" applyProtection="1">
      <alignment horizontal="center" vertical="center"/>
      <protection locked="0"/>
    </xf>
    <xf numFmtId="0" fontId="0" fillId="10" borderId="0" xfId="0" applyFill="1" applyAlignment="1">
      <alignment horizontal="center" wrapText="1"/>
    </xf>
    <xf numFmtId="0" fontId="0" fillId="10" borderId="0" xfId="0" applyFill="1" applyAlignment="1">
      <alignment horizontal="center"/>
    </xf>
    <xf numFmtId="0" fontId="16" fillId="10" borderId="0" xfId="0" applyFont="1" applyFill="1" applyAlignment="1">
      <alignment horizontal="center" vertical="center" wrapText="1"/>
    </xf>
    <xf numFmtId="0" fontId="16" fillId="10" borderId="0" xfId="0" applyFont="1" applyFill="1" applyAlignment="1">
      <alignment horizontal="center" vertical="center"/>
    </xf>
    <xf numFmtId="44" fontId="0" fillId="4" borderId="1" xfId="1" applyNumberFormat="1" applyFont="1" applyFill="1" applyBorder="1" applyAlignment="1" applyProtection="1">
      <alignment horizontal="center" vertical="center"/>
    </xf>
    <xf numFmtId="10" fontId="25" fillId="0" borderId="3" xfId="2" applyNumberFormat="1" applyFont="1" applyBorder="1" applyAlignment="1" applyProtection="1">
      <alignment horizontal="right" vertical="center"/>
    </xf>
    <xf numFmtId="164" fontId="26" fillId="4" borderId="54" xfId="1" applyFont="1" applyFill="1" applyBorder="1" applyAlignment="1" applyProtection="1">
      <alignment horizontal="center"/>
    </xf>
    <xf numFmtId="10" fontId="29" fillId="4" borderId="103" xfId="2" applyNumberFormat="1" applyFont="1" applyFill="1" applyBorder="1" applyAlignment="1" applyProtection="1">
      <alignment horizontal="center"/>
    </xf>
    <xf numFmtId="164" fontId="26" fillId="4" borderId="81" xfId="1" applyFont="1" applyFill="1" applyBorder="1" applyAlignment="1" applyProtection="1">
      <alignment horizontal="center"/>
    </xf>
    <xf numFmtId="10" fontId="29" fillId="4" borderId="68" xfId="1" applyNumberFormat="1" applyFont="1" applyFill="1" applyBorder="1" applyAlignment="1" applyProtection="1">
      <alignment horizontal="center"/>
    </xf>
    <xf numFmtId="164" fontId="38" fillId="4" borderId="104" xfId="1" applyFont="1" applyFill="1" applyBorder="1" applyAlignment="1" applyProtection="1">
      <alignment horizontal="center"/>
    </xf>
    <xf numFmtId="10" fontId="38" fillId="4" borderId="104" xfId="1" applyNumberFormat="1" applyFont="1" applyFill="1" applyBorder="1" applyAlignment="1" applyProtection="1">
      <alignment horizontal="center"/>
    </xf>
    <xf numFmtId="10" fontId="37" fillId="4" borderId="104" xfId="2" applyNumberFormat="1" applyFont="1" applyFill="1" applyBorder="1" applyAlignment="1" applyProtection="1">
      <alignment horizontal="center"/>
    </xf>
    <xf numFmtId="10" fontId="37" fillId="4" borderId="104" xfId="1" applyNumberFormat="1" applyFont="1" applyFill="1" applyBorder="1" applyAlignment="1" applyProtection="1">
      <alignment horizontal="center"/>
    </xf>
    <xf numFmtId="10" fontId="33" fillId="4" borderId="45" xfId="2" applyNumberFormat="1" applyFont="1" applyFill="1" applyBorder="1" applyAlignment="1" applyProtection="1">
      <alignment horizontal="center"/>
    </xf>
    <xf numFmtId="0" fontId="6" fillId="0" borderId="0" xfId="33"/>
    <xf numFmtId="0" fontId="5" fillId="0" borderId="0" xfId="33" applyFont="1"/>
    <xf numFmtId="0" fontId="4" fillId="0" borderId="0" xfId="33" applyFont="1"/>
    <xf numFmtId="0" fontId="0" fillId="0" borderId="2" xfId="0" applyBorder="1" applyAlignment="1">
      <alignment wrapText="1"/>
    </xf>
    <xf numFmtId="165" fontId="35" fillId="7" borderId="49" xfId="2" applyNumberFormat="1" applyFont="1" applyFill="1" applyBorder="1" applyAlignment="1" applyProtection="1">
      <alignment horizontal="center"/>
    </xf>
    <xf numFmtId="164" fontId="9" fillId="3" borderId="41" xfId="1" applyFont="1" applyFill="1" applyBorder="1" applyAlignment="1" applyProtection="1">
      <alignment horizontal="center"/>
    </xf>
    <xf numFmtId="0" fontId="9" fillId="6" borderId="0" xfId="0" applyFont="1" applyFill="1"/>
    <xf numFmtId="167" fontId="25" fillId="12" borderId="58" xfId="2" applyNumberFormat="1" applyFont="1" applyFill="1" applyBorder="1" applyAlignment="1" applyProtection="1">
      <alignment horizontal="center"/>
    </xf>
    <xf numFmtId="10" fontId="33" fillId="0" borderId="45" xfId="2" applyNumberFormat="1" applyFont="1" applyFill="1" applyBorder="1" applyAlignment="1" applyProtection="1">
      <alignment horizontal="left" wrapText="1"/>
    </xf>
    <xf numFmtId="0" fontId="39" fillId="2" borderId="0" xfId="0" applyFont="1" applyFill="1" applyAlignment="1">
      <alignment vertical="center"/>
    </xf>
    <xf numFmtId="0" fontId="40" fillId="2" borderId="0" xfId="0" applyFont="1" applyFill="1" applyAlignment="1">
      <alignment horizontal="center" vertical="center"/>
    </xf>
    <xf numFmtId="0" fontId="40" fillId="2" borderId="1" xfId="0" applyFont="1" applyFill="1" applyBorder="1" applyAlignment="1">
      <alignment horizontal="center" vertical="center"/>
    </xf>
    <xf numFmtId="164" fontId="0" fillId="5" borderId="41" xfId="1" applyFont="1" applyFill="1" applyBorder="1" applyAlignment="1" applyProtection="1">
      <alignment horizontal="right" vertical="center"/>
    </xf>
    <xf numFmtId="44" fontId="0" fillId="5" borderId="41" xfId="1" applyNumberFormat="1" applyFont="1" applyFill="1" applyBorder="1" applyAlignment="1" applyProtection="1">
      <alignment horizontal="right" vertical="center"/>
    </xf>
    <xf numFmtId="167" fontId="0" fillId="5" borderId="41" xfId="2" applyNumberFormat="1" applyFont="1" applyFill="1" applyBorder="1" applyAlignment="1" applyProtection="1">
      <alignment horizontal="right" vertical="center"/>
    </xf>
    <xf numFmtId="165" fontId="9" fillId="4" borderId="100" xfId="0" applyNumberFormat="1" applyFont="1" applyFill="1" applyBorder="1" applyAlignment="1">
      <alignment horizontal="right" vertical="center"/>
    </xf>
    <xf numFmtId="165" fontId="9" fillId="4" borderId="101" xfId="0" applyNumberFormat="1" applyFont="1" applyFill="1" applyBorder="1" applyAlignment="1">
      <alignment horizontal="right" vertical="center"/>
    </xf>
    <xf numFmtId="10" fontId="9" fillId="4" borderId="100" xfId="0" applyNumberFormat="1" applyFont="1" applyFill="1" applyBorder="1" applyAlignment="1">
      <alignment vertical="center"/>
    </xf>
    <xf numFmtId="44" fontId="0" fillId="3" borderId="41" xfId="1" applyNumberFormat="1" applyFont="1" applyFill="1" applyBorder="1" applyAlignment="1" applyProtection="1">
      <alignment horizontal="center" vertical="center"/>
    </xf>
    <xf numFmtId="10" fontId="8" fillId="5" borderId="41" xfId="2" applyNumberFormat="1" applyFill="1" applyBorder="1" applyAlignment="1" applyProtection="1">
      <alignment horizontal="right" vertical="center"/>
    </xf>
    <xf numFmtId="166" fontId="9" fillId="5" borderId="41" xfId="0" applyNumberFormat="1" applyFont="1" applyFill="1" applyBorder="1" applyAlignment="1">
      <alignment horizontal="center"/>
    </xf>
    <xf numFmtId="44" fontId="9" fillId="0" borderId="0" xfId="0" applyNumberFormat="1" applyFont="1" applyAlignment="1">
      <alignment horizontal="center"/>
    </xf>
    <xf numFmtId="164" fontId="9" fillId="5" borderId="41" xfId="1" applyFont="1" applyFill="1" applyBorder="1" applyAlignment="1" applyProtection="1">
      <alignment horizontal="center"/>
    </xf>
    <xf numFmtId="0" fontId="38" fillId="4" borderId="104" xfId="0" applyFont="1" applyFill="1" applyBorder="1" applyAlignment="1">
      <alignment horizontal="center"/>
    </xf>
    <xf numFmtId="0" fontId="26" fillId="4" borderId="54" xfId="0" applyFont="1" applyFill="1" applyBorder="1" applyAlignment="1">
      <alignment horizontal="center"/>
    </xf>
    <xf numFmtId="0" fontId="38" fillId="4" borderId="102" xfId="0" applyFont="1" applyFill="1" applyBorder="1" applyAlignment="1">
      <alignment horizontal="center"/>
    </xf>
    <xf numFmtId="44" fontId="38" fillId="4" borderId="104" xfId="0" applyNumberFormat="1" applyFont="1" applyFill="1" applyBorder="1"/>
    <xf numFmtId="0" fontId="0" fillId="0" borderId="52" xfId="0" applyBorder="1" applyAlignment="1">
      <alignment horizontal="left"/>
    </xf>
    <xf numFmtId="0" fontId="0" fillId="0" borderId="53" xfId="0" applyBorder="1" applyAlignment="1">
      <alignment horizontal="left"/>
    </xf>
    <xf numFmtId="0" fontId="0" fillId="0" borderId="54" xfId="0" applyBorder="1" applyAlignment="1">
      <alignment horizontal="left"/>
    </xf>
    <xf numFmtId="0" fontId="25" fillId="5" borderId="61" xfId="0" applyFont="1" applyFill="1" applyBorder="1" applyAlignment="1">
      <alignment horizontal="center"/>
    </xf>
    <xf numFmtId="1" fontId="25" fillId="5" borderId="61" xfId="0" applyNumberFormat="1" applyFont="1" applyFill="1" applyBorder="1" applyAlignment="1">
      <alignment horizontal="center"/>
    </xf>
    <xf numFmtId="167" fontId="25" fillId="5" borderId="61" xfId="0" applyNumberFormat="1" applyFont="1" applyFill="1" applyBorder="1" applyAlignment="1">
      <alignment horizontal="center"/>
    </xf>
    <xf numFmtId="0" fontId="9" fillId="0" borderId="3" xfId="0" applyFont="1" applyBorder="1" applyAlignment="1">
      <alignment vertical="center"/>
    </xf>
    <xf numFmtId="167" fontId="25" fillId="12" borderId="61" xfId="0" applyNumberFormat="1" applyFont="1" applyFill="1" applyBorder="1" applyAlignment="1">
      <alignment horizontal="center"/>
    </xf>
    <xf numFmtId="0" fontId="0" fillId="0" borderId="1" xfId="0" applyBorder="1" applyAlignment="1">
      <alignment vertical="center"/>
    </xf>
    <xf numFmtId="167" fontId="25" fillId="5" borderId="58" xfId="2" applyNumberFormat="1" applyFont="1" applyFill="1" applyBorder="1" applyAlignment="1" applyProtection="1">
      <alignment horizontal="center"/>
    </xf>
    <xf numFmtId="167" fontId="0" fillId="11" borderId="41" xfId="2" applyNumberFormat="1" applyFont="1" applyFill="1" applyBorder="1" applyAlignment="1" applyProtection="1">
      <alignment horizontal="right" vertical="center"/>
    </xf>
    <xf numFmtId="166" fontId="25" fillId="4" borderId="61" xfId="0" applyNumberFormat="1" applyFont="1" applyFill="1" applyBorder="1" applyAlignment="1">
      <alignment horizontal="center"/>
    </xf>
    <xf numFmtId="166" fontId="25" fillId="7" borderId="61" xfId="0" applyNumberFormat="1" applyFont="1" applyFill="1" applyBorder="1" applyAlignment="1">
      <alignment horizontal="center"/>
    </xf>
    <xf numFmtId="166" fontId="25" fillId="5" borderId="61" xfId="0" applyNumberFormat="1" applyFont="1" applyFill="1" applyBorder="1" applyAlignment="1">
      <alignment horizontal="center"/>
    </xf>
    <xf numFmtId="166" fontId="25" fillId="4" borderId="55" xfId="0" applyNumberFormat="1" applyFont="1" applyFill="1" applyBorder="1" applyAlignment="1">
      <alignment horizontal="center"/>
    </xf>
    <xf numFmtId="166" fontId="25" fillId="4" borderId="66" xfId="0" applyNumberFormat="1" applyFont="1" applyFill="1" applyBorder="1" applyAlignment="1">
      <alignment horizontal="center"/>
    </xf>
    <xf numFmtId="166" fontId="25" fillId="5" borderId="58" xfId="2" applyNumberFormat="1" applyFont="1" applyFill="1" applyBorder="1" applyAlignment="1" applyProtection="1">
      <alignment horizontal="center"/>
    </xf>
    <xf numFmtId="0" fontId="32" fillId="4" borderId="4" xfId="0" applyFont="1" applyFill="1" applyBorder="1"/>
    <xf numFmtId="0" fontId="33" fillId="4" borderId="4" xfId="0" applyFont="1" applyFill="1" applyBorder="1"/>
    <xf numFmtId="0" fontId="33" fillId="4" borderId="0" xfId="0" applyFont="1" applyFill="1"/>
    <xf numFmtId="0" fontId="34" fillId="5" borderId="45" xfId="0" applyFont="1" applyFill="1" applyBorder="1" applyAlignment="1">
      <alignment horizontal="center"/>
    </xf>
    <xf numFmtId="0" fontId="33" fillId="5" borderId="45" xfId="0" applyFont="1" applyFill="1" applyBorder="1"/>
    <xf numFmtId="10" fontId="33" fillId="4" borderId="45" xfId="0" applyNumberFormat="1" applyFont="1" applyFill="1" applyBorder="1" applyAlignment="1">
      <alignment horizontal="center"/>
    </xf>
    <xf numFmtId="0" fontId="33" fillId="4" borderId="4" xfId="0" applyFont="1" applyFill="1" applyBorder="1" applyAlignment="1">
      <alignment wrapText="1"/>
    </xf>
    <xf numFmtId="0" fontId="33" fillId="4" borderId="45" xfId="0" applyFont="1" applyFill="1" applyBorder="1"/>
    <xf numFmtId="0" fontId="33" fillId="0" borderId="45" xfId="0" applyFont="1" applyBorder="1"/>
    <xf numFmtId="10" fontId="33" fillId="5" borderId="45" xfId="2" applyNumberFormat="1" applyFont="1" applyFill="1" applyBorder="1" applyAlignment="1" applyProtection="1">
      <alignment horizontal="center"/>
    </xf>
    <xf numFmtId="0" fontId="33" fillId="4" borderId="45" xfId="0" applyFont="1" applyFill="1" applyBorder="1" applyAlignment="1">
      <alignment wrapText="1"/>
    </xf>
    <xf numFmtId="0" fontId="33" fillId="4" borderId="0" xfId="0" applyFont="1" applyFill="1" applyAlignment="1">
      <alignment horizontal="center"/>
    </xf>
    <xf numFmtId="0" fontId="33" fillId="4" borderId="55" xfId="0" applyFont="1" applyFill="1" applyBorder="1"/>
    <xf numFmtId="44" fontId="35" fillId="7" borderId="48" xfId="0" applyNumberFormat="1" applyFont="1" applyFill="1" applyBorder="1"/>
    <xf numFmtId="44" fontId="33" fillId="5" borderId="45" xfId="2" applyNumberFormat="1" applyFont="1" applyFill="1" applyBorder="1" applyAlignment="1" applyProtection="1">
      <alignment horizontal="center"/>
    </xf>
    <xf numFmtId="0" fontId="33" fillId="0" borderId="70" xfId="0" applyFont="1" applyBorder="1" applyAlignment="1">
      <alignment horizontal="center"/>
    </xf>
    <xf numFmtId="0" fontId="33" fillId="4" borderId="50" xfId="0" applyFont="1" applyFill="1" applyBorder="1" applyAlignment="1">
      <alignment horizontal="center"/>
    </xf>
    <xf numFmtId="0" fontId="33" fillId="4" borderId="45" xfId="0" applyFont="1" applyFill="1" applyBorder="1" applyAlignment="1">
      <alignment horizontal="center"/>
    </xf>
    <xf numFmtId="0" fontId="33" fillId="4" borderId="45" xfId="0" applyFont="1" applyFill="1" applyBorder="1" applyAlignment="1">
      <alignment horizontal="left" wrapText="1"/>
    </xf>
    <xf numFmtId="0" fontId="32" fillId="4" borderId="57" xfId="0" applyFont="1" applyFill="1" applyBorder="1"/>
    <xf numFmtId="9" fontId="33" fillId="5" borderId="45" xfId="2" applyFont="1" applyFill="1" applyBorder="1" applyAlignment="1" applyProtection="1">
      <alignment horizontal="center"/>
    </xf>
    <xf numFmtId="0" fontId="33" fillId="4" borderId="58" xfId="0" applyFont="1" applyFill="1" applyBorder="1"/>
    <xf numFmtId="0" fontId="33" fillId="4" borderId="0" xfId="0" applyFont="1" applyFill="1" applyAlignment="1">
      <alignment horizontal="left" wrapText="1"/>
    </xf>
    <xf numFmtId="0" fontId="33" fillId="4" borderId="70" xfId="0" applyFont="1" applyFill="1" applyBorder="1" applyAlignment="1">
      <alignment horizontal="center"/>
    </xf>
    <xf numFmtId="9" fontId="33" fillId="5" borderId="45" xfId="0" applyNumberFormat="1" applyFont="1" applyFill="1" applyBorder="1" applyAlignment="1">
      <alignment horizontal="center"/>
    </xf>
    <xf numFmtId="0" fontId="36" fillId="4" borderId="91" xfId="0" applyFont="1" applyFill="1" applyBorder="1"/>
    <xf numFmtId="0" fontId="33" fillId="4" borderId="0" xfId="0" applyFont="1" applyFill="1" applyAlignment="1">
      <alignment horizontal="center" wrapText="1"/>
    </xf>
    <xf numFmtId="0" fontId="33" fillId="0" borderId="45" xfId="0" applyFont="1" applyBorder="1" applyAlignment="1">
      <alignment horizontal="left"/>
    </xf>
    <xf numFmtId="0" fontId="33" fillId="0" borderId="76" xfId="0" applyFont="1" applyBorder="1"/>
    <xf numFmtId="0" fontId="33" fillId="0" borderId="79" xfId="0" applyFont="1" applyBorder="1"/>
    <xf numFmtId="0" fontId="32" fillId="4" borderId="45" xfId="0" applyFont="1" applyFill="1" applyBorder="1"/>
    <xf numFmtId="0" fontId="33" fillId="4" borderId="45" xfId="0" applyFont="1" applyFill="1" applyBorder="1" applyAlignment="1">
      <alignment horizontal="left"/>
    </xf>
    <xf numFmtId="0" fontId="32" fillId="4" borderId="0" xfId="0" applyFont="1" applyFill="1"/>
    <xf numFmtId="0" fontId="13" fillId="4" borderId="4" xfId="0" applyFont="1" applyFill="1" applyBorder="1"/>
    <xf numFmtId="0" fontId="33" fillId="4" borderId="49" xfId="0" applyFont="1" applyFill="1" applyBorder="1"/>
    <xf numFmtId="167" fontId="33" fillId="5" borderId="49" xfId="2" applyNumberFormat="1" applyFont="1" applyFill="1" applyBorder="1" applyAlignment="1" applyProtection="1">
      <alignment horizontal="center"/>
    </xf>
    <xf numFmtId="0" fontId="32" fillId="4" borderId="70" xfId="0" applyFont="1" applyFill="1" applyBorder="1"/>
    <xf numFmtId="0" fontId="32" fillId="4" borderId="45" xfId="0" applyFont="1" applyFill="1" applyBorder="1" applyAlignment="1">
      <alignment horizontal="center"/>
    </xf>
    <xf numFmtId="165" fontId="33" fillId="5" borderId="49" xfId="2" applyNumberFormat="1" applyFont="1" applyFill="1" applyBorder="1" applyAlignment="1" applyProtection="1">
      <alignment horizontal="center"/>
    </xf>
    <xf numFmtId="10" fontId="33" fillId="4" borderId="0" xfId="0" applyNumberFormat="1" applyFont="1" applyFill="1"/>
    <xf numFmtId="9" fontId="33" fillId="4" borderId="0" xfId="0" applyNumberFormat="1" applyFont="1" applyFill="1"/>
    <xf numFmtId="164" fontId="33" fillId="4" borderId="70" xfId="1" applyFont="1" applyFill="1" applyBorder="1" applyAlignment="1" applyProtection="1">
      <alignment horizontal="center"/>
    </xf>
    <xf numFmtId="164" fontId="33" fillId="4" borderId="50" xfId="1" applyFont="1" applyFill="1" applyBorder="1" applyAlignment="1" applyProtection="1">
      <alignment horizontal="center"/>
    </xf>
    <xf numFmtId="10" fontId="33" fillId="0" borderId="45" xfId="2" applyNumberFormat="1" applyFont="1" applyFill="1" applyBorder="1" applyAlignment="1" applyProtection="1">
      <alignment horizontal="left" wrapText="1"/>
    </xf>
    <xf numFmtId="0" fontId="33" fillId="0" borderId="45" xfId="0" applyFont="1" applyBorder="1" applyAlignment="1">
      <alignment horizontal="left" wrapText="1"/>
    </xf>
    <xf numFmtId="0" fontId="0" fillId="0" borderId="65" xfId="0" applyBorder="1" applyAlignment="1">
      <alignment horizontal="left"/>
    </xf>
    <xf numFmtId="0" fontId="0" fillId="0" borderId="80" xfId="0" applyBorder="1" applyAlignment="1">
      <alignment horizontal="left"/>
    </xf>
    <xf numFmtId="0" fontId="0" fillId="0" borderId="81" xfId="0" applyBorder="1" applyAlignment="1">
      <alignment horizontal="left"/>
    </xf>
    <xf numFmtId="10" fontId="0" fillId="4" borderId="52" xfId="2" applyNumberFormat="1" applyFont="1" applyFill="1" applyBorder="1" applyAlignment="1" applyProtection="1">
      <alignment horizontal="center"/>
    </xf>
    <xf numFmtId="10" fontId="0" fillId="4" borderId="54" xfId="2" applyNumberFormat="1" applyFont="1" applyFill="1" applyBorder="1" applyAlignment="1" applyProtection="1">
      <alignment horizontal="center"/>
    </xf>
    <xf numFmtId="0" fontId="0" fillId="4" borderId="93" xfId="0" applyFill="1" applyBorder="1" applyAlignment="1" applyProtection="1">
      <alignment horizontal="left" vertical="top" wrapText="1"/>
      <protection locked="0"/>
    </xf>
    <xf numFmtId="0" fontId="0" fillId="4" borderId="94" xfId="0" applyFill="1" applyBorder="1" applyAlignment="1" applyProtection="1">
      <alignment horizontal="left" vertical="top" wrapText="1"/>
      <protection locked="0"/>
    </xf>
    <xf numFmtId="0" fontId="0" fillId="4" borderId="95" xfId="0" applyFill="1" applyBorder="1" applyAlignment="1" applyProtection="1">
      <alignment horizontal="left" vertical="top" wrapText="1"/>
      <protection locked="0"/>
    </xf>
    <xf numFmtId="0" fontId="0" fillId="4" borderId="96"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97" xfId="0" applyFill="1" applyBorder="1" applyAlignment="1" applyProtection="1">
      <alignment horizontal="left" vertical="top" wrapText="1"/>
      <protection locked="0"/>
    </xf>
    <xf numFmtId="0" fontId="0" fillId="4" borderId="98"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99" xfId="0" applyFill="1" applyBorder="1" applyAlignment="1" applyProtection="1">
      <alignment horizontal="left" vertical="top" wrapText="1"/>
      <protection locked="0"/>
    </xf>
    <xf numFmtId="0" fontId="0" fillId="7" borderId="48" xfId="0" applyFill="1" applyBorder="1" applyAlignment="1">
      <alignment horizontal="center" vertical="center"/>
    </xf>
    <xf numFmtId="0" fontId="0" fillId="7" borderId="73" xfId="0" applyFill="1" applyBorder="1" applyAlignment="1">
      <alignment horizontal="center" vertical="center"/>
    </xf>
    <xf numFmtId="9" fontId="0" fillId="5" borderId="48" xfId="0" applyNumberFormat="1" applyFill="1" applyBorder="1" applyAlignment="1" applyProtection="1">
      <alignment horizontal="center"/>
      <protection locked="0"/>
    </xf>
    <xf numFmtId="0" fontId="0" fillId="5" borderId="73" xfId="0" applyFill="1" applyBorder="1" applyAlignment="1" applyProtection="1">
      <alignment horizontal="center"/>
      <protection locked="0"/>
    </xf>
    <xf numFmtId="10" fontId="8" fillId="0" borderId="75" xfId="2" applyNumberFormat="1" applyFont="1" applyFill="1" applyBorder="1" applyAlignment="1" applyProtection="1">
      <alignment horizontal="left"/>
    </xf>
    <xf numFmtId="10" fontId="8" fillId="0" borderId="76" xfId="2" applyNumberFormat="1" applyFont="1" applyFill="1" applyBorder="1" applyAlignment="1" applyProtection="1">
      <alignment horizontal="left"/>
    </xf>
    <xf numFmtId="10" fontId="8" fillId="0" borderId="77" xfId="2" applyNumberFormat="1" applyFont="1" applyFill="1" applyBorder="1" applyAlignment="1" applyProtection="1">
      <alignment horizontal="left"/>
    </xf>
    <xf numFmtId="0" fontId="8" fillId="0" borderId="78" xfId="0" applyFont="1" applyBorder="1" applyAlignment="1">
      <alignment horizontal="left"/>
    </xf>
    <xf numFmtId="0" fontId="8" fillId="0" borderId="76" xfId="0" applyFont="1" applyBorder="1" applyAlignment="1">
      <alignment horizontal="left"/>
    </xf>
    <xf numFmtId="0" fontId="8" fillId="0" borderId="79" xfId="0" applyFont="1" applyBorder="1" applyAlignment="1">
      <alignment horizontal="left"/>
    </xf>
    <xf numFmtId="0" fontId="16" fillId="2" borderId="1" xfId="0" applyFont="1" applyFill="1" applyBorder="1" applyAlignment="1" applyProtection="1">
      <alignment horizontal="center" vertical="center"/>
      <protection locked="0"/>
    </xf>
    <xf numFmtId="167" fontId="0" fillId="4" borderId="52" xfId="2" applyNumberFormat="1" applyFont="1" applyFill="1" applyBorder="1" applyAlignment="1" applyProtection="1">
      <alignment horizontal="center"/>
    </xf>
    <xf numFmtId="167" fontId="0" fillId="4" borderId="54" xfId="2" applyNumberFormat="1" applyFont="1" applyFill="1" applyBorder="1" applyAlignment="1" applyProtection="1">
      <alignment horizontal="center"/>
    </xf>
    <xf numFmtId="0" fontId="0" fillId="4" borderId="93" xfId="0" applyFill="1" applyBorder="1" applyAlignment="1">
      <alignment horizontal="left" vertical="top" wrapText="1"/>
    </xf>
    <xf numFmtId="0" fontId="0" fillId="4" borderId="94" xfId="0" applyFill="1" applyBorder="1" applyAlignment="1">
      <alignment horizontal="left" vertical="top" wrapText="1"/>
    </xf>
    <xf numFmtId="0" fontId="0" fillId="4" borderId="95" xfId="0" applyFill="1" applyBorder="1" applyAlignment="1">
      <alignment horizontal="left" vertical="top" wrapText="1"/>
    </xf>
    <xf numFmtId="0" fontId="0" fillId="4" borderId="96" xfId="0" applyFill="1" applyBorder="1" applyAlignment="1">
      <alignment horizontal="left" vertical="top" wrapText="1"/>
    </xf>
    <xf numFmtId="0" fontId="0" fillId="4" borderId="0" xfId="0" applyFill="1" applyAlignment="1">
      <alignment horizontal="left" vertical="top" wrapText="1"/>
    </xf>
    <xf numFmtId="0" fontId="0" fillId="4" borderId="97" xfId="0" applyFill="1" applyBorder="1" applyAlignment="1">
      <alignment horizontal="left" vertical="top" wrapText="1"/>
    </xf>
    <xf numFmtId="0" fontId="0" fillId="4" borderId="98" xfId="0" applyFill="1" applyBorder="1" applyAlignment="1">
      <alignment horizontal="left" vertical="top" wrapText="1"/>
    </xf>
    <xf numFmtId="0" fontId="0" fillId="4" borderId="4" xfId="0" applyFill="1" applyBorder="1" applyAlignment="1">
      <alignment horizontal="left" vertical="top" wrapText="1"/>
    </xf>
    <xf numFmtId="0" fontId="0" fillId="4" borderId="99" xfId="0" applyFill="1" applyBorder="1" applyAlignment="1">
      <alignment horizontal="left" vertical="top" wrapText="1"/>
    </xf>
    <xf numFmtId="0" fontId="0" fillId="0" borderId="52" xfId="0" applyBorder="1" applyAlignment="1">
      <alignment horizontal="left"/>
    </xf>
    <xf numFmtId="0" fontId="0" fillId="0" borderId="53" xfId="0" applyBorder="1" applyAlignment="1">
      <alignment horizontal="left"/>
    </xf>
    <xf numFmtId="0" fontId="0" fillId="0" borderId="54" xfId="0" applyBorder="1" applyAlignment="1">
      <alignment horizontal="left"/>
    </xf>
    <xf numFmtId="9" fontId="0" fillId="5" borderId="48" xfId="0" applyNumberFormat="1" applyFill="1" applyBorder="1" applyAlignment="1">
      <alignment horizontal="center"/>
    </xf>
    <xf numFmtId="0" fontId="0" fillId="5" borderId="73" xfId="0" applyFill="1" applyBorder="1" applyAlignment="1">
      <alignment horizontal="center"/>
    </xf>
    <xf numFmtId="0" fontId="0" fillId="5" borderId="48" xfId="0" applyFill="1" applyBorder="1" applyAlignment="1">
      <alignment horizontal="center" vertical="center"/>
    </xf>
    <xf numFmtId="0" fontId="0" fillId="5" borderId="73" xfId="0" applyFill="1" applyBorder="1" applyAlignment="1">
      <alignment horizontal="center" vertical="center"/>
    </xf>
    <xf numFmtId="0" fontId="40" fillId="2" borderId="1" xfId="0" applyFont="1" applyFill="1" applyBorder="1" applyAlignment="1">
      <alignment horizontal="center" vertical="center"/>
    </xf>
    <xf numFmtId="0" fontId="39" fillId="2" borderId="0" xfId="0" applyFont="1" applyFill="1" applyAlignment="1">
      <alignment horizontal="left" vertical="center"/>
    </xf>
    <xf numFmtId="0" fontId="39" fillId="2" borderId="1" xfId="0" applyFont="1" applyFill="1" applyBorder="1" applyAlignment="1">
      <alignment horizontal="left" vertical="center"/>
    </xf>
    <xf numFmtId="0" fontId="16" fillId="2" borderId="1" xfId="0" applyFont="1" applyFill="1" applyBorder="1" applyAlignment="1">
      <alignment horizontal="center" vertical="center"/>
    </xf>
    <xf numFmtId="0" fontId="0" fillId="4" borderId="48" xfId="0" applyFill="1" applyBorder="1" applyAlignment="1">
      <alignment horizontal="center" wrapText="1"/>
    </xf>
    <xf numFmtId="0" fontId="0" fillId="4" borderId="73" xfId="0" applyFill="1" applyBorder="1" applyAlignment="1">
      <alignment horizontal="center" wrapText="1"/>
    </xf>
    <xf numFmtId="0" fontId="0" fillId="3" borderId="48" xfId="0" applyFill="1" applyBorder="1" applyAlignment="1">
      <alignment horizontal="center"/>
    </xf>
    <xf numFmtId="0" fontId="0" fillId="3" borderId="73" xfId="0" applyFill="1" applyBorder="1" applyAlignment="1">
      <alignment horizontal="center"/>
    </xf>
    <xf numFmtId="0" fontId="0" fillId="5" borderId="48" xfId="0" applyFill="1" applyBorder="1" applyAlignment="1">
      <alignment horizontal="center"/>
    </xf>
    <xf numFmtId="2" fontId="0" fillId="5" borderId="48" xfId="0" applyNumberFormat="1" applyFill="1" applyBorder="1" applyAlignment="1">
      <alignment horizontal="center"/>
    </xf>
    <xf numFmtId="2" fontId="0" fillId="5" borderId="73" xfId="0" applyNumberFormat="1" applyFill="1" applyBorder="1" applyAlignment="1">
      <alignment horizontal="center"/>
    </xf>
    <xf numFmtId="0" fontId="16" fillId="2" borderId="0" xfId="0" applyFont="1" applyFill="1" applyAlignment="1" applyProtection="1">
      <alignment horizontal="center"/>
      <protection locked="0"/>
    </xf>
    <xf numFmtId="0" fontId="9" fillId="4" borderId="1" xfId="0" applyFont="1" applyFill="1" applyBorder="1" applyAlignment="1">
      <alignment horizontal="center"/>
    </xf>
    <xf numFmtId="164" fontId="16" fillId="2" borderId="0" xfId="0" applyNumberFormat="1" applyFont="1" applyFill="1" applyAlignment="1">
      <alignment horizontal="center"/>
    </xf>
    <xf numFmtId="0" fontId="9" fillId="2" borderId="0" xfId="0" quotePrefix="1" applyFont="1" applyFill="1" applyAlignment="1">
      <alignment horizontal="left"/>
    </xf>
  </cellXfs>
  <cellStyles count="37">
    <cellStyle name="Currency" xfId="1" builtinId="4"/>
    <cellStyle name="Hyperlink" xfId="4" builtinId="8"/>
    <cellStyle name="Komma 2" xfId="32" xr:uid="{00000000-0005-0000-0000-000002000000}"/>
    <cellStyle name="Normal" xfId="0" builtinId="0"/>
    <cellStyle name="Normal 2" xfId="33" xr:uid="{21A8163B-8F1C-4491-8B3E-B160DA52100F}"/>
    <cellStyle name="Normal 2 2 2" xfId="35" xr:uid="{FA0D2E35-04FD-44E7-87A4-5AE0C578676B}"/>
    <cellStyle name="Normal 2 3" xfId="34" xr:uid="{CB8A5C84-B15F-4859-8D25-66B47C67B92B}"/>
    <cellStyle name="Normal 2 3 2" xfId="36" xr:uid="{9CB8491B-06DC-401A-82DF-630507294407}"/>
    <cellStyle name="Percent" xfId="2" builtinId="5"/>
    <cellStyle name="Procent 2" xfId="7" xr:uid="{00000000-0005-0000-0000-000004000000}"/>
    <cellStyle name="Procent 2 2" xfId="11" xr:uid="{00000000-0005-0000-0000-000005000000}"/>
    <cellStyle name="Procent 2 2 2" xfId="12" xr:uid="{00000000-0005-0000-0000-000006000000}"/>
    <cellStyle name="Procent 2 3" xfId="13" xr:uid="{00000000-0005-0000-0000-000007000000}"/>
    <cellStyle name="Procent 2 3 2" xfId="14" xr:uid="{00000000-0005-0000-0000-000008000000}"/>
    <cellStyle name="Procent 2 4" xfId="15" xr:uid="{00000000-0005-0000-0000-000009000000}"/>
    <cellStyle name="Procent 3" xfId="16" xr:uid="{00000000-0005-0000-0000-00000A000000}"/>
    <cellStyle name="Procent 4" xfId="17" xr:uid="{00000000-0005-0000-0000-00000B000000}"/>
    <cellStyle name="Stand. 2" xfId="8" xr:uid="{00000000-0005-0000-0000-00000C000000}"/>
    <cellStyle name="Stand. 3" xfId="30" xr:uid="{00000000-0005-0000-0000-00000D000000}"/>
    <cellStyle name="Standaard 2" xfId="3" xr:uid="{00000000-0005-0000-0000-00000F000000}"/>
    <cellStyle name="Standaard 2 2" xfId="18" xr:uid="{00000000-0005-0000-0000-000010000000}"/>
    <cellStyle name="Standaard 2 2 2" xfId="19" xr:uid="{00000000-0005-0000-0000-000011000000}"/>
    <cellStyle name="Standaard 2 3" xfId="20" xr:uid="{00000000-0005-0000-0000-000012000000}"/>
    <cellStyle name="Standaard 2 3 2" xfId="21" xr:uid="{00000000-0005-0000-0000-000013000000}"/>
    <cellStyle name="Standaard 2 4" xfId="22" xr:uid="{00000000-0005-0000-0000-000014000000}"/>
    <cellStyle name="Standaard 2 4 2" xfId="23" xr:uid="{00000000-0005-0000-0000-000015000000}"/>
    <cellStyle name="Standaard 2 5" xfId="24" xr:uid="{00000000-0005-0000-0000-000016000000}"/>
    <cellStyle name="Standaard 3" xfId="25" xr:uid="{00000000-0005-0000-0000-000017000000}"/>
    <cellStyle name="Standaard 4" xfId="5" xr:uid="{00000000-0005-0000-0000-000018000000}"/>
    <cellStyle name="Standaard 5" xfId="9" xr:uid="{00000000-0005-0000-0000-000019000000}"/>
    <cellStyle name="Valuta 2" xfId="6" xr:uid="{00000000-0005-0000-0000-00001B000000}"/>
    <cellStyle name="Valuta 2 2" xfId="26" xr:uid="{00000000-0005-0000-0000-00001C000000}"/>
    <cellStyle name="Valuta 2 2 2" xfId="27" xr:uid="{00000000-0005-0000-0000-00001D000000}"/>
    <cellStyle name="Valuta 3" xfId="28" xr:uid="{00000000-0005-0000-0000-00001E000000}"/>
    <cellStyle name="Valuta 4" xfId="29" xr:uid="{00000000-0005-0000-0000-00001F000000}"/>
    <cellStyle name="Valuta 5" xfId="10" xr:uid="{00000000-0005-0000-0000-000020000000}"/>
    <cellStyle name="Valuta 6" xfId="31" xr:uid="{00000000-0005-0000-0000-000021000000}"/>
  </cellStyles>
  <dxfs count="58">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font>
      <numFmt numFmtId="13" formatCode="0%"/>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font>
      <numFmt numFmtId="13" formatCode="0%"/>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color theme="0"/>
      </font>
      <fill>
        <patternFill>
          <bgColor rgb="FFFF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font>
      <numFmt numFmtId="13" formatCode="0%"/>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font>
      <numFmt numFmtId="13" formatCode="0%"/>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ont>
        <b/>
        <i val="0"/>
      </font>
      <numFmt numFmtId="13" formatCode="0%"/>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00B050"/>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Medium7"/>
  <colors>
    <mruColors>
      <color rgb="FFBDD7EE"/>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A557-AACC-4410-AA98-7FB64175964D}">
  <sheetPr codeName="Sheet2">
    <tabColor rgb="FFFFFF00"/>
  </sheetPr>
  <dimension ref="B2:O45"/>
  <sheetViews>
    <sheetView tabSelected="1" zoomScaleNormal="100" workbookViewId="0">
      <selection activeCell="C7" sqref="C7"/>
    </sheetView>
  </sheetViews>
  <sheetFormatPr defaultColWidth="9" defaultRowHeight="13.8" x14ac:dyDescent="0.3"/>
  <cols>
    <col min="1" max="1" width="3.5" style="435" customWidth="1"/>
    <col min="2" max="2" width="40" style="435" customWidth="1"/>
    <col min="3" max="3" width="33.3984375" style="435" customWidth="1"/>
    <col min="4" max="4" width="28.5" style="435" customWidth="1"/>
    <col min="5" max="5" width="71.19921875" style="435" customWidth="1"/>
    <col min="6" max="6" width="19.3984375" style="435" customWidth="1"/>
    <col min="7" max="7" width="90" style="435" customWidth="1"/>
    <col min="8" max="16384" width="9" style="435"/>
  </cols>
  <sheetData>
    <row r="2" spans="2:9" x14ac:dyDescent="0.3">
      <c r="B2" s="433" t="s">
        <v>0</v>
      </c>
      <c r="C2" s="434"/>
      <c r="D2" s="434"/>
      <c r="E2" s="434"/>
      <c r="F2" s="434"/>
      <c r="G2" s="434"/>
    </row>
    <row r="4" spans="2:9" x14ac:dyDescent="0.3">
      <c r="B4" s="435" t="s">
        <v>1</v>
      </c>
      <c r="C4" s="436" t="s">
        <v>337</v>
      </c>
      <c r="D4" s="435" t="s">
        <v>3</v>
      </c>
      <c r="E4" s="437"/>
    </row>
    <row r="5" spans="2:9" x14ac:dyDescent="0.3">
      <c r="B5" s="435" t="s">
        <v>4</v>
      </c>
      <c r="C5" s="438">
        <v>8.0750000000000002E-2</v>
      </c>
    </row>
    <row r="6" spans="2:9" x14ac:dyDescent="0.3">
      <c r="B6" s="435" t="s">
        <v>5</v>
      </c>
      <c r="C6" s="388">
        <v>8.3299999999999999E-2</v>
      </c>
    </row>
    <row r="7" spans="2:9" ht="36.75" customHeight="1" x14ac:dyDescent="0.3">
      <c r="B7" s="433" t="s">
        <v>6</v>
      </c>
      <c r="C7" s="434" t="s">
        <v>7</v>
      </c>
      <c r="D7" s="435" t="s">
        <v>8</v>
      </c>
      <c r="F7" s="439" t="s">
        <v>9</v>
      </c>
      <c r="G7" s="435" t="s">
        <v>10</v>
      </c>
    </row>
    <row r="8" spans="2:9" x14ac:dyDescent="0.3">
      <c r="B8" s="440" t="s">
        <v>11</v>
      </c>
      <c r="C8" s="359">
        <v>8.0100000000000005E-2</v>
      </c>
      <c r="D8" s="441" t="s">
        <v>549</v>
      </c>
      <c r="E8" s="440"/>
      <c r="F8" s="442"/>
      <c r="G8" s="443"/>
    </row>
    <row r="9" spans="2:9" ht="12.75" customHeight="1" x14ac:dyDescent="0.3"/>
    <row r="10" spans="2:9" hidden="1" x14ac:dyDescent="0.3"/>
    <row r="11" spans="2:9" ht="28.2" thickBot="1" x14ac:dyDescent="0.35">
      <c r="C11" s="434" t="s">
        <v>7</v>
      </c>
      <c r="D11" s="435" t="s">
        <v>8</v>
      </c>
      <c r="F11" s="439" t="s">
        <v>9</v>
      </c>
      <c r="G11" s="435" t="s">
        <v>10</v>
      </c>
      <c r="H11" s="444"/>
      <c r="I11" s="444"/>
    </row>
    <row r="12" spans="2:9" ht="14.4" thickBot="1" x14ac:dyDescent="0.35">
      <c r="B12" s="445" t="s">
        <v>543</v>
      </c>
      <c r="C12" s="360">
        <v>0.25800000000000001</v>
      </c>
      <c r="D12" s="370" t="s">
        <v>540</v>
      </c>
      <c r="E12" s="361"/>
      <c r="F12" s="442"/>
      <c r="G12" s="397"/>
    </row>
    <row r="13" spans="2:9" ht="14.4" thickBot="1" x14ac:dyDescent="0.35">
      <c r="B13" s="445" t="s">
        <v>544</v>
      </c>
      <c r="C13" s="446">
        <v>16655</v>
      </c>
      <c r="D13" s="370" t="s">
        <v>541</v>
      </c>
      <c r="E13" s="361"/>
      <c r="F13" s="447"/>
      <c r="G13" s="397"/>
    </row>
    <row r="14" spans="2:9" ht="14.4" thickBot="1" x14ac:dyDescent="0.35">
      <c r="B14" s="445" t="s">
        <v>12</v>
      </c>
      <c r="C14" s="362"/>
      <c r="D14" s="448"/>
      <c r="E14" s="449"/>
      <c r="F14" s="450"/>
      <c r="G14" s="451"/>
    </row>
    <row r="15" spans="2:9" ht="15" thickTop="1" thickBot="1" x14ac:dyDescent="0.35">
      <c r="B15" s="452" t="s">
        <v>13</v>
      </c>
      <c r="C15" s="363">
        <v>0.5</v>
      </c>
      <c r="D15" s="448"/>
      <c r="E15" s="449"/>
      <c r="F15" s="453"/>
      <c r="G15" s="451"/>
    </row>
    <row r="16" spans="2:9" ht="15" thickTop="1" thickBot="1" x14ac:dyDescent="0.35">
      <c r="B16" s="445" t="s">
        <v>545</v>
      </c>
      <c r="C16" s="360">
        <v>5.0000000000000001E-3</v>
      </c>
      <c r="D16" s="370" t="s">
        <v>542</v>
      </c>
      <c r="E16" s="361"/>
      <c r="F16" s="442"/>
      <c r="G16" s="397"/>
    </row>
    <row r="17" spans="2:15" ht="14.4" thickBot="1" x14ac:dyDescent="0.35">
      <c r="B17" s="445" t="s">
        <v>546</v>
      </c>
      <c r="C17" s="446">
        <v>28405</v>
      </c>
      <c r="D17" s="370" t="s">
        <v>541</v>
      </c>
      <c r="E17" s="361"/>
      <c r="F17" s="447"/>
      <c r="G17" s="397"/>
    </row>
    <row r="18" spans="2:15" ht="14.4" thickBot="1" x14ac:dyDescent="0.35">
      <c r="B18" s="454" t="s">
        <v>14</v>
      </c>
      <c r="C18" s="364"/>
      <c r="D18" s="444"/>
      <c r="E18" s="444"/>
      <c r="F18" s="444"/>
      <c r="G18" s="455"/>
    </row>
    <row r="19" spans="2:15" ht="15" thickTop="1" thickBot="1" x14ac:dyDescent="0.35">
      <c r="B19" s="452" t="s">
        <v>15</v>
      </c>
      <c r="C19" s="365">
        <v>0.5</v>
      </c>
      <c r="D19" s="456"/>
      <c r="E19" s="449"/>
      <c r="F19" s="457"/>
      <c r="G19" s="451"/>
    </row>
    <row r="20" spans="2:15" ht="14.4" thickTop="1" x14ac:dyDescent="0.3">
      <c r="C20" s="458"/>
      <c r="D20" s="444"/>
      <c r="E20" s="444"/>
      <c r="F20" s="444"/>
      <c r="G20" s="444"/>
    </row>
    <row r="21" spans="2:15" ht="27.6" x14ac:dyDescent="0.3">
      <c r="C21" s="444" t="s">
        <v>7</v>
      </c>
      <c r="D21" s="455" t="s">
        <v>8</v>
      </c>
      <c r="E21" s="459"/>
      <c r="F21" s="439" t="s">
        <v>9</v>
      </c>
      <c r="G21" s="435" t="s">
        <v>10</v>
      </c>
      <c r="H21" s="444"/>
      <c r="I21" s="444"/>
      <c r="J21" s="444"/>
      <c r="K21" s="444"/>
      <c r="L21" s="444"/>
      <c r="M21" s="444"/>
    </row>
    <row r="22" spans="2:15" ht="28.5" customHeight="1" x14ac:dyDescent="0.3">
      <c r="B22" s="440" t="s">
        <v>16</v>
      </c>
      <c r="C22" s="366">
        <v>7.5800000000000006E-2</v>
      </c>
      <c r="D22" s="476" t="s">
        <v>537</v>
      </c>
      <c r="E22" s="476"/>
      <c r="F22" s="442"/>
      <c r="G22" s="451"/>
      <c r="H22" s="367"/>
      <c r="I22" s="367"/>
      <c r="J22" s="367"/>
      <c r="K22" s="367"/>
      <c r="L22" s="367"/>
      <c r="M22" s="367"/>
      <c r="N22" s="368"/>
    </row>
    <row r="23" spans="2:15" ht="27.9" customHeight="1" x14ac:dyDescent="0.3">
      <c r="B23" s="440" t="s">
        <v>17</v>
      </c>
      <c r="C23" s="366">
        <v>3.49E-2</v>
      </c>
      <c r="D23" s="477" t="s">
        <v>538</v>
      </c>
      <c r="E23" s="477"/>
      <c r="F23" s="442"/>
      <c r="G23" s="460"/>
      <c r="H23" s="461"/>
      <c r="I23" s="461"/>
      <c r="J23" s="461"/>
      <c r="K23" s="461"/>
      <c r="L23" s="461"/>
      <c r="M23" s="461"/>
      <c r="N23" s="461"/>
      <c r="O23" s="462"/>
    </row>
    <row r="24" spans="2:15" ht="15.6" customHeight="1" x14ac:dyDescent="0.3">
      <c r="B24" s="440" t="s">
        <v>18</v>
      </c>
      <c r="C24" s="366">
        <v>6.5100000000000005E-2</v>
      </c>
      <c r="D24" s="476" t="s">
        <v>539</v>
      </c>
      <c r="E24" s="476"/>
      <c r="F24" s="442"/>
      <c r="G24" s="370"/>
      <c r="H24" s="367"/>
      <c r="I24" s="367"/>
      <c r="J24" s="367"/>
      <c r="K24" s="367"/>
      <c r="L24" s="367"/>
      <c r="M24" s="367"/>
      <c r="N24" s="368"/>
    </row>
    <row r="25" spans="2:15" ht="39.75" customHeight="1" x14ac:dyDescent="0.3">
      <c r="B25" s="440" t="s">
        <v>19</v>
      </c>
      <c r="C25" s="366">
        <v>1.3299999999999999E-2</v>
      </c>
      <c r="D25" s="476" t="s">
        <v>226</v>
      </c>
      <c r="E25" s="476"/>
      <c r="F25" s="442"/>
      <c r="G25" s="370"/>
      <c r="H25" s="367"/>
      <c r="I25" s="367"/>
      <c r="J25" s="367"/>
      <c r="K25" s="367"/>
      <c r="L25" s="367"/>
      <c r="M25" s="367"/>
      <c r="N25" s="367"/>
      <c r="O25" s="368"/>
    </row>
    <row r="26" spans="2:15" ht="27.9" customHeight="1" x14ac:dyDescent="0.3">
      <c r="B26" s="440" t="s">
        <v>21</v>
      </c>
      <c r="C26" s="366">
        <v>3.5000000000000001E-3</v>
      </c>
      <c r="D26" s="476" t="s">
        <v>227</v>
      </c>
      <c r="E26" s="476"/>
      <c r="F26" s="442"/>
      <c r="G26" s="370"/>
      <c r="H26" s="367"/>
      <c r="I26" s="367"/>
      <c r="J26" s="367"/>
      <c r="K26" s="367"/>
      <c r="L26" s="367"/>
      <c r="M26" s="367"/>
      <c r="N26" s="367"/>
      <c r="O26" s="368"/>
    </row>
    <row r="27" spans="2:15" ht="15.9" customHeight="1" x14ac:dyDescent="0.3">
      <c r="B27" s="463" t="s">
        <v>23</v>
      </c>
      <c r="C27" s="369">
        <v>0.19260000000000002</v>
      </c>
      <c r="D27" s="474"/>
      <c r="E27" s="475"/>
      <c r="F27" s="361"/>
      <c r="G27" s="464"/>
      <c r="H27" s="444"/>
      <c r="I27" s="444"/>
      <c r="J27" s="444"/>
      <c r="K27" s="444"/>
      <c r="L27" s="444"/>
      <c r="M27" s="444"/>
    </row>
    <row r="29" spans="2:15" ht="8.85" customHeight="1" x14ac:dyDescent="0.3"/>
    <row r="30" spans="2:15" x14ac:dyDescent="0.3">
      <c r="B30" s="433" t="s">
        <v>24</v>
      </c>
      <c r="C30" s="434"/>
      <c r="D30" s="433"/>
      <c r="E30" s="434"/>
      <c r="F30" s="433"/>
      <c r="G30" s="434"/>
    </row>
    <row r="31" spans="2:15" x14ac:dyDescent="0.3">
      <c r="B31" s="465"/>
      <c r="D31" s="465"/>
      <c r="F31" s="465"/>
    </row>
    <row r="32" spans="2:15" ht="14.4" x14ac:dyDescent="0.3">
      <c r="B32" s="466" t="s">
        <v>198</v>
      </c>
      <c r="C32" s="434" t="s">
        <v>25</v>
      </c>
      <c r="D32" s="433" t="s">
        <v>494</v>
      </c>
      <c r="E32" s="434" t="s">
        <v>501</v>
      </c>
    </row>
    <row r="33" spans="2:5" x14ac:dyDescent="0.3">
      <c r="B33" s="467" t="s">
        <v>491</v>
      </c>
      <c r="C33" s="441" t="s">
        <v>495</v>
      </c>
      <c r="D33" s="468">
        <v>0.248</v>
      </c>
      <c r="E33" s="440"/>
    </row>
    <row r="34" spans="2:5" x14ac:dyDescent="0.3">
      <c r="B34" s="467" t="s">
        <v>492</v>
      </c>
      <c r="C34" s="440" t="s">
        <v>493</v>
      </c>
      <c r="D34" s="468">
        <v>0.253</v>
      </c>
      <c r="E34" s="440"/>
    </row>
    <row r="35" spans="2:5" x14ac:dyDescent="0.3">
      <c r="B35" s="440" t="s">
        <v>521</v>
      </c>
      <c r="C35" s="440" t="s">
        <v>522</v>
      </c>
      <c r="D35" s="468">
        <v>0.28399999999999997</v>
      </c>
      <c r="E35" s="440"/>
    </row>
    <row r="37" spans="2:5" x14ac:dyDescent="0.3">
      <c r="B37" s="469" t="s">
        <v>493</v>
      </c>
      <c r="C37" s="470" t="s">
        <v>228</v>
      </c>
      <c r="D37" s="470" t="s">
        <v>229</v>
      </c>
    </row>
    <row r="38" spans="2:5" x14ac:dyDescent="0.3">
      <c r="B38" s="440" t="s">
        <v>209</v>
      </c>
      <c r="C38" s="393">
        <v>1.6</v>
      </c>
      <c r="D38" s="471">
        <v>1.85</v>
      </c>
      <c r="E38" s="440" t="s">
        <v>533</v>
      </c>
    </row>
    <row r="39" spans="2:5" x14ac:dyDescent="0.3">
      <c r="B39" s="440" t="s">
        <v>84</v>
      </c>
      <c r="C39" s="393">
        <v>8.1199999999999992</v>
      </c>
      <c r="D39" s="471"/>
      <c r="E39" s="440" t="s">
        <v>548</v>
      </c>
    </row>
    <row r="43" spans="2:5" x14ac:dyDescent="0.3">
      <c r="C43" s="472"/>
      <c r="D43" s="473"/>
      <c r="E43" s="472"/>
    </row>
    <row r="44" spans="2:5" x14ac:dyDescent="0.3">
      <c r="C44" s="472"/>
      <c r="D44" s="473"/>
      <c r="E44" s="472"/>
    </row>
    <row r="45" spans="2:5" x14ac:dyDescent="0.3">
      <c r="E45" s="472"/>
    </row>
  </sheetData>
  <sheetProtection algorithmName="SHA-512" hashValue="AZSb85L3vt4bhh3pu5bqNoAmnB63SZKOfQPoNgJ2JWKPPwo4KvGGRA39oQ80uVwg1WtrqjImYL6M0+JMjGcnWw==" saltValue="5ChCZcFVzINYSqIFey7rvA==" spinCount="100000" sheet="1"/>
  <protectedRanges>
    <protectedRange algorithmName="SHA-512" hashValue="zrr1YC170iD4z5ngO6i+dvye2WxwMuZwyCItKXOM0Fb0EC895yDhie8vErJXeoL6fSMcx6aoO1sn5XcoWfI8lg==" saltValue="T/jZUAo6mJPMXMKTIHv+sw==" spinCount="100000" sqref="C23 C25:C26" name="Inputcellen_1_1_1"/>
  </protectedRanges>
  <mergeCells count="6">
    <mergeCell ref="D27:E27"/>
    <mergeCell ref="D22:E22"/>
    <mergeCell ref="D23:E23"/>
    <mergeCell ref="D24:E24"/>
    <mergeCell ref="D25:E25"/>
    <mergeCell ref="D26:E26"/>
  </mergeCells>
  <conditionalFormatting sqref="C12 C15">
    <cfRule type="expression" dxfId="57" priority="6">
      <formula>$C$47="Opslag"</formula>
    </cfRule>
  </conditionalFormatting>
  <conditionalFormatting sqref="C13">
    <cfRule type="expression" dxfId="56" priority="5">
      <formula>#REF!="Opslag"</formula>
    </cfRule>
  </conditionalFormatting>
  <conditionalFormatting sqref="C16:C17">
    <cfRule type="expression" dxfId="55" priority="4">
      <formula>#REF!="Opslag"</formula>
    </cfRule>
  </conditionalFormatting>
  <conditionalFormatting sqref="C19">
    <cfRule type="expression" dxfId="54" priority="13">
      <formula>$C$64="Opslag"</formula>
    </cfRule>
  </conditionalFormatting>
  <conditionalFormatting sqref="C22:C27">
    <cfRule type="expression" dxfId="53" priority="7">
      <formula>#REF!="Opslag"</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4418F5C-9E53-4C31-9B04-22AAA8CDB3BC}">
          <x14:formula1>
            <xm:f>Toelichting!$A$28:$A$32</xm:f>
          </x14:formula1>
          <xm:sqref>C4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538F-BE82-4D8D-9AEF-E67B385DF323}">
  <sheetPr codeName="Sheet9">
    <tabColor rgb="FF7030A0"/>
    <pageSetUpPr fitToPage="1"/>
  </sheetPr>
  <dimension ref="A2:U82"/>
  <sheetViews>
    <sheetView zoomScale="80" zoomScaleNormal="80" workbookViewId="0">
      <pane ySplit="4" topLeftCell="A5" activePane="bottomLeft" state="frozen"/>
      <selection activeCell="F16" sqref="F16"/>
      <selection pane="bottomLeft" activeCell="F16" sqref="F16"/>
    </sheetView>
  </sheetViews>
  <sheetFormatPr defaultColWidth="10.5" defaultRowHeight="15.6" x14ac:dyDescent="0.3"/>
  <cols>
    <col min="1" max="1" width="65.3984375" style="5" customWidth="1"/>
    <col min="2" max="2" width="0.5" style="6" customWidth="1"/>
    <col min="3" max="3" width="14" style="6" hidden="1" customWidth="1"/>
    <col min="4"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customWidth="1"/>
    <col min="13" max="13" width="13.09765625" style="6" customWidth="1"/>
    <col min="14" max="14" width="13.59765625" style="6" customWidth="1"/>
    <col min="15" max="15" width="14.8984375" style="6" customWidth="1"/>
    <col min="16" max="16" width="13.5" style="6" customWidth="1"/>
    <col min="17" max="17" width="13" style="6" customWidth="1"/>
    <col min="18" max="18" width="1.3984375" style="5" customWidth="1"/>
    <col min="19" max="19" width="33" style="5" customWidth="1"/>
    <col min="20" max="20" width="4.5" style="5"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s="18" customFormat="1" ht="18" x14ac:dyDescent="0.35">
      <c r="A4" s="352" t="s">
        <v>191</v>
      </c>
      <c r="B4" s="93"/>
      <c r="C4" s="93"/>
      <c r="D4" s="93"/>
      <c r="E4" s="93"/>
      <c r="F4" s="524"/>
      <c r="G4" s="524"/>
      <c r="H4" s="524"/>
      <c r="I4" s="524"/>
      <c r="J4" s="524"/>
      <c r="K4" s="524"/>
      <c r="L4" s="524"/>
      <c r="M4" s="524"/>
      <c r="N4" s="119"/>
      <c r="O4" s="119"/>
      <c r="P4" s="92"/>
      <c r="Q4" s="92"/>
      <c r="R4" s="39"/>
    </row>
    <row r="5" spans="1:21" s="18" customFormat="1" ht="18" x14ac:dyDescent="0.35">
      <c r="A5" s="352" t="s">
        <v>199</v>
      </c>
      <c r="B5" s="93"/>
      <c r="C5" s="93"/>
      <c r="D5" s="93"/>
      <c r="E5" s="93"/>
      <c r="F5" s="93"/>
      <c r="G5" s="93"/>
      <c r="H5" s="357"/>
      <c r="I5" s="357"/>
      <c r="J5" s="357"/>
      <c r="K5" s="357"/>
      <c r="L5" s="357"/>
      <c r="M5" s="357"/>
      <c r="N5" s="119"/>
      <c r="O5" s="119"/>
      <c r="P5" s="92"/>
      <c r="Q5" s="92"/>
      <c r="R5" s="39"/>
    </row>
    <row r="6" spans="1:21" ht="16.2" thickBot="1" x14ac:dyDescent="0.35">
      <c r="A6" s="106"/>
      <c r="B6" s="107"/>
      <c r="C6" s="107"/>
      <c r="D6" s="107"/>
      <c r="E6" s="107"/>
      <c r="F6" s="139"/>
      <c r="G6" s="319"/>
      <c r="H6" s="132"/>
      <c r="I6" s="132"/>
      <c r="J6" s="132"/>
      <c r="K6" s="132"/>
      <c r="L6" s="132"/>
      <c r="M6" s="132"/>
      <c r="N6" s="132"/>
      <c r="O6" s="132"/>
      <c r="P6" s="132"/>
      <c r="Q6" s="132"/>
      <c r="R6" s="83"/>
    </row>
    <row r="7" spans="1:21" ht="24.9" customHeight="1" thickBot="1" x14ac:dyDescent="0.35">
      <c r="A7" s="95" t="s">
        <v>28</v>
      </c>
      <c r="B7" s="88"/>
      <c r="C7" s="86" t="s">
        <v>29</v>
      </c>
      <c r="D7" s="88"/>
      <c r="E7" s="88"/>
      <c r="F7" s="492" t="str">
        <f>'Algemene kostprijsfactoren'!C4</f>
        <v>Cao_GGZ</v>
      </c>
      <c r="G7" s="493"/>
      <c r="H7" s="492" t="str">
        <f>F7</f>
        <v>Cao_GGZ</v>
      </c>
      <c r="I7" s="493"/>
      <c r="J7" s="492" t="str">
        <f>F7</f>
        <v>Cao_GGZ</v>
      </c>
      <c r="K7" s="493"/>
      <c r="L7" s="492" t="str">
        <f>F7</f>
        <v>Cao_GGZ</v>
      </c>
      <c r="M7" s="493"/>
      <c r="N7" s="492" t="str">
        <f>F7</f>
        <v>Cao_GGZ</v>
      </c>
      <c r="O7" s="493"/>
      <c r="P7" s="492" t="str">
        <f>F7</f>
        <v>Cao_GGZ</v>
      </c>
      <c r="Q7" s="493"/>
      <c r="R7" s="89"/>
      <c r="U7"/>
    </row>
    <row r="8" spans="1:21" ht="16.2" thickBot="1" x14ac:dyDescent="0.35">
      <c r="A8" s="96" t="s">
        <v>30</v>
      </c>
      <c r="B8" s="87"/>
      <c r="C8" s="87"/>
      <c r="D8" s="87"/>
      <c r="E8" s="87"/>
      <c r="F8" s="87"/>
      <c r="G8" s="114"/>
      <c r="H8" s="116"/>
      <c r="I8" s="114"/>
      <c r="J8" s="116"/>
      <c r="K8" s="114"/>
      <c r="L8" s="87"/>
      <c r="M8" s="87"/>
      <c r="N8" s="116"/>
      <c r="O8" s="114"/>
      <c r="P8" s="116"/>
      <c r="Q8" s="114"/>
      <c r="R8" s="1"/>
      <c r="S8" s="193" t="s">
        <v>8</v>
      </c>
    </row>
    <row r="9" spans="1:21" ht="15.9" customHeight="1" thickBot="1" x14ac:dyDescent="0.35">
      <c r="A9" s="97" t="s">
        <v>201</v>
      </c>
      <c r="B9" s="156"/>
      <c r="C9" s="99"/>
      <c r="D9" s="156"/>
      <c r="E9" s="156"/>
      <c r="F9" s="334" t="s">
        <v>210</v>
      </c>
      <c r="G9" s="335"/>
      <c r="H9" s="334" t="s">
        <v>210</v>
      </c>
      <c r="I9" s="335"/>
      <c r="J9" s="334" t="s">
        <v>210</v>
      </c>
      <c r="K9" s="335"/>
      <c r="L9" s="334" t="s">
        <v>210</v>
      </c>
      <c r="M9" s="335"/>
      <c r="N9" s="334" t="s">
        <v>210</v>
      </c>
      <c r="O9" s="335"/>
      <c r="P9" s="334" t="s">
        <v>210</v>
      </c>
      <c r="Q9" s="335"/>
      <c r="R9" s="82"/>
      <c r="S9" s="356"/>
      <c r="T9" s="133"/>
    </row>
    <row r="10" spans="1:21" ht="15.9" customHeight="1" x14ac:dyDescent="0.3">
      <c r="A10" s="97" t="s">
        <v>71</v>
      </c>
      <c r="B10" s="156"/>
      <c r="C10" s="99"/>
      <c r="D10" s="156"/>
      <c r="E10" s="156"/>
      <c r="F10" s="158"/>
      <c r="G10" s="160">
        <f>G9/156.5</f>
        <v>0</v>
      </c>
      <c r="H10" s="158"/>
      <c r="I10" s="160">
        <f>I9/156.5</f>
        <v>0</v>
      </c>
      <c r="J10" s="158"/>
      <c r="K10" s="160">
        <f>K9/156.5</f>
        <v>0</v>
      </c>
      <c r="L10" s="158"/>
      <c r="M10" s="160">
        <f>M9/156.5</f>
        <v>0</v>
      </c>
      <c r="N10" s="158"/>
      <c r="O10" s="160">
        <f>O9/156.5</f>
        <v>0</v>
      </c>
      <c r="P10" s="158"/>
      <c r="Q10" s="160">
        <f>Q9/156.5</f>
        <v>0</v>
      </c>
      <c r="R10" s="82"/>
      <c r="S10" s="133"/>
      <c r="T10" s="133"/>
    </row>
    <row r="11" spans="1:21" ht="15.9" customHeight="1" x14ac:dyDescent="0.3">
      <c r="A11" s="94" t="s">
        <v>4</v>
      </c>
      <c r="B11" s="156"/>
      <c r="C11" s="99" t="s">
        <v>31</v>
      </c>
      <c r="D11" s="156"/>
      <c r="E11" s="156"/>
      <c r="F11" s="158">
        <f>IF(F7&lt;&gt;"",8%,"")</f>
        <v>0.08</v>
      </c>
      <c r="G11" s="157">
        <f>MAX(1.07,F11*G10)</f>
        <v>1.07</v>
      </c>
      <c r="H11" s="158">
        <f>IF(H7&lt;&gt;"",8%,"")</f>
        <v>0.08</v>
      </c>
      <c r="I11" s="157">
        <f>MAX(1.07,H11*I10)</f>
        <v>1.07</v>
      </c>
      <c r="J11" s="158">
        <f>IF(J7&lt;&gt;"",8%,"")</f>
        <v>0.08</v>
      </c>
      <c r="K11" s="157">
        <f>MAX(1.07,J11*K10)</f>
        <v>1.07</v>
      </c>
      <c r="L11" s="158">
        <f>IF(L7&lt;&gt;"",8%,"")</f>
        <v>0.08</v>
      </c>
      <c r="M11" s="157">
        <f>MAX(1.07,L11*M10)</f>
        <v>1.07</v>
      </c>
      <c r="N11" s="158">
        <f>IF(N7&lt;&gt;"",8%,"")</f>
        <v>0.08</v>
      </c>
      <c r="O11" s="157">
        <f>MAX(1.07,N11*O10)</f>
        <v>1.07</v>
      </c>
      <c r="P11" s="158">
        <f>IF(P7&lt;&gt;"",8%,"")</f>
        <v>0.08</v>
      </c>
      <c r="Q11" s="157">
        <f>MAX(1.07,P11*Q10)</f>
        <v>1.07</v>
      </c>
      <c r="R11" s="83"/>
      <c r="S11" s="134"/>
      <c r="T11" s="134"/>
    </row>
    <row r="12" spans="1:21" ht="15.9" customHeight="1" x14ac:dyDescent="0.3">
      <c r="A12" s="111" t="s">
        <v>32</v>
      </c>
      <c r="B12" s="156"/>
      <c r="C12" s="99"/>
      <c r="D12" s="156"/>
      <c r="E12" s="156"/>
      <c r="F12" s="158"/>
      <c r="G12" s="160">
        <f>G10+G11</f>
        <v>1.07</v>
      </c>
      <c r="H12" s="158"/>
      <c r="I12" s="160">
        <f>I10+I11</f>
        <v>1.07</v>
      </c>
      <c r="J12" s="158"/>
      <c r="K12" s="160">
        <f>K10+K11</f>
        <v>1.07</v>
      </c>
      <c r="L12" s="158"/>
      <c r="M12" s="160">
        <f>M10+M11</f>
        <v>1.07</v>
      </c>
      <c r="N12" s="158"/>
      <c r="O12" s="160">
        <f>O10+O11</f>
        <v>1.07</v>
      </c>
      <c r="P12" s="158"/>
      <c r="Q12" s="160">
        <f>Q10+Q11</f>
        <v>1.07</v>
      </c>
      <c r="R12" s="83"/>
      <c r="S12" s="134"/>
      <c r="T12" s="134"/>
    </row>
    <row r="13" spans="1:21" ht="15.9" customHeight="1" x14ac:dyDescent="0.3">
      <c r="A13" s="94" t="s">
        <v>33</v>
      </c>
      <c r="B13" s="156"/>
      <c r="C13" s="99" t="s">
        <v>31</v>
      </c>
      <c r="D13" s="156"/>
      <c r="E13" s="156"/>
      <c r="F13" s="161">
        <f>VLOOKUP(F$7,Toelichting!$A$28:$B$31,2,TRUE)</f>
        <v>8.3299999999999999E-2</v>
      </c>
      <c r="G13" s="159">
        <f>MAX(1.14,F13*G10)</f>
        <v>1.1399999999999999</v>
      </c>
      <c r="H13" s="161">
        <f>VLOOKUP(H$7,Toelichting!$A$28:$B$31,2,TRUE)</f>
        <v>8.3299999999999999E-2</v>
      </c>
      <c r="I13" s="159">
        <f>MAX(1.14,H13*I10)</f>
        <v>1.1399999999999999</v>
      </c>
      <c r="J13" s="161">
        <f>VLOOKUP(J$7,Toelichting!$A$28:$B$31,2,TRUE)</f>
        <v>8.3299999999999999E-2</v>
      </c>
      <c r="K13" s="159">
        <f>MAX(1.14,J13*K10)</f>
        <v>1.1399999999999999</v>
      </c>
      <c r="L13" s="161">
        <f>VLOOKUP(L$7,Toelichting!$A$28:$B$31,2,TRUE)</f>
        <v>8.3299999999999999E-2</v>
      </c>
      <c r="M13" s="159">
        <f>MAX(1.14,L13*M10)</f>
        <v>1.1399999999999999</v>
      </c>
      <c r="N13" s="161">
        <f>VLOOKUP(N$7,Toelichting!$A$28:$B$31,2,TRUE)</f>
        <v>8.3299999999999999E-2</v>
      </c>
      <c r="O13" s="159">
        <f>MAX(1.14,N13*O10)</f>
        <v>1.1399999999999999</v>
      </c>
      <c r="P13" s="161">
        <f>VLOOKUP(P$7,Toelichting!$A$28:$B$31,2,TRUE)</f>
        <v>8.3299999999999999E-2</v>
      </c>
      <c r="Q13" s="159">
        <f>MAX(1.14,P13*Q10)</f>
        <v>1.1399999999999999</v>
      </c>
      <c r="R13" s="83"/>
      <c r="S13" s="134"/>
      <c r="T13" s="134"/>
    </row>
    <row r="14" spans="1:21" ht="16.2" hidden="1" thickBot="1" x14ac:dyDescent="0.35">
      <c r="A14" s="97" t="s">
        <v>34</v>
      </c>
      <c r="B14" s="156"/>
      <c r="C14" s="99"/>
      <c r="D14" s="156"/>
      <c r="E14" s="156"/>
      <c r="F14" s="345">
        <v>0</v>
      </c>
      <c r="G14" s="320">
        <f>F14*G12</f>
        <v>0</v>
      </c>
      <c r="H14" s="345">
        <v>0</v>
      </c>
      <c r="I14" s="162">
        <f>H14*I12</f>
        <v>0</v>
      </c>
      <c r="J14" s="345">
        <v>0</v>
      </c>
      <c r="K14" s="162">
        <f>J14*K12</f>
        <v>0</v>
      </c>
      <c r="L14" s="345"/>
      <c r="M14" s="162">
        <f>L14*M12</f>
        <v>0</v>
      </c>
      <c r="N14" s="345"/>
      <c r="O14" s="162">
        <f>N14*O12</f>
        <v>0</v>
      </c>
      <c r="P14" s="345"/>
      <c r="Q14" s="162">
        <f>P14*Q12</f>
        <v>0</v>
      </c>
      <c r="R14" s="82"/>
      <c r="S14" s="5" t="s">
        <v>90</v>
      </c>
    </row>
    <row r="15" spans="1:21" x14ac:dyDescent="0.3">
      <c r="A15" s="108" t="s">
        <v>35</v>
      </c>
      <c r="B15" s="126"/>
      <c r="C15" s="98"/>
      <c r="D15" s="126"/>
      <c r="E15" s="135">
        <f>SUM(E$11:E$13)</f>
        <v>0</v>
      </c>
      <c r="F15" s="321"/>
      <c r="G15" s="272">
        <f>SUM(G$12:G$14)</f>
        <v>2.21</v>
      </c>
      <c r="H15" s="273"/>
      <c r="I15" s="272">
        <f>SUM(I$12:I$14)</f>
        <v>2.21</v>
      </c>
      <c r="J15" s="273"/>
      <c r="K15" s="272">
        <f>SUM(K$12:K$14)</f>
        <v>2.21</v>
      </c>
      <c r="L15" s="274"/>
      <c r="M15" s="272">
        <f>SUM(M$12:M$14)</f>
        <v>2.21</v>
      </c>
      <c r="N15" s="275"/>
      <c r="O15" s="272">
        <f>SUM(O$12:O$14)</f>
        <v>2.21</v>
      </c>
      <c r="P15" s="274"/>
      <c r="Q15" s="272">
        <f>SUM(Q$12:Q$14)</f>
        <v>2.21</v>
      </c>
      <c r="R15" s="136"/>
      <c r="S15" s="133"/>
      <c r="T15" s="133"/>
    </row>
    <row r="16" spans="1:21" x14ac:dyDescent="0.3">
      <c r="A16" s="144" t="s">
        <v>36</v>
      </c>
      <c r="B16" s="126"/>
      <c r="C16" s="98"/>
      <c r="D16" s="126"/>
      <c r="E16" s="135"/>
      <c r="F16" s="276">
        <f>$F$62</f>
        <v>0.19260000000000002</v>
      </c>
      <c r="G16" s="277"/>
      <c r="H16" s="276">
        <f>$F$62</f>
        <v>0.19260000000000002</v>
      </c>
      <c r="I16" s="277"/>
      <c r="J16" s="276">
        <f>$F$62</f>
        <v>0.19260000000000002</v>
      </c>
      <c r="K16" s="277"/>
      <c r="L16" s="276">
        <f>$F$62</f>
        <v>0.19260000000000002</v>
      </c>
      <c r="M16" s="277"/>
      <c r="N16" s="276">
        <f>$F$62</f>
        <v>0.19260000000000002</v>
      </c>
      <c r="O16" s="163"/>
      <c r="P16" s="276">
        <f>$F$62</f>
        <v>0.19260000000000002</v>
      </c>
      <c r="Q16" s="277"/>
      <c r="R16" s="143"/>
      <c r="S16" s="325" t="s">
        <v>82</v>
      </c>
      <c r="T16" s="133"/>
    </row>
    <row r="17" spans="1:20" x14ac:dyDescent="0.3">
      <c r="A17" s="144" t="s">
        <v>38</v>
      </c>
      <c r="B17" s="126"/>
      <c r="C17" s="98"/>
      <c r="D17" s="126"/>
      <c r="E17" s="135"/>
      <c r="F17" s="276">
        <f>G50</f>
        <v>-0.38866223815650608</v>
      </c>
      <c r="G17" s="277"/>
      <c r="H17" s="276">
        <f>H50</f>
        <v>-0.38866223815650608</v>
      </c>
      <c r="I17" s="277"/>
      <c r="J17" s="276">
        <f>I50</f>
        <v>-0.38866223815650608</v>
      </c>
      <c r="K17" s="277"/>
      <c r="L17" s="276">
        <f>J50</f>
        <v>-0.38866223815650608</v>
      </c>
      <c r="M17" s="277"/>
      <c r="N17" s="276">
        <f>K50</f>
        <v>-0.38866223815650608</v>
      </c>
      <c r="O17" s="163"/>
      <c r="P17" s="276">
        <f>L50</f>
        <v>-0.38866223815650608</v>
      </c>
      <c r="Q17" s="277"/>
      <c r="R17" s="143"/>
      <c r="S17" s="133"/>
      <c r="T17" s="133"/>
    </row>
    <row r="18" spans="1:20" x14ac:dyDescent="0.3">
      <c r="A18" s="144" t="s">
        <v>39</v>
      </c>
      <c r="B18" s="126"/>
      <c r="C18" s="98"/>
      <c r="D18" s="126"/>
      <c r="E18" s="135"/>
      <c r="F18" s="276">
        <f>G54</f>
        <v>-1.460987909540813E-2</v>
      </c>
      <c r="G18" s="277"/>
      <c r="H18" s="276">
        <f>H54</f>
        <v>-1.460987909540813E-2</v>
      </c>
      <c r="I18" s="277"/>
      <c r="J18" s="276">
        <f>I54</f>
        <v>-1.460987909540813E-2</v>
      </c>
      <c r="K18" s="277"/>
      <c r="L18" s="276">
        <f>J54</f>
        <v>-1.460987909540813E-2</v>
      </c>
      <c r="M18" s="277"/>
      <c r="N18" s="276">
        <f>K54</f>
        <v>-1.460987909540813E-2</v>
      </c>
      <c r="O18" s="163"/>
      <c r="P18" s="276">
        <f>L54</f>
        <v>-1.460987909540813E-2</v>
      </c>
      <c r="Q18" s="277"/>
      <c r="R18" s="143"/>
      <c r="S18" s="133"/>
      <c r="T18" s="133"/>
    </row>
    <row r="19" spans="1:20" x14ac:dyDescent="0.3">
      <c r="A19" s="109" t="s">
        <v>40</v>
      </c>
      <c r="B19" s="126"/>
      <c r="C19" s="98"/>
      <c r="D19" s="126"/>
      <c r="E19" s="126"/>
      <c r="F19" s="278">
        <f>F16+F17+F18</f>
        <v>-0.21067211725191418</v>
      </c>
      <c r="G19" s="279">
        <f>F19*G15</f>
        <v>-0.46558537912673031</v>
      </c>
      <c r="H19" s="278">
        <f>H16+H17+H18</f>
        <v>-0.21067211725191418</v>
      </c>
      <c r="I19" s="279">
        <f>H19*I15</f>
        <v>-0.46558537912673031</v>
      </c>
      <c r="J19" s="278">
        <f>J16+J17+J18</f>
        <v>-0.21067211725191418</v>
      </c>
      <c r="K19" s="279">
        <f>J19*K15</f>
        <v>-0.46558537912673031</v>
      </c>
      <c r="L19" s="278">
        <f>L16+L17+L18</f>
        <v>-0.21067211725191418</v>
      </c>
      <c r="M19" s="279">
        <f>L19*M15</f>
        <v>-0.46558537912673031</v>
      </c>
      <c r="N19" s="280">
        <f>N16+N17+N18</f>
        <v>-0.21067211725191418</v>
      </c>
      <c r="O19" s="281">
        <f>N19*O15</f>
        <v>-0.46558537912673031</v>
      </c>
      <c r="P19" s="278">
        <f>P16+P17+P18</f>
        <v>-0.21067211725191418</v>
      </c>
      <c r="Q19" s="279">
        <f>P19*Q15</f>
        <v>-0.46558537912673031</v>
      </c>
      <c r="R19" s="137"/>
      <c r="S19" s="325" t="s">
        <v>82</v>
      </c>
      <c r="T19" s="133"/>
    </row>
    <row r="20" spans="1:20" x14ac:dyDescent="0.3">
      <c r="A20" s="110" t="s">
        <v>41</v>
      </c>
      <c r="B20" s="126"/>
      <c r="C20" s="98"/>
      <c r="D20" s="126"/>
      <c r="E20" s="126"/>
      <c r="F20" s="282"/>
      <c r="G20" s="283">
        <f>G15+G19</f>
        <v>1.7444146208732696</v>
      </c>
      <c r="H20" s="284"/>
      <c r="I20" s="283">
        <f>I15+I19</f>
        <v>1.7444146208732696</v>
      </c>
      <c r="J20" s="284"/>
      <c r="K20" s="283">
        <f>K15+K19</f>
        <v>1.7444146208732696</v>
      </c>
      <c r="L20" s="285"/>
      <c r="M20" s="283">
        <f>M15+M19</f>
        <v>1.7444146208732696</v>
      </c>
      <c r="N20" s="286"/>
      <c r="O20" s="287">
        <f>O15+O19</f>
        <v>1.7444146208732696</v>
      </c>
      <c r="P20" s="285"/>
      <c r="Q20" s="283">
        <f>Q15+Q19</f>
        <v>1.7444146208732696</v>
      </c>
      <c r="R20" s="346"/>
    </row>
    <row r="21" spans="1:20" ht="16.2" thickBot="1" x14ac:dyDescent="0.35">
      <c r="A21" s="96" t="s">
        <v>42</v>
      </c>
      <c r="B21" s="87"/>
      <c r="C21" s="125"/>
      <c r="D21" s="87"/>
      <c r="E21" s="87"/>
      <c r="F21" s="87"/>
      <c r="G21" s="114"/>
      <c r="H21" s="116"/>
      <c r="I21" s="114"/>
      <c r="J21" s="116"/>
      <c r="K21" s="114"/>
      <c r="L21" s="87"/>
      <c r="M21" s="87"/>
      <c r="N21" s="116"/>
      <c r="O21" s="114"/>
      <c r="P21" s="116"/>
      <c r="Q21" s="114"/>
      <c r="R21" s="1"/>
    </row>
    <row r="22" spans="1:20" ht="16.2" thickBot="1" x14ac:dyDescent="0.35">
      <c r="A22" s="105" t="s">
        <v>43</v>
      </c>
      <c r="B22" s="156"/>
      <c r="C22" s="99"/>
      <c r="D22" s="156"/>
      <c r="E22" s="156"/>
      <c r="F22" s="244">
        <f>G73</f>
        <v>0.73348892438764635</v>
      </c>
      <c r="G22" s="247">
        <f>G20/F22</f>
        <v>2.3782426194500417</v>
      </c>
      <c r="H22" s="164">
        <f>F22</f>
        <v>0.73348892438764635</v>
      </c>
      <c r="I22" s="165">
        <f>I20/H22</f>
        <v>2.3782426194500417</v>
      </c>
      <c r="J22" s="164">
        <f>F22</f>
        <v>0.73348892438764635</v>
      </c>
      <c r="K22" s="165">
        <f>K20/J22</f>
        <v>2.3782426194500417</v>
      </c>
      <c r="L22" s="164">
        <f>F22</f>
        <v>0.73348892438764635</v>
      </c>
      <c r="M22" s="165">
        <f>M20/L22</f>
        <v>2.3782426194500417</v>
      </c>
      <c r="N22" s="166">
        <f>F22</f>
        <v>0.73348892438764635</v>
      </c>
      <c r="O22" s="165">
        <f>O20/N22</f>
        <v>2.3782426194500417</v>
      </c>
      <c r="P22" s="166">
        <f>F22</f>
        <v>0.73348892438764635</v>
      </c>
      <c r="Q22" s="165">
        <f>Q20/P22</f>
        <v>2.3782426194500417</v>
      </c>
      <c r="R22" s="82"/>
      <c r="S22" s="5" t="s">
        <v>91</v>
      </c>
    </row>
    <row r="23" spans="1:20" x14ac:dyDescent="0.3">
      <c r="A23" s="94"/>
      <c r="B23" s="156"/>
      <c r="C23" s="99"/>
      <c r="D23" s="156"/>
      <c r="E23" s="156"/>
      <c r="F23" s="164"/>
      <c r="G23" s="322"/>
      <c r="H23" s="164"/>
      <c r="I23" s="288"/>
      <c r="J23" s="232"/>
      <c r="K23" s="288"/>
      <c r="L23" s="232"/>
      <c r="M23" s="288"/>
      <c r="N23" s="233"/>
      <c r="O23" s="288"/>
      <c r="P23" s="233"/>
      <c r="Q23" s="288"/>
      <c r="R23" s="82"/>
    </row>
    <row r="24" spans="1:20" x14ac:dyDescent="0.3">
      <c r="A24" s="105"/>
      <c r="B24" s="167"/>
      <c r="C24" s="98"/>
      <c r="D24" s="167"/>
      <c r="E24" s="167"/>
      <c r="F24" s="168"/>
      <c r="G24" s="248"/>
      <c r="H24" s="170"/>
      <c r="I24" s="169"/>
      <c r="J24" s="170"/>
      <c r="K24" s="169"/>
      <c r="L24" s="171"/>
      <c r="M24" s="169"/>
      <c r="N24" s="170"/>
      <c r="O24" s="169"/>
      <c r="P24" s="170"/>
      <c r="Q24" s="169"/>
      <c r="R24" s="1"/>
    </row>
    <row r="25" spans="1:20" ht="18.899999999999999" customHeight="1" x14ac:dyDescent="0.3">
      <c r="A25" s="129" t="s">
        <v>46</v>
      </c>
      <c r="B25" s="130"/>
      <c r="C25" s="131"/>
      <c r="D25" s="130"/>
      <c r="E25" s="130"/>
      <c r="F25" s="138"/>
      <c r="G25" s="290">
        <f>G22+G23</f>
        <v>2.3782426194500417</v>
      </c>
      <c r="H25" s="289"/>
      <c r="I25" s="290">
        <f>I22+I23</f>
        <v>2.3782426194500417</v>
      </c>
      <c r="J25" s="289"/>
      <c r="K25" s="290">
        <f>K22+K23</f>
        <v>2.3782426194500417</v>
      </c>
      <c r="L25" s="291"/>
      <c r="M25" s="290">
        <f>M22+M23</f>
        <v>2.3782426194500417</v>
      </c>
      <c r="N25" s="292"/>
      <c r="O25" s="290">
        <f>O22+O23</f>
        <v>2.3782426194500417</v>
      </c>
      <c r="P25" s="289"/>
      <c r="Q25" s="290">
        <f>Q22+Q23</f>
        <v>2.3782426194500417</v>
      </c>
      <c r="R25" s="1"/>
    </row>
    <row r="26" spans="1:20" ht="18" customHeight="1" x14ac:dyDescent="0.3">
      <c r="A26" s="104"/>
      <c r="B26" s="87"/>
      <c r="C26" s="99"/>
      <c r="D26" s="87"/>
      <c r="E26" s="87"/>
      <c r="F26" s="139"/>
      <c r="G26" s="115"/>
      <c r="H26" s="117"/>
      <c r="I26" s="118"/>
      <c r="J26" s="117"/>
      <c r="K26" s="118"/>
      <c r="L26" s="112"/>
      <c r="M26" s="113"/>
      <c r="N26" s="117"/>
      <c r="O26" s="118"/>
      <c r="P26" s="117"/>
      <c r="Q26" s="118"/>
      <c r="R26" s="1"/>
    </row>
    <row r="27" spans="1:20" ht="16.2" thickBot="1" x14ac:dyDescent="0.35">
      <c r="A27" s="96" t="s">
        <v>47</v>
      </c>
      <c r="B27" s="87"/>
      <c r="C27" s="125"/>
      <c r="D27" s="87"/>
      <c r="E27" s="87"/>
      <c r="F27" s="87"/>
      <c r="G27" s="114"/>
      <c r="H27" s="116"/>
      <c r="I27" s="114"/>
      <c r="J27" s="116"/>
      <c r="K27" s="114"/>
      <c r="L27" s="87"/>
      <c r="M27" s="87"/>
      <c r="N27" s="116"/>
      <c r="O27" s="114"/>
      <c r="P27" s="116"/>
      <c r="Q27" s="114"/>
      <c r="R27" s="1"/>
    </row>
    <row r="28" spans="1:20" ht="16.2" thickBot="1" x14ac:dyDescent="0.35">
      <c r="A28" s="111" t="s">
        <v>214</v>
      </c>
      <c r="B28" s="100"/>
      <c r="C28" s="99"/>
      <c r="D28" s="100"/>
      <c r="E28" s="100"/>
      <c r="F28" s="244" t="e">
        <f>IF('Algemene kostprijsfactoren'!#REF!&lt;&gt;"",'Algemene kostprijsfactoren'!#REF!,'Algemene kostprijsfactoren'!#REF!)</f>
        <v>#REF!</v>
      </c>
      <c r="G28" s="245" t="e">
        <f>F28*G25</f>
        <v>#REF!</v>
      </c>
      <c r="H28" s="293" t="e">
        <f>F28</f>
        <v>#REF!</v>
      </c>
      <c r="I28" s="172" t="e">
        <f>H28*I25</f>
        <v>#REF!</v>
      </c>
      <c r="J28" s="294" t="e">
        <f>F28</f>
        <v>#REF!</v>
      </c>
      <c r="K28" s="172" t="e">
        <f>J28*K25</f>
        <v>#REF!</v>
      </c>
      <c r="L28" s="294" t="e">
        <f>F28</f>
        <v>#REF!</v>
      </c>
      <c r="M28" s="173" t="e">
        <f>L28*M25</f>
        <v>#REF!</v>
      </c>
      <c r="N28" s="295" t="e">
        <f>F28</f>
        <v>#REF!</v>
      </c>
      <c r="O28" s="296" t="e">
        <f>N28*O25</f>
        <v>#REF!</v>
      </c>
      <c r="P28" s="297" t="e">
        <f>F28</f>
        <v>#REF!</v>
      </c>
      <c r="Q28" s="172" t="e">
        <f>P28*Q25</f>
        <v>#REF!</v>
      </c>
      <c r="R28" s="1"/>
      <c r="S28" s="5" t="s">
        <v>48</v>
      </c>
    </row>
    <row r="29" spans="1:20" x14ac:dyDescent="0.3">
      <c r="A29" s="127"/>
      <c r="B29" s="100"/>
      <c r="C29" s="99"/>
      <c r="D29" s="100"/>
      <c r="E29" s="100"/>
      <c r="F29" s="246"/>
      <c r="G29" s="175"/>
      <c r="H29" s="176"/>
      <c r="I29" s="177"/>
      <c r="J29" s="174"/>
      <c r="K29" s="177"/>
      <c r="L29" s="174"/>
      <c r="M29" s="178"/>
      <c r="N29" s="298"/>
      <c r="O29" s="299"/>
      <c r="P29" s="179"/>
      <c r="Q29" s="177"/>
      <c r="R29" s="1"/>
    </row>
    <row r="30" spans="1:20" ht="16.2" thickBot="1" x14ac:dyDescent="0.35">
      <c r="A30" s="96" t="s">
        <v>49</v>
      </c>
      <c r="B30" s="100"/>
      <c r="C30" s="87"/>
      <c r="D30" s="100"/>
      <c r="E30" s="100"/>
      <c r="F30" s="180"/>
      <c r="G30" s="181"/>
      <c r="H30" s="182"/>
      <c r="I30" s="183"/>
      <c r="J30" s="180"/>
      <c r="K30" s="183"/>
      <c r="L30" s="180"/>
      <c r="M30" s="184"/>
      <c r="N30" s="300"/>
      <c r="O30" s="301"/>
      <c r="P30" s="185"/>
      <c r="Q30" s="183"/>
      <c r="R30" s="1"/>
    </row>
    <row r="31" spans="1:20" ht="16.2" thickBot="1" x14ac:dyDescent="0.35">
      <c r="A31" s="121" t="s">
        <v>50</v>
      </c>
      <c r="B31" s="87"/>
      <c r="C31" s="87"/>
      <c r="D31" s="87"/>
      <c r="E31" s="87"/>
      <c r="F31" s="250">
        <v>0.02</v>
      </c>
      <c r="G31" s="302">
        <f>F31*G25</f>
        <v>4.7564852389000836E-2</v>
      </c>
      <c r="H31" s="294">
        <f>F31</f>
        <v>0.02</v>
      </c>
      <c r="I31" s="303">
        <f>H31*I25</f>
        <v>4.7564852389000836E-2</v>
      </c>
      <c r="J31" s="294">
        <f>F31</f>
        <v>0.02</v>
      </c>
      <c r="K31" s="303">
        <f>J31*K25</f>
        <v>4.7564852389000836E-2</v>
      </c>
      <c r="L31" s="294">
        <f>F31</f>
        <v>0.02</v>
      </c>
      <c r="M31" s="304">
        <f>L31*M25</f>
        <v>4.7564852389000836E-2</v>
      </c>
      <c r="N31" s="295">
        <f>F31</f>
        <v>0.02</v>
      </c>
      <c r="O31" s="303">
        <f>N31*O25</f>
        <v>4.7564852389000836E-2</v>
      </c>
      <c r="P31" s="297">
        <f>F31</f>
        <v>0.02</v>
      </c>
      <c r="Q31" s="303">
        <f>P31*Q25</f>
        <v>4.7564852389000836E-2</v>
      </c>
      <c r="R31" s="1"/>
    </row>
    <row r="32" spans="1:20" ht="18" x14ac:dyDescent="0.3">
      <c r="A32" s="92" t="s">
        <v>51</v>
      </c>
      <c r="B32" s="122"/>
      <c r="C32" s="123"/>
      <c r="D32" s="122"/>
      <c r="E32" s="122"/>
      <c r="F32" s="103"/>
      <c r="G32" s="305" t="e">
        <f>IF(F7&lt;&gt;"",SUM(G25+G28+G31),0)</f>
        <v>#REF!</v>
      </c>
      <c r="H32" s="306"/>
      <c r="I32" s="305" t="e">
        <f>IF(H7&lt;&gt;"",SUM(I25+I28+I31),0)</f>
        <v>#REF!</v>
      </c>
      <c r="J32" s="306"/>
      <c r="K32" s="309" t="e">
        <f>IF(J7&lt;&gt;"",SUM(K25+K28+K31),0)</f>
        <v>#REF!</v>
      </c>
      <c r="L32" s="307"/>
      <c r="M32" s="305" t="e">
        <f>IF(L7&lt;&gt;"",SUM(M25+M28+M31),0)</f>
        <v>#REF!</v>
      </c>
      <c r="N32" s="308"/>
      <c r="O32" s="309" t="e">
        <f>IF(N7&lt;&gt;"",SUM(O25+O28+O31),0)</f>
        <v>#REF!</v>
      </c>
      <c r="P32" s="306"/>
      <c r="Q32" s="309" t="e">
        <f>IF(P7&lt;&gt;"",SUM(Q25+Q28+Q31),0)</f>
        <v>#REF!</v>
      </c>
      <c r="R32" s="1"/>
      <c r="S32" s="140"/>
      <c r="T32" s="140"/>
    </row>
    <row r="33" spans="1:20" ht="16.2" thickBot="1" x14ac:dyDescent="0.35">
      <c r="A33" s="96"/>
      <c r="B33" s="87"/>
      <c r="C33" s="125"/>
      <c r="D33" s="87"/>
      <c r="E33" s="87"/>
      <c r="F33" s="87"/>
      <c r="G33" s="114"/>
      <c r="H33" s="116"/>
      <c r="I33" s="114"/>
      <c r="J33" s="116"/>
      <c r="K33" s="114"/>
      <c r="L33" s="87"/>
      <c r="M33" s="87"/>
      <c r="N33" s="141"/>
      <c r="O33" s="186"/>
      <c r="P33" s="116"/>
      <c r="Q33" s="114"/>
      <c r="R33" s="1"/>
      <c r="S33" s="5" t="s">
        <v>52</v>
      </c>
      <c r="T33" s="145"/>
    </row>
    <row r="34" spans="1:20" ht="16.2" thickBot="1" x14ac:dyDescent="0.35">
      <c r="A34" s="22" t="s">
        <v>53</v>
      </c>
      <c r="B34" s="124"/>
      <c r="C34" s="124"/>
      <c r="D34" s="124"/>
      <c r="E34" s="124"/>
      <c r="F34" s="494">
        <v>1</v>
      </c>
      <c r="G34" s="495"/>
      <c r="H34" s="494">
        <v>0</v>
      </c>
      <c r="I34" s="495"/>
      <c r="J34" s="494">
        <v>0</v>
      </c>
      <c r="K34" s="495"/>
      <c r="L34" s="494">
        <v>0</v>
      </c>
      <c r="M34" s="495"/>
      <c r="N34" s="494">
        <v>0</v>
      </c>
      <c r="O34" s="495"/>
      <c r="P34" s="494">
        <v>0</v>
      </c>
      <c r="Q34" s="495"/>
      <c r="R34" s="1"/>
      <c r="S34" s="235">
        <f>SUM(F34:Q34)</f>
        <v>1</v>
      </c>
      <c r="T34" s="140"/>
    </row>
    <row r="35" spans="1:20" ht="17.25" customHeight="1" thickBot="1" x14ac:dyDescent="0.35">
      <c r="A35" s="187" t="s">
        <v>54</v>
      </c>
      <c r="B35" s="188"/>
      <c r="C35" s="188"/>
      <c r="D35" s="188"/>
      <c r="E35" s="188"/>
      <c r="F35" s="251" t="e">
        <f>(F34*G32+H34*I32+J34*K32+L34*M32+N34*O32+P34*Q32)</f>
        <v>#REF!</v>
      </c>
      <c r="G35" s="20"/>
      <c r="H35" s="20"/>
      <c r="I35" s="20"/>
      <c r="J35" s="20"/>
      <c r="K35" s="20"/>
      <c r="L35" s="20"/>
      <c r="M35" s="194"/>
      <c r="N35" s="20"/>
      <c r="O35" s="189"/>
      <c r="P35" s="190"/>
      <c r="R35" s="1"/>
    </row>
    <row r="36" spans="1:20" ht="18.600000000000001" thickBot="1" x14ac:dyDescent="0.35">
      <c r="A36" s="9" t="s">
        <v>83</v>
      </c>
      <c r="B36" s="155"/>
      <c r="C36" s="155"/>
      <c r="D36" s="155"/>
      <c r="E36" s="155"/>
      <c r="F36" s="341">
        <v>4</v>
      </c>
      <c r="H36" s="242"/>
      <c r="M36" s="13"/>
      <c r="O36" s="191"/>
      <c r="P36" s="192"/>
      <c r="Q36" s="192"/>
    </row>
    <row r="37" spans="1:20" ht="18.600000000000001" thickBot="1" x14ac:dyDescent="0.35">
      <c r="A37" s="9" t="s">
        <v>206</v>
      </c>
      <c r="B37" s="155"/>
      <c r="C37" s="155"/>
      <c r="D37" s="155"/>
      <c r="E37" s="155"/>
      <c r="F37" s="343">
        <v>6</v>
      </c>
      <c r="H37" s="242" t="s">
        <v>207</v>
      </c>
      <c r="M37" s="242"/>
      <c r="P37" s="243"/>
      <c r="Q37" s="192"/>
    </row>
    <row r="38" spans="1:20" ht="18.600000000000001" thickBot="1" x14ac:dyDescent="0.35">
      <c r="A38" s="9" t="s">
        <v>209</v>
      </c>
      <c r="B38" s="155"/>
      <c r="C38" s="155"/>
      <c r="D38" s="155"/>
      <c r="E38" s="155"/>
      <c r="F38" s="344">
        <v>1</v>
      </c>
      <c r="H38" s="242" t="s">
        <v>205</v>
      </c>
      <c r="M38" s="242"/>
      <c r="N38" s="5"/>
      <c r="P38" s="243"/>
      <c r="Q38" s="192"/>
    </row>
    <row r="39" spans="1:20" ht="18.600000000000001" thickBot="1" x14ac:dyDescent="0.35">
      <c r="A39" s="9" t="s">
        <v>84</v>
      </c>
      <c r="B39" s="155"/>
      <c r="C39" s="155"/>
      <c r="D39" s="155"/>
      <c r="E39" s="155"/>
      <c r="F39" s="344">
        <v>6.5</v>
      </c>
      <c r="H39" s="242" t="s">
        <v>205</v>
      </c>
      <c r="M39" s="13"/>
      <c r="O39" s="191"/>
      <c r="P39" s="192"/>
      <c r="Q39" s="192"/>
    </row>
    <row r="40" spans="1:20" ht="18.600000000000001" thickBot="1" x14ac:dyDescent="0.35">
      <c r="A40" s="9" t="s">
        <v>85</v>
      </c>
      <c r="B40" s="155"/>
      <c r="C40" s="155"/>
      <c r="D40" s="155"/>
      <c r="E40" s="155"/>
      <c r="F40" s="340" t="e">
        <f>F35*F36/F37+F38+F39</f>
        <v>#REF!</v>
      </c>
      <c r="M40" s="13"/>
      <c r="O40" s="192"/>
      <c r="P40" s="192"/>
      <c r="Q40" s="192"/>
    </row>
    <row r="41" spans="1:20" ht="18" x14ac:dyDescent="0.3">
      <c r="A41" s="9"/>
      <c r="B41" s="155"/>
      <c r="C41" s="155"/>
      <c r="D41" s="155"/>
      <c r="E41" s="155"/>
      <c r="M41" s="13"/>
      <c r="O41" s="191"/>
      <c r="P41" s="192"/>
      <c r="Q41" s="192"/>
    </row>
    <row r="42" spans="1:20" x14ac:dyDescent="0.3">
      <c r="F42" s="201" t="s">
        <v>55</v>
      </c>
      <c r="G42" s="202">
        <v>1878</v>
      </c>
    </row>
    <row r="43" spans="1:20" x14ac:dyDescent="0.3">
      <c r="M43" s="5"/>
      <c r="N43" s="5"/>
      <c r="O43" s="5"/>
      <c r="P43" s="5"/>
    </row>
    <row r="44" spans="1:20" x14ac:dyDescent="0.3">
      <c r="F44" s="201"/>
      <c r="G44" s="202" t="s">
        <v>72</v>
      </c>
      <c r="H44" s="202" t="s">
        <v>73</v>
      </c>
      <c r="I44" s="202" t="s">
        <v>74</v>
      </c>
      <c r="J44" s="202" t="s">
        <v>75</v>
      </c>
      <c r="K44" s="202" t="s">
        <v>76</v>
      </c>
      <c r="L44" s="202" t="s">
        <v>77</v>
      </c>
      <c r="M44" s="5"/>
    </row>
    <row r="45" spans="1:20" x14ac:dyDescent="0.3">
      <c r="F45" s="203"/>
      <c r="G45" s="203"/>
      <c r="H45" s="203"/>
      <c r="I45" s="203"/>
      <c r="J45" s="203"/>
      <c r="K45" s="203"/>
      <c r="L45" s="203"/>
      <c r="M45" s="5"/>
    </row>
    <row r="46" spans="1:20" ht="16.2" thickBot="1" x14ac:dyDescent="0.35">
      <c r="F46" s="253" t="s">
        <v>57</v>
      </c>
      <c r="G46" s="204">
        <f>$G$42*G15</f>
        <v>4150.38</v>
      </c>
      <c r="H46" s="204">
        <f>$G$42*I15</f>
        <v>4150.38</v>
      </c>
      <c r="I46" s="204">
        <f>$G$42*K15</f>
        <v>4150.38</v>
      </c>
      <c r="J46" s="204">
        <f>$G$42*M15</f>
        <v>4150.38</v>
      </c>
      <c r="K46" s="204">
        <f>$G$42*O15</f>
        <v>4150.38</v>
      </c>
      <c r="L46" s="204">
        <f>$G$42*Q15</f>
        <v>4150.38</v>
      </c>
      <c r="M46" s="5"/>
    </row>
    <row r="47" spans="1:20" ht="16.2" thickBot="1" x14ac:dyDescent="0.35">
      <c r="A47" s="197" t="s">
        <v>202</v>
      </c>
      <c r="F47" s="331">
        <f>IF('Algemene kostprijsfactoren'!$F$12&lt;&gt;"",'Algemene kostprijsfactoren'!$F$12,'Algemene kostprijsfactoren'!$C$12)</f>
        <v>0.25800000000000001</v>
      </c>
      <c r="G47" s="252">
        <f>$F$47</f>
        <v>0.25800000000000001</v>
      </c>
      <c r="H47" s="205">
        <f t="shared" ref="H47:L47" si="0">$F$47</f>
        <v>0.25800000000000001</v>
      </c>
      <c r="I47" s="205">
        <f t="shared" si="0"/>
        <v>0.25800000000000001</v>
      </c>
      <c r="J47" s="205">
        <f t="shared" si="0"/>
        <v>0.25800000000000001</v>
      </c>
      <c r="K47" s="205">
        <f t="shared" si="0"/>
        <v>0.25800000000000001</v>
      </c>
      <c r="L47" s="205">
        <f t="shared" si="0"/>
        <v>0.25800000000000001</v>
      </c>
      <c r="M47" s="5"/>
      <c r="N47" s="256" t="s">
        <v>177</v>
      </c>
      <c r="O47" s="209"/>
      <c r="P47" s="209"/>
      <c r="Q47" s="209"/>
    </row>
    <row r="48" spans="1:20" ht="16.2" thickBot="1" x14ac:dyDescent="0.35">
      <c r="A48" s="197" t="s">
        <v>179</v>
      </c>
      <c r="F48" s="332">
        <f>IF('Algemene kostprijsfactoren'!$F$13&lt;&gt;"",'Algemene kostprijsfactoren'!$F$13,'Algemene kostprijsfactoren'!$C$13)</f>
        <v>16655</v>
      </c>
      <c r="G48" s="310">
        <f>$F$48</f>
        <v>16655</v>
      </c>
      <c r="H48" s="311">
        <f t="shared" ref="H48:L48" si="1">$F$48</f>
        <v>16655</v>
      </c>
      <c r="I48" s="311">
        <f t="shared" si="1"/>
        <v>16655</v>
      </c>
      <c r="J48" s="311">
        <f t="shared" si="1"/>
        <v>16655</v>
      </c>
      <c r="K48" s="311">
        <f t="shared" si="1"/>
        <v>16655</v>
      </c>
      <c r="L48" s="311">
        <f t="shared" si="1"/>
        <v>16655</v>
      </c>
      <c r="M48"/>
      <c r="N48" s="256" t="s">
        <v>180</v>
      </c>
      <c r="O48" s="209"/>
      <c r="P48" s="209"/>
      <c r="Q48" s="209"/>
    </row>
    <row r="49" spans="1:19" ht="16.2" thickBot="1" x14ac:dyDescent="0.35">
      <c r="A49" s="197" t="s">
        <v>12</v>
      </c>
      <c r="F49" s="254"/>
      <c r="G49" s="204">
        <f>(G46-G48)*G47</f>
        <v>-3226.1919599999997</v>
      </c>
      <c r="H49" s="204">
        <f t="shared" ref="H49:K49" si="2">(H46-H48)*H47</f>
        <v>-3226.1919599999997</v>
      </c>
      <c r="I49" s="204">
        <f t="shared" si="2"/>
        <v>-3226.1919599999997</v>
      </c>
      <c r="J49" s="204">
        <f t="shared" si="2"/>
        <v>-3226.1919599999997</v>
      </c>
      <c r="K49" s="204">
        <f t="shared" si="2"/>
        <v>-3226.1919599999997</v>
      </c>
      <c r="L49" s="204">
        <f>(L46-L48)*L47</f>
        <v>-3226.1919599999997</v>
      </c>
      <c r="M49" s="5"/>
    </row>
    <row r="50" spans="1:19" ht="16.8" thickTop="1" thickBot="1" x14ac:dyDescent="0.35">
      <c r="A50" s="198" t="s">
        <v>13</v>
      </c>
      <c r="F50" s="331">
        <f>IF('Algemene kostprijsfactoren'!$F$15&lt;&gt;"",'Algemene kostprijsfactoren'!$F$15,'Algemene kostprijsfactoren'!$C$15)</f>
        <v>0.5</v>
      </c>
      <c r="G50" s="206">
        <f>(G49/G46)*$F$50</f>
        <v>-0.38866223815650608</v>
      </c>
      <c r="H50" s="206">
        <f t="shared" ref="H50:L50" si="3">(H49/H46)*$F$50</f>
        <v>-0.38866223815650608</v>
      </c>
      <c r="I50" s="206">
        <f t="shared" si="3"/>
        <v>-0.38866223815650608</v>
      </c>
      <c r="J50" s="206">
        <f t="shared" si="3"/>
        <v>-0.38866223815650608</v>
      </c>
      <c r="K50" s="206">
        <f t="shared" si="3"/>
        <v>-0.38866223815650608</v>
      </c>
      <c r="L50" s="206">
        <f t="shared" si="3"/>
        <v>-0.38866223815650608</v>
      </c>
      <c r="M50" s="5"/>
    </row>
    <row r="51" spans="1:19" ht="16.8" thickTop="1" thickBot="1" x14ac:dyDescent="0.35">
      <c r="A51" s="197" t="s">
        <v>203</v>
      </c>
      <c r="F51" s="331">
        <f>IF('Algemene kostprijsfactoren'!$F$16&lt;&gt;"",'Algemene kostprijsfactoren'!$F$16,'Algemene kostprijsfactoren'!$C$16)</f>
        <v>5.0000000000000001E-3</v>
      </c>
      <c r="G51" s="252">
        <f>$F$51</f>
        <v>5.0000000000000001E-3</v>
      </c>
      <c r="H51" s="205">
        <f t="shared" ref="H51:L51" si="4">$F$51</f>
        <v>5.0000000000000001E-3</v>
      </c>
      <c r="I51" s="205">
        <f t="shared" si="4"/>
        <v>5.0000000000000001E-3</v>
      </c>
      <c r="J51" s="205">
        <f t="shared" si="4"/>
        <v>5.0000000000000001E-3</v>
      </c>
      <c r="K51" s="205">
        <f t="shared" si="4"/>
        <v>5.0000000000000001E-3</v>
      </c>
      <c r="L51" s="205">
        <f t="shared" si="4"/>
        <v>5.0000000000000001E-3</v>
      </c>
      <c r="M51" s="5"/>
      <c r="N51" s="256" t="s">
        <v>178</v>
      </c>
      <c r="O51" s="209"/>
      <c r="P51" s="209"/>
      <c r="Q51" s="209"/>
    </row>
    <row r="52" spans="1:19" ht="16.2" thickBot="1" x14ac:dyDescent="0.35">
      <c r="A52" s="197" t="s">
        <v>204</v>
      </c>
      <c r="F52" s="332">
        <f>IF('Algemene kostprijsfactoren'!$F$17&lt;&gt;"",'Algemene kostprijsfactoren'!$F$17,'Algemene kostprijsfactoren'!$C$17)</f>
        <v>28405</v>
      </c>
      <c r="G52" s="310">
        <f>$F52</f>
        <v>28405</v>
      </c>
      <c r="H52" s="311">
        <f t="shared" ref="H52:L52" si="5">$F52</f>
        <v>28405</v>
      </c>
      <c r="I52" s="311">
        <f t="shared" si="5"/>
        <v>28405</v>
      </c>
      <c r="J52" s="311">
        <f t="shared" si="5"/>
        <v>28405</v>
      </c>
      <c r="K52" s="311">
        <f t="shared" si="5"/>
        <v>28405</v>
      </c>
      <c r="L52" s="311">
        <f t="shared" si="5"/>
        <v>28405</v>
      </c>
      <c r="M52"/>
      <c r="N52" s="256" t="s">
        <v>180</v>
      </c>
      <c r="O52" s="209"/>
      <c r="P52" s="209"/>
      <c r="Q52" s="209"/>
    </row>
    <row r="53" spans="1:19" ht="16.2" thickBot="1" x14ac:dyDescent="0.35">
      <c r="A53" s="199" t="s">
        <v>14</v>
      </c>
      <c r="F53" s="255"/>
      <c r="G53" s="207">
        <f>(G46-G52)*G51</f>
        <v>-121.2731</v>
      </c>
      <c r="H53" s="207">
        <f t="shared" ref="H53:L53" si="6">(H46-H52)*H51</f>
        <v>-121.2731</v>
      </c>
      <c r="I53" s="207">
        <f t="shared" si="6"/>
        <v>-121.2731</v>
      </c>
      <c r="J53" s="207">
        <f t="shared" si="6"/>
        <v>-121.2731</v>
      </c>
      <c r="K53" s="207">
        <f>(K46-K52)*K51</f>
        <v>-121.2731</v>
      </c>
      <c r="L53" s="207">
        <f t="shared" si="6"/>
        <v>-121.2731</v>
      </c>
      <c r="M53" s="5"/>
    </row>
    <row r="54" spans="1:19" ht="16.8" thickTop="1" thickBot="1" x14ac:dyDescent="0.35">
      <c r="A54" s="198" t="s">
        <v>15</v>
      </c>
      <c r="F54" s="331">
        <f>IF('Algemene kostprijsfactoren'!$F$19&lt;&gt;"",'Algemene kostprijsfactoren'!$F$19,'Algemene kostprijsfactoren'!$C$19)</f>
        <v>0.5</v>
      </c>
      <c r="G54" s="206">
        <f>(G53/G46)*$F54</f>
        <v>-1.460987909540813E-2</v>
      </c>
      <c r="H54" s="206">
        <f t="shared" ref="H54:L54" si="7">(H53/H46)*$F54</f>
        <v>-1.460987909540813E-2</v>
      </c>
      <c r="I54" s="206">
        <f t="shared" si="7"/>
        <v>-1.460987909540813E-2</v>
      </c>
      <c r="J54" s="206">
        <f t="shared" si="7"/>
        <v>-1.460987909540813E-2</v>
      </c>
      <c r="K54" s="206">
        <f t="shared" si="7"/>
        <v>-1.460987909540813E-2</v>
      </c>
      <c r="L54" s="206">
        <f t="shared" si="7"/>
        <v>-1.460987909540813E-2</v>
      </c>
      <c r="M54" s="5"/>
    </row>
    <row r="55" spans="1:19" ht="16.2" thickTop="1" x14ac:dyDescent="0.3">
      <c r="F55" s="333" t="s">
        <v>58</v>
      </c>
      <c r="G55" s="208">
        <f>G54+G50</f>
        <v>-0.4032721172519142</v>
      </c>
      <c r="H55" s="208">
        <f t="shared" ref="H55:L55" si="8">H54+H50</f>
        <v>-0.4032721172519142</v>
      </c>
      <c r="I55" s="208">
        <f t="shared" si="8"/>
        <v>-0.4032721172519142</v>
      </c>
      <c r="J55" s="208">
        <f t="shared" si="8"/>
        <v>-0.4032721172519142</v>
      </c>
      <c r="K55" s="208">
        <f t="shared" si="8"/>
        <v>-0.4032721172519142</v>
      </c>
      <c r="L55" s="208">
        <f t="shared" si="8"/>
        <v>-0.4032721172519142</v>
      </c>
      <c r="M55" s="5"/>
    </row>
    <row r="57" spans="1:19" x14ac:dyDescent="0.3">
      <c r="A57" s="197" t="s">
        <v>16</v>
      </c>
      <c r="F57" s="330">
        <f>IF('Algemene kostprijsfactoren'!$F$22&lt;&gt;"",'Algemene kostprijsfactoren'!$F$22,'Algemene kostprijsfactoren'!$C$22)</f>
        <v>7.5800000000000006E-2</v>
      </c>
      <c r="G57" s="195"/>
      <c r="H57" s="209">
        <v>7.1099999999999997E-2</v>
      </c>
      <c r="I57" s="496" t="s">
        <v>193</v>
      </c>
      <c r="J57" s="497"/>
      <c r="K57" s="497"/>
      <c r="L57" s="497"/>
      <c r="M57" s="497"/>
      <c r="N57" s="497"/>
      <c r="O57" s="497"/>
      <c r="P57" s="497"/>
      <c r="Q57" s="497"/>
      <c r="R57" s="497"/>
      <c r="S57" s="498"/>
    </row>
    <row r="58" spans="1:19" x14ac:dyDescent="0.3">
      <c r="A58" s="197" t="s">
        <v>17</v>
      </c>
      <c r="F58" s="330">
        <f>IF('Algemene kostprijsfactoren'!$F$23&lt;&gt;"",'Algemene kostprijsfactoren'!$F$23,'Algemene kostprijsfactoren'!$C$23)</f>
        <v>3.49E-2</v>
      </c>
      <c r="G58" s="195"/>
      <c r="H58" s="499" t="s">
        <v>181</v>
      </c>
      <c r="I58" s="500"/>
      <c r="J58" s="500" t="s">
        <v>181</v>
      </c>
      <c r="K58" s="500"/>
      <c r="L58" s="500" t="s">
        <v>181</v>
      </c>
      <c r="M58" s="500"/>
      <c r="N58" s="500" t="s">
        <v>181</v>
      </c>
      <c r="O58" s="500"/>
      <c r="P58" s="500" t="s">
        <v>181</v>
      </c>
      <c r="Q58" s="500"/>
      <c r="R58" s="500" t="s">
        <v>181</v>
      </c>
      <c r="S58" s="501"/>
    </row>
    <row r="59" spans="1:19" x14ac:dyDescent="0.3">
      <c r="A59" s="197" t="s">
        <v>18</v>
      </c>
      <c r="F59" s="330">
        <f>IF('Algemene kostprijsfactoren'!$F$24&lt;&gt;"",'Algemene kostprijsfactoren'!$F$24,'Algemene kostprijsfactoren'!$C$24)</f>
        <v>6.5100000000000005E-2</v>
      </c>
      <c r="G59" s="195"/>
      <c r="H59" s="209">
        <v>6.6799999999999998E-2</v>
      </c>
      <c r="I59" s="496" t="s">
        <v>182</v>
      </c>
      <c r="J59" s="497"/>
      <c r="K59" s="497"/>
      <c r="L59" s="497"/>
      <c r="M59" s="497"/>
      <c r="N59" s="497"/>
      <c r="O59" s="497"/>
      <c r="P59" s="497"/>
      <c r="Q59" s="497"/>
      <c r="R59" s="497"/>
      <c r="S59" s="498"/>
    </row>
    <row r="60" spans="1:19" x14ac:dyDescent="0.3">
      <c r="A60" s="197" t="s">
        <v>19</v>
      </c>
      <c r="F60" s="330">
        <f>IF('Algemene kostprijsfactoren'!$F$25&lt;&gt;"",'Algemene kostprijsfactoren'!$F$25,'Algemene kostprijsfactoren'!$C$25)</f>
        <v>1.3299999999999999E-2</v>
      </c>
      <c r="G60" s="195"/>
      <c r="H60" s="496" t="s">
        <v>20</v>
      </c>
      <c r="I60" s="497"/>
      <c r="J60" s="497"/>
      <c r="K60" s="497"/>
      <c r="L60" s="497"/>
      <c r="M60" s="497"/>
      <c r="N60" s="497"/>
      <c r="O60" s="497"/>
      <c r="P60" s="497"/>
      <c r="Q60" s="497"/>
      <c r="R60" s="497"/>
      <c r="S60" s="498"/>
    </row>
    <row r="61" spans="1:19" ht="16.2" thickBot="1" x14ac:dyDescent="0.35">
      <c r="A61" s="199" t="s">
        <v>21</v>
      </c>
      <c r="F61" s="330">
        <f>IF('Algemene kostprijsfactoren'!$F$26&lt;&gt;"",'Algemene kostprijsfactoren'!$F$26,'Algemene kostprijsfactoren'!$C$26)</f>
        <v>3.5000000000000001E-3</v>
      </c>
      <c r="G61" s="195"/>
      <c r="H61" s="496" t="s">
        <v>22</v>
      </c>
      <c r="I61" s="497"/>
      <c r="J61" s="497"/>
      <c r="K61" s="497"/>
      <c r="L61" s="497"/>
      <c r="M61" s="497"/>
      <c r="N61" s="497"/>
      <c r="O61" s="497"/>
      <c r="P61" s="497"/>
      <c r="Q61" s="497"/>
      <c r="R61" s="497"/>
      <c r="S61" s="498"/>
    </row>
    <row r="62" spans="1:19" ht="16.2" thickTop="1" x14ac:dyDescent="0.3">
      <c r="A62" s="200" t="s">
        <v>23</v>
      </c>
      <c r="F62" s="328">
        <f>SUM(F57:F61)</f>
        <v>0.19260000000000002</v>
      </c>
      <c r="G62" s="195"/>
      <c r="H62" s="196"/>
      <c r="I62" s="196"/>
    </row>
    <row r="64" spans="1:19" x14ac:dyDescent="0.3">
      <c r="F64" s="6" t="s">
        <v>59</v>
      </c>
      <c r="G64" s="6" t="s">
        <v>60</v>
      </c>
      <c r="H64" s="6" t="s">
        <v>61</v>
      </c>
    </row>
    <row r="65" spans="1:19" ht="16.2" thickBot="1" x14ac:dyDescent="0.35">
      <c r="A65" s="215" t="s">
        <v>62</v>
      </c>
      <c r="F65" s="218"/>
      <c r="G65" s="219">
        <v>1878</v>
      </c>
      <c r="H65" s="220"/>
      <c r="I65" s="211"/>
      <c r="J65" s="478" t="s">
        <v>63</v>
      </c>
      <c r="K65" s="479"/>
      <c r="L65" s="479"/>
      <c r="M65" s="479"/>
      <c r="N65" s="479"/>
      <c r="O65" s="479"/>
      <c r="P65" s="479"/>
      <c r="Q65" s="479"/>
      <c r="R65" s="479"/>
      <c r="S65" s="480"/>
    </row>
    <row r="66" spans="1:19" ht="16.2" thickTop="1" x14ac:dyDescent="0.3">
      <c r="A66" s="197" t="s">
        <v>11</v>
      </c>
      <c r="F66" s="234" t="s">
        <v>31</v>
      </c>
      <c r="G66" s="221">
        <f>$G$65*H66</f>
        <v>150.42780000000002</v>
      </c>
      <c r="H66" s="329">
        <f>IF('Algemene kostprijsfactoren'!F8&lt;&gt;"",'Algemene kostprijsfactoren'!F8,'Algemene kostprijsfactoren'!C8)</f>
        <v>8.0100000000000005E-2</v>
      </c>
      <c r="I66" s="211"/>
      <c r="J66" s="230">
        <f>'Algemene kostprijsfactoren'!C8</f>
        <v>8.0100000000000005E-2</v>
      </c>
      <c r="K66" s="257" t="s">
        <v>195</v>
      </c>
      <c r="L66" s="258"/>
      <c r="M66" s="258"/>
      <c r="N66" s="258"/>
      <c r="O66" s="258"/>
      <c r="P66" s="258"/>
      <c r="Q66" s="258"/>
      <c r="R66" s="259"/>
      <c r="S66" s="260"/>
    </row>
    <row r="67" spans="1:19" x14ac:dyDescent="0.3">
      <c r="A67" s="197" t="s">
        <v>64</v>
      </c>
      <c r="F67" s="234" t="s">
        <v>31</v>
      </c>
      <c r="G67" s="337">
        <f>(144+58.4+35)</f>
        <v>237.4</v>
      </c>
      <c r="H67" s="222"/>
      <c r="I67" s="211"/>
      <c r="J67" s="312" t="s">
        <v>65</v>
      </c>
      <c r="K67" s="261"/>
      <c r="L67" s="261"/>
      <c r="M67" s="261"/>
      <c r="N67" s="261"/>
      <c r="O67" s="261"/>
      <c r="P67" s="261"/>
      <c r="Q67" s="261"/>
      <c r="R67" s="226"/>
      <c r="S67" s="262"/>
    </row>
    <row r="68" spans="1:19" x14ac:dyDescent="0.3">
      <c r="A68" s="197" t="s">
        <v>66</v>
      </c>
      <c r="F68" s="234" t="s">
        <v>31</v>
      </c>
      <c r="G68" s="221">
        <f>G65*H68</f>
        <v>37.56</v>
      </c>
      <c r="H68" s="227">
        <v>0.02</v>
      </c>
      <c r="I68" s="211"/>
      <c r="J68" s="263" t="s">
        <v>78</v>
      </c>
      <c r="K68" s="264"/>
      <c r="L68" s="264"/>
      <c r="M68" s="264"/>
      <c r="N68" s="264"/>
      <c r="O68" s="264"/>
      <c r="P68" s="264"/>
      <c r="Q68" s="264"/>
      <c r="R68" s="265"/>
      <c r="S68" s="266"/>
    </row>
    <row r="69" spans="1:19" x14ac:dyDescent="0.3">
      <c r="A69" s="197" t="s">
        <v>215</v>
      </c>
      <c r="F69" s="234" t="s">
        <v>31</v>
      </c>
      <c r="G69" s="221">
        <f>G65*H69</f>
        <v>75.12</v>
      </c>
      <c r="H69" s="228">
        <v>0.04</v>
      </c>
      <c r="I69" s="211"/>
      <c r="J69" s="313" t="s">
        <v>79</v>
      </c>
      <c r="K69" s="267"/>
      <c r="L69" s="267"/>
      <c r="M69" s="267"/>
      <c r="N69" s="267"/>
      <c r="O69" s="267"/>
      <c r="P69" s="267"/>
      <c r="Q69" s="267"/>
      <c r="R69" s="268"/>
      <c r="S69" s="269"/>
    </row>
    <row r="70" spans="1:19" ht="16.2" thickBot="1" x14ac:dyDescent="0.35">
      <c r="A70" s="197" t="s">
        <v>67</v>
      </c>
      <c r="F70" s="234" t="s">
        <v>137</v>
      </c>
      <c r="G70" s="342">
        <f>G65*H70</f>
        <v>0</v>
      </c>
      <c r="H70" s="229">
        <v>0</v>
      </c>
      <c r="I70" s="211"/>
      <c r="J70" s="312" t="s">
        <v>212</v>
      </c>
      <c r="K70" s="270"/>
      <c r="L70" s="270"/>
      <c r="M70" s="270"/>
      <c r="N70" s="270"/>
      <c r="O70" s="270"/>
      <c r="P70" s="270"/>
      <c r="Q70" s="270"/>
      <c r="R70" s="225"/>
      <c r="S70" s="217"/>
    </row>
    <row r="71" spans="1:19" ht="16.2" thickTop="1" x14ac:dyDescent="0.3">
      <c r="A71" s="231" t="s">
        <v>68</v>
      </c>
      <c r="F71" s="223"/>
      <c r="G71" s="314">
        <f>G65-SUMIFS(G66:G70,F66:F70,"Ja")</f>
        <v>1377.4921999999999</v>
      </c>
      <c r="H71" s="224"/>
      <c r="I71" s="212"/>
      <c r="J71" s="213"/>
    </row>
    <row r="72" spans="1:19" x14ac:dyDescent="0.3">
      <c r="A72" s="214"/>
      <c r="F72" s="225"/>
      <c r="G72" s="226"/>
      <c r="H72" s="226"/>
      <c r="I72" s="213"/>
      <c r="J72" s="213"/>
    </row>
    <row r="73" spans="1:19" x14ac:dyDescent="0.3">
      <c r="A73" s="216" t="s">
        <v>69</v>
      </c>
      <c r="F73" s="217"/>
      <c r="G73" s="481">
        <f>G71/G65</f>
        <v>0.73348892438764635</v>
      </c>
      <c r="H73" s="482"/>
      <c r="I73" s="213"/>
      <c r="J73" s="213"/>
    </row>
    <row r="76" spans="1:19" x14ac:dyDescent="0.3">
      <c r="A76" s="5" t="s">
        <v>70</v>
      </c>
    </row>
    <row r="77" spans="1:19" x14ac:dyDescent="0.3">
      <c r="A77" s="483"/>
      <c r="B77" s="484"/>
      <c r="C77" s="484"/>
      <c r="D77" s="484"/>
      <c r="E77" s="484"/>
      <c r="F77" s="484"/>
      <c r="G77" s="484"/>
      <c r="H77" s="484"/>
      <c r="I77" s="484"/>
      <c r="J77" s="484"/>
      <c r="K77" s="484"/>
      <c r="L77" s="484"/>
      <c r="M77" s="484"/>
      <c r="N77" s="484"/>
      <c r="O77" s="484"/>
      <c r="P77" s="484"/>
      <c r="Q77" s="484"/>
      <c r="R77" s="484"/>
      <c r="S77" s="485"/>
    </row>
    <row r="78" spans="1:19" x14ac:dyDescent="0.3">
      <c r="A78" s="486"/>
      <c r="B78" s="487"/>
      <c r="C78" s="487"/>
      <c r="D78" s="487"/>
      <c r="E78" s="487"/>
      <c r="F78" s="487"/>
      <c r="G78" s="487"/>
      <c r="H78" s="487"/>
      <c r="I78" s="487"/>
      <c r="J78" s="487"/>
      <c r="K78" s="487"/>
      <c r="L78" s="487"/>
      <c r="M78" s="487"/>
      <c r="N78" s="487"/>
      <c r="O78" s="487"/>
      <c r="P78" s="487"/>
      <c r="Q78" s="487"/>
      <c r="R78" s="487"/>
      <c r="S78" s="488"/>
    </row>
    <row r="79" spans="1:19" x14ac:dyDescent="0.3">
      <c r="A79" s="486"/>
      <c r="B79" s="487"/>
      <c r="C79" s="487"/>
      <c r="D79" s="487"/>
      <c r="E79" s="487"/>
      <c r="F79" s="487"/>
      <c r="G79" s="487"/>
      <c r="H79" s="487"/>
      <c r="I79" s="487"/>
      <c r="J79" s="487"/>
      <c r="K79" s="487"/>
      <c r="L79" s="487"/>
      <c r="M79" s="487"/>
      <c r="N79" s="487"/>
      <c r="O79" s="487"/>
      <c r="P79" s="487"/>
      <c r="Q79" s="487"/>
      <c r="R79" s="487"/>
      <c r="S79" s="488"/>
    </row>
    <row r="80" spans="1:19" x14ac:dyDescent="0.3">
      <c r="A80" s="486"/>
      <c r="B80" s="487"/>
      <c r="C80" s="487"/>
      <c r="D80" s="487"/>
      <c r="E80" s="487"/>
      <c r="F80" s="487"/>
      <c r="G80" s="487"/>
      <c r="H80" s="487"/>
      <c r="I80" s="487"/>
      <c r="J80" s="487"/>
      <c r="K80" s="487"/>
      <c r="L80" s="487"/>
      <c r="M80" s="487"/>
      <c r="N80" s="487"/>
      <c r="O80" s="487"/>
      <c r="P80" s="487"/>
      <c r="Q80" s="487"/>
      <c r="R80" s="487"/>
      <c r="S80" s="488"/>
    </row>
    <row r="81" spans="1:19" x14ac:dyDescent="0.3">
      <c r="A81" s="486"/>
      <c r="B81" s="487"/>
      <c r="C81" s="487"/>
      <c r="D81" s="487"/>
      <c r="E81" s="487"/>
      <c r="F81" s="487"/>
      <c r="G81" s="487"/>
      <c r="H81" s="487"/>
      <c r="I81" s="487"/>
      <c r="J81" s="487"/>
      <c r="K81" s="487"/>
      <c r="L81" s="487"/>
      <c r="M81" s="487"/>
      <c r="N81" s="487"/>
      <c r="O81" s="487"/>
      <c r="P81" s="487"/>
      <c r="Q81" s="487"/>
      <c r="R81" s="487"/>
      <c r="S81" s="488"/>
    </row>
    <row r="82" spans="1:19" x14ac:dyDescent="0.3">
      <c r="A82" s="489"/>
      <c r="B82" s="490"/>
      <c r="C82" s="490"/>
      <c r="D82" s="490"/>
      <c r="E82" s="490"/>
      <c r="F82" s="490"/>
      <c r="G82" s="490"/>
      <c r="H82" s="490"/>
      <c r="I82" s="490"/>
      <c r="J82" s="490"/>
      <c r="K82" s="490"/>
      <c r="L82" s="490"/>
      <c r="M82" s="490"/>
      <c r="N82" s="490"/>
      <c r="O82" s="490"/>
      <c r="P82" s="490"/>
      <c r="Q82" s="490"/>
      <c r="R82" s="490"/>
      <c r="S82" s="491"/>
    </row>
  </sheetData>
  <sheetProtection algorithmName="SHA-512" hashValue="dERXDkGM0zOeS01kyv1TxPqMRT+KfgK7EylUrudS4vGyuZv+tvtQXtPBvsFwbR2nCpvfyIqCTWhwM+R3xouNDw==" saltValue="un0Ar9xF2J19H0DdlJZIoA==" spinCount="100000" sheet="1" objects="1" scenarios="1"/>
  <protectedRanges>
    <protectedRange algorithmName="SHA-512" hashValue="zrr1YC170iD4z5ngO6i+dvye2WxwMuZwyCItKXOM0Fb0EC895yDhie8vErJXeoL6fSMcx6aoO1sn5XcoWfI8lg==" saltValue="T/jZUAo6mJPMXMKTIHv+sw==" spinCount="100000" sqref="H66 F66:F70 H68:H70" name="Inputcellen_3"/>
  </protectedRanges>
  <mergeCells count="21">
    <mergeCell ref="F4:M4"/>
    <mergeCell ref="F7:G7"/>
    <mergeCell ref="H7:I7"/>
    <mergeCell ref="J7:K7"/>
    <mergeCell ref="L7:M7"/>
    <mergeCell ref="P7:Q7"/>
    <mergeCell ref="F34:G34"/>
    <mergeCell ref="H34:I34"/>
    <mergeCell ref="J34:K34"/>
    <mergeCell ref="L34:M34"/>
    <mergeCell ref="N34:O34"/>
    <mergeCell ref="P34:Q34"/>
    <mergeCell ref="N7:O7"/>
    <mergeCell ref="G73:H73"/>
    <mergeCell ref="A77:S82"/>
    <mergeCell ref="I57:S57"/>
    <mergeCell ref="H58:S58"/>
    <mergeCell ref="I59:S59"/>
    <mergeCell ref="H60:S60"/>
    <mergeCell ref="H61:S61"/>
    <mergeCell ref="J65:S65"/>
  </mergeCells>
  <conditionalFormatting sqref="F47:F48 F54 F57:F61">
    <cfRule type="expression" dxfId="13" priority="1">
      <formula>$C$73="Opslag"</formula>
    </cfRule>
  </conditionalFormatting>
  <conditionalFormatting sqref="F50:F52">
    <cfRule type="expression" dxfId="12" priority="2">
      <formula>$C$73="Opslag"</formula>
    </cfRule>
  </conditionalFormatting>
  <conditionalFormatting sqref="F62">
    <cfRule type="expression" dxfId="11" priority="5">
      <formula>$C$78="Opslag"</formula>
    </cfRule>
  </conditionalFormatting>
  <conditionalFormatting sqref="S34">
    <cfRule type="expression" dxfId="10" priority="3">
      <formula>$S$34=1</formula>
    </cfRule>
    <cfRule type="expression" dxfId="9" priority="4">
      <formula>$S$34&lt;&gt;1</formula>
    </cfRule>
  </conditionalFormatting>
  <conditionalFormatting sqref="T33">
    <cfRule type="cellIs" dxfId="8" priority="8" operator="equal">
      <formula>1</formula>
    </cfRule>
  </conditionalFormatting>
  <pageMargins left="0.7" right="0.7" top="0.75" bottom="0.75" header="0.3" footer="0.3"/>
  <pageSetup paperSize="9" scale="41"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13B37-9426-43DE-8D57-BB4335A00FF3}">
  <sheetPr codeName="Sheet10"/>
  <dimension ref="A2:C4"/>
  <sheetViews>
    <sheetView workbookViewId="0">
      <selection activeCell="A11" sqref="A11"/>
    </sheetView>
  </sheetViews>
  <sheetFormatPr defaultColWidth="8.8984375" defaultRowHeight="15.6" x14ac:dyDescent="0.3"/>
  <cols>
    <col min="1" max="1" width="52.3984375" customWidth="1"/>
    <col min="2" max="2" width="10.09765625" customWidth="1"/>
    <col min="3" max="3" width="37.5" customWidth="1"/>
  </cols>
  <sheetData>
    <row r="2" spans="1:3" ht="16.2" thickBot="1" x14ac:dyDescent="0.35">
      <c r="A2" s="326" t="s">
        <v>86</v>
      </c>
      <c r="B2" t="s">
        <v>87</v>
      </c>
      <c r="C2" s="326" t="s">
        <v>8</v>
      </c>
    </row>
    <row r="3" spans="1:3" ht="16.2" thickBot="1" x14ac:dyDescent="0.35">
      <c r="A3" t="s">
        <v>88</v>
      </c>
      <c r="B3" s="249">
        <v>7</v>
      </c>
      <c r="C3" t="s">
        <v>7</v>
      </c>
    </row>
    <row r="4" spans="1:3" ht="16.2" thickBot="1" x14ac:dyDescent="0.35">
      <c r="A4" t="s">
        <v>89</v>
      </c>
      <c r="B4" s="249">
        <v>17</v>
      </c>
      <c r="C4" t="s">
        <v>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8585A-F5F0-4FD6-8654-D127BA6E5E18}">
  <sheetPr>
    <tabColor theme="8" tint="0.79998168889431442"/>
    <pageSetUpPr fitToPage="1"/>
  </sheetPr>
  <dimension ref="A2:U82"/>
  <sheetViews>
    <sheetView zoomScale="80" zoomScaleNormal="80" workbookViewId="0">
      <pane ySplit="4" topLeftCell="A27" activePane="bottomLeft" state="frozen"/>
      <selection activeCell="A77" sqref="A77:S82"/>
      <selection pane="bottomLeft" activeCell="K50" sqref="K50"/>
    </sheetView>
  </sheetViews>
  <sheetFormatPr defaultColWidth="10.5" defaultRowHeight="15.6" x14ac:dyDescent="0.3"/>
  <cols>
    <col min="1" max="1" width="75.09765625" style="5" customWidth="1"/>
    <col min="2" max="2" width="0.5" style="6" hidden="1" customWidth="1"/>
    <col min="3" max="3" width="14" style="6" hidden="1" customWidth="1"/>
    <col min="4"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hidden="1" customWidth="1"/>
    <col min="13" max="13" width="13.09765625" style="6" hidden="1" customWidth="1"/>
    <col min="14" max="14" width="13.59765625" style="6" hidden="1" customWidth="1"/>
    <col min="15" max="15" width="14.8984375" style="6" hidden="1" customWidth="1"/>
    <col min="16" max="16" width="13.5" style="6" customWidth="1"/>
    <col min="17" max="17" width="13" style="6" customWidth="1"/>
    <col min="18" max="18" width="1.3984375" style="5" customWidth="1"/>
    <col min="19" max="19" width="42.8984375" style="5" customWidth="1"/>
    <col min="20" max="20" width="31.3984375" style="5" bestFit="1"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s="18" customFormat="1" ht="21" x14ac:dyDescent="0.35">
      <c r="A4" s="398" t="s">
        <v>511</v>
      </c>
      <c r="B4" s="399"/>
      <c r="C4" s="399"/>
      <c r="D4" s="399"/>
      <c r="E4" s="399"/>
      <c r="F4" s="521"/>
      <c r="G4" s="521"/>
      <c r="H4" s="521"/>
      <c r="I4" s="521"/>
      <c r="J4" s="521"/>
      <c r="K4" s="521"/>
      <c r="L4" s="521"/>
      <c r="M4" s="521"/>
      <c r="N4" s="398"/>
      <c r="O4" s="399"/>
      <c r="P4" s="399"/>
      <c r="Q4" s="399"/>
      <c r="R4" s="39"/>
    </row>
    <row r="5" spans="1:21" ht="16.2" thickBot="1" x14ac:dyDescent="0.35">
      <c r="A5" s="106"/>
      <c r="B5" s="107"/>
      <c r="C5" s="107"/>
      <c r="D5" s="107"/>
      <c r="E5" s="107"/>
      <c r="F5" s="139"/>
      <c r="G5" s="319"/>
      <c r="H5" s="132"/>
      <c r="I5" s="132"/>
      <c r="J5" s="132"/>
      <c r="K5" s="132"/>
      <c r="L5" s="132"/>
      <c r="M5" s="132"/>
      <c r="N5" s="132"/>
      <c r="O5" s="132"/>
      <c r="P5" s="132"/>
      <c r="Q5" s="132"/>
      <c r="R5" s="83"/>
    </row>
    <row r="6" spans="1:21" ht="24.9" customHeight="1" thickBot="1" x14ac:dyDescent="0.35">
      <c r="A6" s="95" t="s">
        <v>28</v>
      </c>
      <c r="B6" s="88"/>
      <c r="C6" s="86" t="s">
        <v>29</v>
      </c>
      <c r="D6" s="88"/>
      <c r="E6" s="88"/>
      <c r="F6" s="492" t="str">
        <f>IF('Algemene kostprijsfactoren'!E4="",'Algemene kostprijsfactoren'!C4,'Algemene kostprijsfactoren'!E4)</f>
        <v>Cao_GGZ</v>
      </c>
      <c r="G6" s="493"/>
      <c r="H6" s="492" t="str">
        <f>F6</f>
        <v>Cao_GGZ</v>
      </c>
      <c r="I6" s="493"/>
      <c r="J6" s="492" t="str">
        <f>F6</f>
        <v>Cao_GGZ</v>
      </c>
      <c r="K6" s="493"/>
      <c r="L6" s="492" t="str">
        <f>F6</f>
        <v>Cao_GGZ</v>
      </c>
      <c r="M6" s="493"/>
      <c r="N6" s="492" t="str">
        <f>F6</f>
        <v>Cao_GGZ</v>
      </c>
      <c r="O6" s="493"/>
      <c r="P6" s="492" t="str">
        <f>F6</f>
        <v>Cao_GGZ</v>
      </c>
      <c r="Q6" s="493"/>
      <c r="R6" s="89"/>
      <c r="T6" s="133"/>
    </row>
    <row r="7" spans="1:21" ht="24.9" customHeight="1" thickBot="1" x14ac:dyDescent="0.35">
      <c r="A7" s="90" t="s">
        <v>219</v>
      </c>
      <c r="B7" s="88"/>
      <c r="C7" s="86"/>
      <c r="D7" s="88"/>
      <c r="E7" s="88"/>
      <c r="F7" s="519" t="s">
        <v>518</v>
      </c>
      <c r="G7" s="520"/>
      <c r="H7" s="519" t="s">
        <v>519</v>
      </c>
      <c r="I7" s="520"/>
      <c r="J7" s="519" t="s">
        <v>520</v>
      </c>
      <c r="K7" s="520"/>
      <c r="L7" s="519"/>
      <c r="M7" s="520"/>
      <c r="N7" s="519"/>
      <c r="O7" s="520"/>
      <c r="P7" s="519" t="s">
        <v>220</v>
      </c>
      <c r="Q7" s="520"/>
      <c r="R7" s="89"/>
      <c r="U7"/>
    </row>
    <row r="8" spans="1:21" ht="15.9" customHeight="1" thickBot="1" x14ac:dyDescent="0.35">
      <c r="A8" s="97" t="s">
        <v>230</v>
      </c>
      <c r="B8" s="156"/>
      <c r="C8" s="99"/>
      <c r="D8" s="156"/>
      <c r="E8" s="156"/>
      <c r="F8" s="401" t="s">
        <v>231</v>
      </c>
      <c r="G8" s="402">
        <v>3810.1986556250004</v>
      </c>
      <c r="H8" s="401" t="s">
        <v>231</v>
      </c>
      <c r="I8" s="402"/>
      <c r="J8" s="401" t="s">
        <v>231</v>
      </c>
      <c r="K8" s="402"/>
      <c r="L8" s="401" t="s">
        <v>210</v>
      </c>
      <c r="M8" s="402"/>
      <c r="N8" s="401" t="s">
        <v>210</v>
      </c>
      <c r="O8" s="402"/>
      <c r="P8" s="401" t="s">
        <v>231</v>
      </c>
      <c r="Q8" s="402"/>
      <c r="R8" s="82"/>
      <c r="S8" s="325"/>
      <c r="T8" s="133"/>
    </row>
    <row r="9" spans="1:21" ht="15.9" customHeight="1" x14ac:dyDescent="0.3">
      <c r="A9" s="97" t="s">
        <v>71</v>
      </c>
      <c r="B9" s="156"/>
      <c r="C9" s="99"/>
      <c r="D9" s="156"/>
      <c r="E9" s="156"/>
      <c r="F9" s="158"/>
      <c r="G9" s="160">
        <f>G8/156.5</f>
        <v>24.34631728833866</v>
      </c>
      <c r="H9" s="158"/>
      <c r="I9" s="160">
        <f>I8/156.5</f>
        <v>0</v>
      </c>
      <c r="J9" s="158"/>
      <c r="K9" s="160">
        <f>K8/156.5</f>
        <v>0</v>
      </c>
      <c r="L9" s="158"/>
      <c r="M9" s="160">
        <f>M8/156.5</f>
        <v>0</v>
      </c>
      <c r="N9" s="158"/>
      <c r="O9" s="160">
        <f>O8/156.5</f>
        <v>0</v>
      </c>
      <c r="P9" s="158"/>
      <c r="Q9" s="160">
        <f>Q8/156.5</f>
        <v>0</v>
      </c>
      <c r="R9" s="82"/>
      <c r="S9" s="133"/>
      <c r="T9" s="133"/>
    </row>
    <row r="10" spans="1:21" ht="15.9" customHeight="1" x14ac:dyDescent="0.3">
      <c r="A10" s="94" t="s">
        <v>4</v>
      </c>
      <c r="B10" s="156"/>
      <c r="C10" s="99" t="s">
        <v>31</v>
      </c>
      <c r="D10" s="156"/>
      <c r="E10" s="156"/>
      <c r="F10" s="158">
        <f>IF(F6&lt;&gt;"",'Algemene kostprijsfactoren'!$C$5,"")</f>
        <v>8.0750000000000002E-2</v>
      </c>
      <c r="G10" s="157">
        <f>MAX(1.07,F10*G9)</f>
        <v>1.9659651210333469</v>
      </c>
      <c r="H10" s="158">
        <f>IF(H6&lt;&gt;"",'Algemene kostprijsfactoren'!$C$5,"")</f>
        <v>8.0750000000000002E-2</v>
      </c>
      <c r="I10" s="157">
        <f>MAX(1.07,H10*I9)</f>
        <v>1.07</v>
      </c>
      <c r="J10" s="158">
        <f>IF(J6&lt;&gt;"",'Algemene kostprijsfactoren'!$C$5,"")</f>
        <v>8.0750000000000002E-2</v>
      </c>
      <c r="K10" s="157">
        <f>MAX(1.07,J10*K9)</f>
        <v>1.07</v>
      </c>
      <c r="L10" s="158">
        <f>IF(L6&lt;&gt;"",8%,"")</f>
        <v>0.08</v>
      </c>
      <c r="M10" s="157">
        <f>MAX(1.07,L10*M9)</f>
        <v>1.07</v>
      </c>
      <c r="N10" s="158">
        <f>IF(N6&lt;&gt;"",8%,"")</f>
        <v>0.08</v>
      </c>
      <c r="O10" s="157">
        <f>MAX(1.07,N10*O9)</f>
        <v>1.07</v>
      </c>
      <c r="P10" s="158">
        <f>IF(P6&lt;&gt;"",'Algemene kostprijsfactoren'!$C$5,"")</f>
        <v>8.0750000000000002E-2</v>
      </c>
      <c r="Q10" s="157">
        <f>MAX(1.07,P10*Q9)</f>
        <v>1.07</v>
      </c>
      <c r="R10" s="83"/>
      <c r="S10" s="134"/>
      <c r="T10" s="134"/>
    </row>
    <row r="11" spans="1:21" ht="15.9" customHeight="1" x14ac:dyDescent="0.3">
      <c r="A11" s="111" t="s">
        <v>32</v>
      </c>
      <c r="B11" s="156"/>
      <c r="C11" s="99"/>
      <c r="D11" s="156"/>
      <c r="E11" s="156"/>
      <c r="F11" s="158"/>
      <c r="G11" s="160">
        <f>G9+G10</f>
        <v>26.312282409372006</v>
      </c>
      <c r="H11" s="158"/>
      <c r="I11" s="160">
        <f>I9+I10</f>
        <v>1.07</v>
      </c>
      <c r="J11" s="158"/>
      <c r="K11" s="160">
        <f>K9+K10</f>
        <v>1.07</v>
      </c>
      <c r="L11" s="158"/>
      <c r="M11" s="160">
        <f>M9+M10</f>
        <v>1.07</v>
      </c>
      <c r="N11" s="158"/>
      <c r="O11" s="160">
        <f>O9+O10</f>
        <v>1.07</v>
      </c>
      <c r="P11" s="158"/>
      <c r="Q11" s="160">
        <f>Q9+Q10</f>
        <v>1.07</v>
      </c>
      <c r="R11" s="83"/>
      <c r="S11" s="134"/>
      <c r="T11" s="134"/>
    </row>
    <row r="12" spans="1:21" ht="15.9" customHeight="1" thickBot="1" x14ac:dyDescent="0.35">
      <c r="A12" s="94" t="s">
        <v>33</v>
      </c>
      <c r="B12" s="156"/>
      <c r="C12" s="99" t="s">
        <v>31</v>
      </c>
      <c r="D12" s="156"/>
      <c r="E12" s="156"/>
      <c r="F12" s="379">
        <f>IF(F6&lt;&gt;"",'Algemene kostprijsfactoren'!$C$6,"")</f>
        <v>8.3299999999999999E-2</v>
      </c>
      <c r="G12" s="159">
        <f>MAX(1.14,F12*G9)</f>
        <v>2.0280482301186105</v>
      </c>
      <c r="H12" s="379">
        <f>IF(H6&lt;&gt;"",'Algemene kostprijsfactoren'!$C$6,"")</f>
        <v>8.3299999999999999E-2</v>
      </c>
      <c r="I12" s="159">
        <f>MAX(1.14,H12*I9)</f>
        <v>1.1399999999999999</v>
      </c>
      <c r="J12" s="379">
        <f>IF(J6&lt;&gt;"",'Algemene kostprijsfactoren'!$C$6,"")</f>
        <v>8.3299999999999999E-2</v>
      </c>
      <c r="K12" s="159">
        <f>MAX(1.14,J12*K9)</f>
        <v>1.1399999999999999</v>
      </c>
      <c r="L12" s="379">
        <f>VLOOKUP(L$6,Toelichting!$A$28:$B$31,2,TRUE)</f>
        <v>8.3299999999999999E-2</v>
      </c>
      <c r="M12" s="159">
        <f>MAX(1.14,L12*M9)</f>
        <v>1.1399999999999999</v>
      </c>
      <c r="N12" s="379">
        <f>VLOOKUP(N$6,Toelichting!$A$28:$B$31,2,TRUE)</f>
        <v>8.3299999999999999E-2</v>
      </c>
      <c r="O12" s="159">
        <f>MAX(1.14,N12*O9)</f>
        <v>1.1399999999999999</v>
      </c>
      <c r="P12" s="379">
        <f>IF(P6&lt;&gt;"",'Algemene kostprijsfactoren'!$C$6,"")</f>
        <v>8.3299999999999999E-2</v>
      </c>
      <c r="Q12" s="159">
        <f>MAX(1.14,P12*Q9)</f>
        <v>1.1399999999999999</v>
      </c>
      <c r="R12" s="83"/>
      <c r="S12" s="134"/>
      <c r="T12" s="134"/>
    </row>
    <row r="13" spans="1:21" ht="16.2" thickBot="1" x14ac:dyDescent="0.35">
      <c r="A13" s="97" t="s">
        <v>216</v>
      </c>
      <c r="B13" s="156"/>
      <c r="C13" s="99"/>
      <c r="D13" s="156"/>
      <c r="E13" s="156"/>
      <c r="F13" s="403">
        <v>7.0000000000000007E-2</v>
      </c>
      <c r="G13" s="378">
        <f>F13*G9</f>
        <v>1.7042422101837065</v>
      </c>
      <c r="H13" s="403">
        <v>0</v>
      </c>
      <c r="I13" s="378">
        <f>H13*I9</f>
        <v>0</v>
      </c>
      <c r="J13" s="403">
        <v>0</v>
      </c>
      <c r="K13" s="378">
        <f>J13*K9</f>
        <v>0</v>
      </c>
      <c r="L13" s="403">
        <v>0</v>
      </c>
      <c r="M13" s="378">
        <f>L13*M9</f>
        <v>0</v>
      </c>
      <c r="N13" s="403">
        <v>0</v>
      </c>
      <c r="O13" s="378">
        <f>N13*O9</f>
        <v>0</v>
      </c>
      <c r="P13" s="403">
        <v>0</v>
      </c>
      <c r="Q13" s="320">
        <f>P13*Q9</f>
        <v>0</v>
      </c>
      <c r="R13" s="82"/>
    </row>
    <row r="14" spans="1:21" x14ac:dyDescent="0.3">
      <c r="A14" s="108" t="s">
        <v>35</v>
      </c>
      <c r="B14" s="126"/>
      <c r="C14" s="98"/>
      <c r="D14" s="126"/>
      <c r="E14" s="135">
        <f>SUM(E$10:E$12)</f>
        <v>0</v>
      </c>
      <c r="F14" s="321"/>
      <c r="G14" s="272">
        <f>SUM(G$11:G$13)</f>
        <v>30.044572849674324</v>
      </c>
      <c r="H14" s="404"/>
      <c r="I14" s="272">
        <f>SUM(I$11:I$13)</f>
        <v>2.21</v>
      </c>
      <c r="J14" s="404"/>
      <c r="K14" s="272">
        <f>SUM(K$11:K$13)</f>
        <v>2.21</v>
      </c>
      <c r="L14" s="405"/>
      <c r="M14" s="272">
        <f>SUM(M$11:M$13)</f>
        <v>2.21</v>
      </c>
      <c r="N14" s="406"/>
      <c r="O14" s="272">
        <f>SUM(O$11:O$13)</f>
        <v>2.21</v>
      </c>
      <c r="P14" s="405"/>
      <c r="Q14" s="272">
        <f>SUM(Q$11:Q$13)</f>
        <v>2.21</v>
      </c>
      <c r="R14" s="136"/>
      <c r="S14" s="133"/>
      <c r="T14" s="133"/>
    </row>
    <row r="15" spans="1:21" x14ac:dyDescent="0.3">
      <c r="A15" s="144" t="s">
        <v>36</v>
      </c>
      <c r="B15" s="126"/>
      <c r="C15" s="98"/>
      <c r="D15" s="126"/>
      <c r="E15" s="135"/>
      <c r="F15" s="276">
        <f>$F$61</f>
        <v>0.19260000000000002</v>
      </c>
      <c r="G15" s="277"/>
      <c r="H15" s="276">
        <f>$F$61</f>
        <v>0.19260000000000002</v>
      </c>
      <c r="I15" s="277"/>
      <c r="J15" s="276">
        <f>$F$61</f>
        <v>0.19260000000000002</v>
      </c>
      <c r="K15" s="277"/>
      <c r="L15" s="276">
        <f>$F$61</f>
        <v>0.19260000000000002</v>
      </c>
      <c r="M15" s="277"/>
      <c r="N15" s="276">
        <f>$F$61</f>
        <v>0.19260000000000002</v>
      </c>
      <c r="O15" s="163"/>
      <c r="P15" s="276">
        <f>$F$61</f>
        <v>0.19260000000000002</v>
      </c>
      <c r="Q15" s="277"/>
      <c r="R15" s="143"/>
      <c r="S15" s="325" t="s">
        <v>224</v>
      </c>
      <c r="T15" s="133"/>
    </row>
    <row r="16" spans="1:21" x14ac:dyDescent="0.3">
      <c r="A16" s="144" t="s">
        <v>38</v>
      </c>
      <c r="B16" s="126"/>
      <c r="C16" s="98"/>
      <c r="D16" s="126"/>
      <c r="E16" s="135"/>
      <c r="F16" s="276">
        <f>G49</f>
        <v>9.0922123105228986E-2</v>
      </c>
      <c r="G16" s="277"/>
      <c r="H16" s="276">
        <f>H49</f>
        <v>-0.38866223815650608</v>
      </c>
      <c r="I16" s="277"/>
      <c r="J16" s="276">
        <f>I49</f>
        <v>-0.38866223815650608</v>
      </c>
      <c r="K16" s="277"/>
      <c r="L16" s="276">
        <f>J49</f>
        <v>-0.38866223815650608</v>
      </c>
      <c r="M16" s="277"/>
      <c r="N16" s="276">
        <f>K49</f>
        <v>-0.38866223815650608</v>
      </c>
      <c r="O16" s="163"/>
      <c r="P16" s="276">
        <f>L49</f>
        <v>-0.38866223815650608</v>
      </c>
      <c r="Q16" s="277"/>
      <c r="R16" s="143"/>
      <c r="S16" s="133"/>
      <c r="T16" s="133"/>
    </row>
    <row r="17" spans="1:20" x14ac:dyDescent="0.3">
      <c r="A17" s="144" t="s">
        <v>39</v>
      </c>
      <c r="B17" s="126"/>
      <c r="C17" s="98"/>
      <c r="D17" s="126"/>
      <c r="E17" s="135"/>
      <c r="F17" s="276">
        <f>G53</f>
        <v>1.2414421569564152E-3</v>
      </c>
      <c r="G17" s="277"/>
      <c r="H17" s="276">
        <f>H53</f>
        <v>-1.460987909540813E-2</v>
      </c>
      <c r="I17" s="277"/>
      <c r="J17" s="276">
        <f>I53</f>
        <v>-1.460987909540813E-2</v>
      </c>
      <c r="K17" s="277"/>
      <c r="L17" s="276">
        <f>J53</f>
        <v>-1.460987909540813E-2</v>
      </c>
      <c r="M17" s="277"/>
      <c r="N17" s="276">
        <f>K53</f>
        <v>-1.460987909540813E-2</v>
      </c>
      <c r="O17" s="163"/>
      <c r="P17" s="276">
        <f>L53</f>
        <v>-1.460987909540813E-2</v>
      </c>
      <c r="Q17" s="277"/>
      <c r="R17" s="143"/>
      <c r="S17" s="133"/>
      <c r="T17" s="133"/>
    </row>
    <row r="18" spans="1:20" x14ac:dyDescent="0.3">
      <c r="A18" s="109" t="s">
        <v>40</v>
      </c>
      <c r="B18" s="126"/>
      <c r="C18" s="98"/>
      <c r="D18" s="126"/>
      <c r="E18" s="126"/>
      <c r="F18" s="278">
        <f>F15+F16+F17</f>
        <v>0.28476356526218544</v>
      </c>
      <c r="G18" s="279">
        <f>F18*G14</f>
        <v>8.5555996814527191</v>
      </c>
      <c r="H18" s="278">
        <f>H15+H16+H17</f>
        <v>-0.21067211725191418</v>
      </c>
      <c r="I18" s="279">
        <f>H18*I14</f>
        <v>-0.46558537912673031</v>
      </c>
      <c r="J18" s="278">
        <f>J15+J16+J17</f>
        <v>-0.21067211725191418</v>
      </c>
      <c r="K18" s="279">
        <f>J18*K14</f>
        <v>-0.46558537912673031</v>
      </c>
      <c r="L18" s="278">
        <f>L15+L16+L17</f>
        <v>-0.21067211725191418</v>
      </c>
      <c r="M18" s="279">
        <f>L18*M14</f>
        <v>-0.46558537912673031</v>
      </c>
      <c r="N18" s="280">
        <f>N15+N16+N17</f>
        <v>-0.21067211725191418</v>
      </c>
      <c r="O18" s="281">
        <f>N18*O14</f>
        <v>-0.46558537912673031</v>
      </c>
      <c r="P18" s="278">
        <f>P15+P16+P17</f>
        <v>-0.21067211725191418</v>
      </c>
      <c r="Q18" s="279">
        <f>P18*Q14</f>
        <v>-0.46558537912673031</v>
      </c>
      <c r="R18" s="137"/>
      <c r="S18" s="325" t="s">
        <v>224</v>
      </c>
      <c r="T18" s="133"/>
    </row>
    <row r="19" spans="1:20" x14ac:dyDescent="0.3">
      <c r="A19" s="110" t="s">
        <v>41</v>
      </c>
      <c r="B19" s="126"/>
      <c r="C19" s="98"/>
      <c r="D19" s="126"/>
      <c r="E19" s="126"/>
      <c r="F19" s="282"/>
      <c r="G19" s="283">
        <f>G14+G18</f>
        <v>38.600172531127043</v>
      </c>
      <c r="H19" s="284"/>
      <c r="I19" s="283">
        <f>I14+I18</f>
        <v>1.7444146208732696</v>
      </c>
      <c r="J19" s="284"/>
      <c r="K19" s="283">
        <f>K14+K18</f>
        <v>1.7444146208732696</v>
      </c>
      <c r="L19" s="285"/>
      <c r="M19" s="283">
        <f>M14+M18</f>
        <v>1.7444146208732696</v>
      </c>
      <c r="N19" s="286"/>
      <c r="O19" s="287">
        <f>O14+O18</f>
        <v>1.7444146208732696</v>
      </c>
      <c r="P19" s="285"/>
      <c r="Q19" s="283">
        <f>Q14+Q18</f>
        <v>1.7444146208732696</v>
      </c>
      <c r="R19" s="346"/>
    </row>
    <row r="20" spans="1:20" ht="16.2" thickBot="1" x14ac:dyDescent="0.35">
      <c r="A20" s="96" t="s">
        <v>42</v>
      </c>
      <c r="B20" s="87"/>
      <c r="C20" s="125"/>
      <c r="D20" s="87"/>
      <c r="E20" s="87"/>
      <c r="F20" s="87"/>
      <c r="G20" s="114"/>
      <c r="H20" s="116"/>
      <c r="I20" s="114"/>
      <c r="J20" s="116"/>
      <c r="K20" s="114"/>
      <c r="L20" s="87"/>
      <c r="M20" s="87"/>
      <c r="N20" s="116"/>
      <c r="O20" s="114"/>
      <c r="P20" s="116"/>
      <c r="Q20" s="114"/>
      <c r="R20" s="1"/>
    </row>
    <row r="21" spans="1:20" ht="16.2" thickBot="1" x14ac:dyDescent="0.35">
      <c r="A21" s="105" t="s">
        <v>43</v>
      </c>
      <c r="B21" s="156"/>
      <c r="C21" s="99"/>
      <c r="D21" s="156"/>
      <c r="E21" s="156"/>
      <c r="F21" s="244">
        <f>G73</f>
        <v>0.64548892438764649</v>
      </c>
      <c r="G21" s="165">
        <f>G19/F21</f>
        <v>59.799899073010003</v>
      </c>
      <c r="H21" s="164">
        <f>F21</f>
        <v>0.64548892438764649</v>
      </c>
      <c r="I21" s="165">
        <f>I19/H21</f>
        <v>2.7024702593125616</v>
      </c>
      <c r="J21" s="164">
        <f>F21</f>
        <v>0.64548892438764649</v>
      </c>
      <c r="K21" s="165">
        <f>K19/J21</f>
        <v>2.7024702593125616</v>
      </c>
      <c r="L21" s="164">
        <f>F21</f>
        <v>0.64548892438764649</v>
      </c>
      <c r="M21" s="165">
        <f>M19/L21</f>
        <v>2.7024702593125616</v>
      </c>
      <c r="N21" s="166">
        <f>F21</f>
        <v>0.64548892438764649</v>
      </c>
      <c r="O21" s="165">
        <f>O19/N21</f>
        <v>2.7024702593125616</v>
      </c>
      <c r="P21" s="166">
        <f>F21</f>
        <v>0.64548892438764649</v>
      </c>
      <c r="Q21" s="165">
        <f>Q19/P21</f>
        <v>2.7024702593125616</v>
      </c>
      <c r="R21" s="82"/>
      <c r="S21" s="5" t="s">
        <v>225</v>
      </c>
    </row>
    <row r="22" spans="1:20" ht="16.2" thickBot="1" x14ac:dyDescent="0.35">
      <c r="A22" s="94" t="s">
        <v>45</v>
      </c>
      <c r="B22" s="156"/>
      <c r="C22" s="99"/>
      <c r="D22" s="156"/>
      <c r="E22" s="156"/>
      <c r="F22" s="164"/>
      <c r="G22" s="407">
        <v>1.54</v>
      </c>
      <c r="H22" s="164"/>
      <c r="I22" s="288">
        <f>G22</f>
        <v>1.54</v>
      </c>
      <c r="J22" s="232"/>
      <c r="K22" s="288">
        <f>G22</f>
        <v>1.54</v>
      </c>
      <c r="L22" s="232"/>
      <c r="M22" s="288">
        <f>G22</f>
        <v>1.54</v>
      </c>
      <c r="N22" s="233"/>
      <c r="O22" s="288">
        <f>G22</f>
        <v>1.54</v>
      </c>
      <c r="P22" s="233"/>
      <c r="Q22" s="288">
        <f>G22</f>
        <v>1.54</v>
      </c>
      <c r="R22" s="82"/>
    </row>
    <row r="23" spans="1:20" x14ac:dyDescent="0.3">
      <c r="A23" s="105"/>
      <c r="B23" s="167"/>
      <c r="C23" s="98"/>
      <c r="D23" s="167"/>
      <c r="E23" s="167"/>
      <c r="F23" s="168"/>
      <c r="G23" s="248"/>
      <c r="H23" s="170"/>
      <c r="I23" s="169"/>
      <c r="J23" s="170"/>
      <c r="K23" s="169"/>
      <c r="L23" s="171"/>
      <c r="M23" s="169"/>
      <c r="N23" s="170"/>
      <c r="O23" s="169"/>
      <c r="P23" s="170"/>
      <c r="Q23" s="169"/>
      <c r="R23" s="1"/>
    </row>
    <row r="24" spans="1:20" ht="18.899999999999999" customHeight="1" x14ac:dyDescent="0.3">
      <c r="A24" s="129" t="s">
        <v>46</v>
      </c>
      <c r="B24" s="130"/>
      <c r="C24" s="131"/>
      <c r="D24" s="130"/>
      <c r="E24" s="130"/>
      <c r="F24" s="138"/>
      <c r="G24" s="290">
        <f>G21+G22</f>
        <v>61.339899073010002</v>
      </c>
      <c r="H24" s="289"/>
      <c r="I24" s="290">
        <f>I21+I22</f>
        <v>4.2424702593125616</v>
      </c>
      <c r="J24" s="289"/>
      <c r="K24" s="290">
        <f>K21+K22</f>
        <v>4.2424702593125616</v>
      </c>
      <c r="L24" s="291"/>
      <c r="M24" s="290">
        <f>M21+M22</f>
        <v>4.2424702593125616</v>
      </c>
      <c r="N24" s="292"/>
      <c r="O24" s="290">
        <f>O21+O22</f>
        <v>4.2424702593125616</v>
      </c>
      <c r="P24" s="289"/>
      <c r="Q24" s="290">
        <f>Q21+Q22</f>
        <v>4.2424702593125616</v>
      </c>
      <c r="R24" s="1"/>
    </row>
    <row r="25" spans="1:20" ht="18" customHeight="1" x14ac:dyDescent="0.3">
      <c r="A25" s="104"/>
      <c r="B25" s="87"/>
      <c r="C25" s="99"/>
      <c r="D25" s="87"/>
      <c r="E25" s="87"/>
      <c r="F25" s="139"/>
      <c r="G25" s="115"/>
      <c r="H25" s="117"/>
      <c r="I25" s="118"/>
      <c r="J25" s="117"/>
      <c r="K25" s="118"/>
      <c r="L25" s="112"/>
      <c r="M25" s="113"/>
      <c r="N25" s="117"/>
      <c r="O25" s="118"/>
      <c r="P25" s="117"/>
      <c r="Q25" s="118"/>
      <c r="R25" s="1"/>
    </row>
    <row r="26" spans="1:20" ht="16.2" thickBot="1" x14ac:dyDescent="0.35">
      <c r="A26" s="96" t="s">
        <v>47</v>
      </c>
      <c r="B26" s="87"/>
      <c r="C26" s="125"/>
      <c r="D26" s="87"/>
      <c r="E26" s="87"/>
      <c r="F26" s="87"/>
      <c r="G26" s="114"/>
      <c r="H26" s="116"/>
      <c r="I26" s="114"/>
      <c r="J26" s="116"/>
      <c r="K26" s="114"/>
      <c r="L26" s="87"/>
      <c r="M26" s="87"/>
      <c r="N26" s="116"/>
      <c r="O26" s="114"/>
      <c r="P26" s="116"/>
      <c r="Q26" s="114"/>
      <c r="R26" s="1"/>
    </row>
    <row r="27" spans="1:20" ht="16.2" thickBot="1" x14ac:dyDescent="0.35">
      <c r="A27" s="111" t="s">
        <v>213</v>
      </c>
      <c r="B27" s="100"/>
      <c r="C27" s="99"/>
      <c r="D27" s="100"/>
      <c r="E27" s="100"/>
      <c r="F27" s="244">
        <f>'Algemene kostprijsfactoren'!D35</f>
        <v>0.28399999999999997</v>
      </c>
      <c r="G27" s="245">
        <f>F27*G24</f>
        <v>17.42053133673484</v>
      </c>
      <c r="H27" s="293">
        <f>F27</f>
        <v>0.28399999999999997</v>
      </c>
      <c r="I27" s="172">
        <f>H27*I24</f>
        <v>1.2048615536447673</v>
      </c>
      <c r="J27" s="294">
        <f>F27</f>
        <v>0.28399999999999997</v>
      </c>
      <c r="K27" s="172">
        <f>J27*K24</f>
        <v>1.2048615536447673</v>
      </c>
      <c r="L27" s="294">
        <f>F27</f>
        <v>0.28399999999999997</v>
      </c>
      <c r="M27" s="173">
        <f>L27*M24</f>
        <v>1.2048615536447673</v>
      </c>
      <c r="N27" s="295">
        <f>F27</f>
        <v>0.28399999999999997</v>
      </c>
      <c r="O27" s="296">
        <f>N27*O24</f>
        <v>1.2048615536447673</v>
      </c>
      <c r="P27" s="297">
        <f>F27</f>
        <v>0.28399999999999997</v>
      </c>
      <c r="Q27" s="172">
        <f>P27*Q24</f>
        <v>1.2048615536447673</v>
      </c>
      <c r="R27" s="1"/>
      <c r="S27" s="5" t="s">
        <v>48</v>
      </c>
    </row>
    <row r="28" spans="1:20" x14ac:dyDescent="0.3">
      <c r="A28" s="127"/>
      <c r="B28" s="100"/>
      <c r="C28" s="99"/>
      <c r="D28" s="100"/>
      <c r="E28" s="100"/>
      <c r="F28" s="246"/>
      <c r="G28" s="175"/>
      <c r="H28" s="176"/>
      <c r="I28" s="177"/>
      <c r="J28" s="174"/>
      <c r="K28" s="177"/>
      <c r="L28" s="174"/>
      <c r="M28" s="178"/>
      <c r="N28" s="298"/>
      <c r="O28" s="299"/>
      <c r="P28" s="179"/>
      <c r="Q28" s="177"/>
      <c r="R28" s="1"/>
    </row>
    <row r="29" spans="1:20" ht="16.2" thickBot="1" x14ac:dyDescent="0.35">
      <c r="A29" s="96" t="s">
        <v>49</v>
      </c>
      <c r="B29" s="100"/>
      <c r="C29" s="87"/>
      <c r="D29" s="100"/>
      <c r="E29" s="100"/>
      <c r="F29" s="180"/>
      <c r="G29" s="181"/>
      <c r="H29" s="182"/>
      <c r="I29" s="183"/>
      <c r="J29" s="180"/>
      <c r="K29" s="183"/>
      <c r="L29" s="180"/>
      <c r="M29" s="184"/>
      <c r="N29" s="300"/>
      <c r="O29" s="301"/>
      <c r="P29" s="185"/>
      <c r="Q29" s="183"/>
      <c r="R29" s="1"/>
    </row>
    <row r="30" spans="1:20" ht="16.2" thickBot="1" x14ac:dyDescent="0.35">
      <c r="A30" s="121" t="s">
        <v>527</v>
      </c>
      <c r="B30" s="87"/>
      <c r="C30" s="87"/>
      <c r="D30" s="87"/>
      <c r="E30" s="87"/>
      <c r="F30" s="408">
        <v>0.02</v>
      </c>
      <c r="G30" s="302">
        <f>F30*G24</f>
        <v>1.2267979814602001</v>
      </c>
      <c r="H30" s="294">
        <f>F30</f>
        <v>0.02</v>
      </c>
      <c r="I30" s="303">
        <f>H30*I24</f>
        <v>8.4849405186251239E-2</v>
      </c>
      <c r="J30" s="294">
        <f>F30</f>
        <v>0.02</v>
      </c>
      <c r="K30" s="303">
        <f>J30*K24</f>
        <v>8.4849405186251239E-2</v>
      </c>
      <c r="L30" s="294">
        <f>F30</f>
        <v>0.02</v>
      </c>
      <c r="M30" s="304">
        <f>L30*M24</f>
        <v>8.4849405186251239E-2</v>
      </c>
      <c r="N30" s="295">
        <f>F30</f>
        <v>0.02</v>
      </c>
      <c r="O30" s="303">
        <f>N30*O24</f>
        <v>8.4849405186251239E-2</v>
      </c>
      <c r="P30" s="297">
        <f>F30</f>
        <v>0.02</v>
      </c>
      <c r="Q30" s="303">
        <f>P30*Q24</f>
        <v>8.4849405186251239E-2</v>
      </c>
      <c r="R30" s="1"/>
    </row>
    <row r="31" spans="1:20" ht="18" x14ac:dyDescent="0.3">
      <c r="A31" s="92" t="s">
        <v>51</v>
      </c>
      <c r="B31" s="122"/>
      <c r="C31" s="123"/>
      <c r="D31" s="122"/>
      <c r="E31" s="122"/>
      <c r="F31" s="103"/>
      <c r="G31" s="305">
        <f>IF(F6&lt;&gt;"",SUM(G24+G27+G30),0)</f>
        <v>79.987228391205036</v>
      </c>
      <c r="H31" s="306"/>
      <c r="I31" s="305">
        <f>IF(H6&lt;&gt;"",SUM(I24+I27+I30),0)</f>
        <v>5.5321812181435801</v>
      </c>
      <c r="J31" s="306"/>
      <c r="K31" s="309">
        <f>IF(J6&lt;&gt;"",SUM(K24+K27+K30),0)</f>
        <v>5.5321812181435801</v>
      </c>
      <c r="L31" s="307"/>
      <c r="M31" s="305">
        <f>IF(L6&lt;&gt;"",SUM(M24+M27+M30),0)</f>
        <v>5.5321812181435801</v>
      </c>
      <c r="N31" s="308"/>
      <c r="O31" s="309">
        <f>IF(N6&lt;&gt;"",SUM(O24+O27+O30),0)</f>
        <v>5.5321812181435801</v>
      </c>
      <c r="P31" s="306"/>
      <c r="Q31" s="309">
        <f>IF(P6&lt;&gt;"",SUM(Q24+Q27+Q30),0)</f>
        <v>5.5321812181435801</v>
      </c>
      <c r="R31" s="1"/>
      <c r="S31" s="140"/>
      <c r="T31" s="140"/>
    </row>
    <row r="32" spans="1:20" ht="16.2" thickBot="1" x14ac:dyDescent="0.35">
      <c r="A32" s="96"/>
      <c r="B32" s="87"/>
      <c r="C32" s="125"/>
      <c r="D32" s="87"/>
      <c r="E32" s="87"/>
      <c r="F32" s="87"/>
      <c r="G32" s="114"/>
      <c r="H32" s="116"/>
      <c r="I32" s="114"/>
      <c r="J32" s="116"/>
      <c r="K32" s="114"/>
      <c r="L32" s="87"/>
      <c r="M32" s="87"/>
      <c r="N32" s="141"/>
      <c r="O32" s="186"/>
      <c r="P32" s="116"/>
      <c r="Q32" s="114"/>
      <c r="R32" s="1"/>
    </row>
    <row r="33" spans="1:20" ht="16.2" thickBot="1" x14ac:dyDescent="0.35">
      <c r="A33" s="22" t="s">
        <v>53</v>
      </c>
      <c r="B33" s="124"/>
      <c r="C33" s="124"/>
      <c r="D33" s="124"/>
      <c r="E33" s="124"/>
      <c r="F33" s="517">
        <v>1</v>
      </c>
      <c r="G33" s="518"/>
      <c r="H33" s="517">
        <v>0</v>
      </c>
      <c r="I33" s="518"/>
      <c r="J33" s="517">
        <v>0</v>
      </c>
      <c r="K33" s="518"/>
      <c r="L33" s="517">
        <v>0</v>
      </c>
      <c r="M33" s="518"/>
      <c r="N33" s="517">
        <v>0</v>
      </c>
      <c r="O33" s="518"/>
      <c r="P33" s="517">
        <v>0</v>
      </c>
      <c r="Q33" s="518"/>
      <c r="R33" s="1"/>
      <c r="S33" s="5" t="s">
        <v>52</v>
      </c>
      <c r="T33" s="235">
        <f>SUM(F33:Q33)</f>
        <v>1</v>
      </c>
    </row>
    <row r="34" spans="1:20" ht="17.25" customHeight="1" thickBot="1" x14ac:dyDescent="0.35">
      <c r="A34" s="187" t="s">
        <v>54</v>
      </c>
      <c r="B34" s="188"/>
      <c r="C34" s="188"/>
      <c r="D34" s="188"/>
      <c r="E34" s="155"/>
      <c r="F34" s="340">
        <f>(F33*G31+H33*I31+J33*K31+L33*M31+N33*O31+P33*Q31)</f>
        <v>79.987228391205036</v>
      </c>
      <c r="G34" s="20"/>
      <c r="H34" s="20"/>
      <c r="I34" s="20"/>
      <c r="J34" s="20"/>
      <c r="K34" s="20"/>
      <c r="L34" s="20"/>
      <c r="M34" s="194"/>
      <c r="N34" s="20"/>
      <c r="O34" s="189"/>
      <c r="P34" s="190"/>
      <c r="R34" s="1"/>
    </row>
    <row r="35" spans="1:20" ht="17.25" customHeight="1" thickBot="1" x14ac:dyDescent="0.35">
      <c r="A35" s="9" t="s">
        <v>512</v>
      </c>
      <c r="B35" s="155"/>
      <c r="C35" s="155"/>
      <c r="D35" s="155"/>
      <c r="E35" s="155"/>
      <c r="F35" s="409">
        <v>1</v>
      </c>
      <c r="G35" s="242"/>
      <c r="M35" s="13"/>
      <c r="O35" s="191"/>
      <c r="P35" s="192"/>
      <c r="Q35" s="410"/>
      <c r="R35" s="1"/>
    </row>
    <row r="36" spans="1:20" ht="18.600000000000001" thickBot="1" x14ac:dyDescent="0.35">
      <c r="A36" s="9" t="s">
        <v>523</v>
      </c>
      <c r="B36" s="155"/>
      <c r="C36" s="155"/>
      <c r="D36" s="155"/>
      <c r="E36" s="155"/>
      <c r="F36" s="411">
        <v>5</v>
      </c>
      <c r="M36" s="13"/>
      <c r="O36" s="191"/>
      <c r="P36" s="192"/>
      <c r="Q36" s="192"/>
    </row>
    <row r="37" spans="1:20" ht="18.600000000000001" hidden="1" thickBot="1" x14ac:dyDescent="0.35">
      <c r="A37" s="9" t="s">
        <v>209</v>
      </c>
      <c r="B37" s="155"/>
      <c r="C37" s="155"/>
      <c r="D37" s="155"/>
      <c r="E37" s="155"/>
      <c r="F37" s="394">
        <f>'Algemene kostprijsfactoren'!C38</f>
        <v>1.6</v>
      </c>
      <c r="M37" s="13"/>
      <c r="O37" s="191"/>
      <c r="P37" s="192"/>
      <c r="Q37" s="192"/>
    </row>
    <row r="38" spans="1:20" ht="18.600000000000001" hidden="1" thickBot="1" x14ac:dyDescent="0.35">
      <c r="A38" s="9" t="s">
        <v>84</v>
      </c>
      <c r="B38" s="155"/>
      <c r="C38" s="155"/>
      <c r="D38" s="155"/>
      <c r="E38" s="155"/>
      <c r="F38" s="394">
        <f>'Algemene kostprijsfactoren'!C39</f>
        <v>8.1199999999999992</v>
      </c>
      <c r="M38" s="13"/>
      <c r="O38" s="191"/>
      <c r="P38" s="192"/>
      <c r="Q38" s="192"/>
    </row>
    <row r="39" spans="1:20" ht="18.600000000000001" thickBot="1" x14ac:dyDescent="0.35">
      <c r="A39" s="9" t="s">
        <v>514</v>
      </c>
      <c r="B39" s="155"/>
      <c r="C39" s="155"/>
      <c r="D39" s="155"/>
      <c r="E39" s="155"/>
      <c r="F39" s="340">
        <f>F34*F35+F36</f>
        <v>84.987228391205036</v>
      </c>
      <c r="M39" s="13"/>
      <c r="O39" s="191"/>
      <c r="P39" s="192"/>
      <c r="Q39" s="192"/>
    </row>
    <row r="40" spans="1:20" ht="18" x14ac:dyDescent="0.3">
      <c r="A40" s="9"/>
      <c r="B40" s="155"/>
      <c r="C40" s="155"/>
      <c r="D40" s="155"/>
      <c r="E40" s="155"/>
      <c r="F40" s="410"/>
      <c r="M40" s="13"/>
      <c r="O40" s="191"/>
      <c r="P40" s="192"/>
      <c r="Q40" s="192"/>
    </row>
    <row r="41" spans="1:20" ht="15" customHeight="1" x14ac:dyDescent="0.3">
      <c r="F41" s="201" t="s">
        <v>55</v>
      </c>
      <c r="G41" s="202">
        <v>1878</v>
      </c>
      <c r="M41" s="242"/>
      <c r="P41" s="243"/>
    </row>
    <row r="42" spans="1:20" x14ac:dyDescent="0.3">
      <c r="M42" s="242"/>
      <c r="N42" s="5"/>
      <c r="P42" s="243"/>
    </row>
    <row r="43" spans="1:20" x14ac:dyDescent="0.3">
      <c r="F43" s="203"/>
      <c r="G43" s="202" t="s">
        <v>72</v>
      </c>
      <c r="H43" s="202" t="s">
        <v>73</v>
      </c>
      <c r="I43" s="202" t="s">
        <v>74</v>
      </c>
      <c r="J43" s="202" t="s">
        <v>75</v>
      </c>
      <c r="K43" s="412" t="s">
        <v>76</v>
      </c>
      <c r="L43" s="413" t="s">
        <v>77</v>
      </c>
      <c r="M43" s="5"/>
    </row>
    <row r="44" spans="1:20" x14ac:dyDescent="0.3">
      <c r="F44" s="5"/>
      <c r="G44" s="203"/>
      <c r="H44" s="203"/>
      <c r="I44" s="203"/>
      <c r="J44" s="203"/>
      <c r="K44" s="414"/>
      <c r="L44" s="203"/>
      <c r="M44" s="5"/>
    </row>
    <row r="45" spans="1:20" ht="16.2" thickBot="1" x14ac:dyDescent="0.35">
      <c r="F45" s="253" t="s">
        <v>57</v>
      </c>
      <c r="G45" s="204">
        <f>$G$41*G14</f>
        <v>56423.707811688379</v>
      </c>
      <c r="H45" s="204">
        <f>$G$41*I14</f>
        <v>4150.38</v>
      </c>
      <c r="I45" s="204">
        <f>$G$41*K14</f>
        <v>4150.38</v>
      </c>
      <c r="J45" s="204">
        <f>$G$41*M14</f>
        <v>4150.38</v>
      </c>
      <c r="K45" s="384">
        <f>$G$41*O14</f>
        <v>4150.38</v>
      </c>
      <c r="L45" s="380">
        <f>$G$41*Q14</f>
        <v>4150.38</v>
      </c>
      <c r="M45" s="5"/>
      <c r="P45" s="5"/>
      <c r="Q45" s="5"/>
    </row>
    <row r="46" spans="1:20" ht="16.2" thickBot="1" x14ac:dyDescent="0.35">
      <c r="A46" s="197" t="s">
        <v>543</v>
      </c>
      <c r="F46" s="331">
        <f>IF('Algemene kostprijsfactoren'!$F$12&lt;&gt;"",'Algemene kostprijsfactoren'!$F$12,'Algemene kostprijsfactoren'!$C$12)</f>
        <v>0.25800000000000001</v>
      </c>
      <c r="G46" s="252">
        <f>$F$46</f>
        <v>0.25800000000000001</v>
      </c>
      <c r="H46" s="205">
        <f t="shared" ref="H46:L46" si="0">$F$46</f>
        <v>0.25800000000000001</v>
      </c>
      <c r="I46" s="205">
        <f t="shared" si="0"/>
        <v>0.25800000000000001</v>
      </c>
      <c r="J46" s="205">
        <f t="shared" si="0"/>
        <v>0.25800000000000001</v>
      </c>
      <c r="K46" s="385">
        <f t="shared" si="0"/>
        <v>0.25800000000000001</v>
      </c>
      <c r="L46" s="252">
        <f t="shared" si="0"/>
        <v>0.25800000000000001</v>
      </c>
      <c r="M46" s="5"/>
      <c r="O46" s="209"/>
      <c r="P46" s="5"/>
      <c r="Q46" s="5"/>
    </row>
    <row r="47" spans="1:20" ht="16.2" thickBot="1" x14ac:dyDescent="0.35">
      <c r="A47" s="197" t="s">
        <v>544</v>
      </c>
      <c r="F47" s="332">
        <f>IF('Algemene kostprijsfactoren'!$F$13&lt;&gt;"",'Algemene kostprijsfactoren'!$F$13,'Algemene kostprijsfactoren'!$C$13)</f>
        <v>16655</v>
      </c>
      <c r="G47" s="310">
        <f>$F$47</f>
        <v>16655</v>
      </c>
      <c r="H47" s="311">
        <f t="shared" ref="H47:L47" si="1">$F$47</f>
        <v>16655</v>
      </c>
      <c r="I47" s="311">
        <f t="shared" si="1"/>
        <v>16655</v>
      </c>
      <c r="J47" s="311">
        <f t="shared" si="1"/>
        <v>16655</v>
      </c>
      <c r="K47" s="415">
        <f t="shared" si="1"/>
        <v>16655</v>
      </c>
      <c r="L47" s="310">
        <f t="shared" si="1"/>
        <v>16655</v>
      </c>
      <c r="M47"/>
      <c r="O47" s="209"/>
      <c r="P47" s="5"/>
      <c r="Q47" s="5"/>
    </row>
    <row r="48" spans="1:20" ht="16.2" thickBot="1" x14ac:dyDescent="0.35">
      <c r="A48" s="197" t="s">
        <v>12</v>
      </c>
      <c r="F48" s="254"/>
      <c r="G48" s="204">
        <f>(G45-G47)*G46</f>
        <v>10260.326615415603</v>
      </c>
      <c r="H48" s="204">
        <f t="shared" ref="H48:K48" si="2">(H45-H47)*H46</f>
        <v>-3226.1919599999997</v>
      </c>
      <c r="I48" s="204">
        <f t="shared" si="2"/>
        <v>-3226.1919599999997</v>
      </c>
      <c r="J48" s="204">
        <f t="shared" si="2"/>
        <v>-3226.1919599999997</v>
      </c>
      <c r="K48" s="384">
        <f t="shared" si="2"/>
        <v>-3226.1919599999997</v>
      </c>
      <c r="L48" s="380">
        <f>(L45-L47)*L46</f>
        <v>-3226.1919599999997</v>
      </c>
      <c r="M48" s="5"/>
      <c r="P48" s="5"/>
      <c r="Q48" s="5"/>
    </row>
    <row r="49" spans="1:19" ht="16.8" thickTop="1" thickBot="1" x14ac:dyDescent="0.35">
      <c r="A49" s="198" t="s">
        <v>13</v>
      </c>
      <c r="F49" s="331">
        <f>IF('Algemene kostprijsfactoren'!$F$15&lt;&gt;"",'Algemene kostprijsfactoren'!$F$15,'Algemene kostprijsfactoren'!$C$15)</f>
        <v>0.5</v>
      </c>
      <c r="G49" s="206">
        <f>(G48/G45)*$F$49</f>
        <v>9.0922123105228986E-2</v>
      </c>
      <c r="H49" s="206">
        <f t="shared" ref="H49:L49" si="3">(H48/H45)*$F$49</f>
        <v>-0.38866223815650608</v>
      </c>
      <c r="I49" s="206">
        <f t="shared" si="3"/>
        <v>-0.38866223815650608</v>
      </c>
      <c r="J49" s="206">
        <f t="shared" si="3"/>
        <v>-0.38866223815650608</v>
      </c>
      <c r="K49" s="386">
        <f t="shared" si="3"/>
        <v>-0.38866223815650608</v>
      </c>
      <c r="L49" s="381">
        <f t="shared" si="3"/>
        <v>-0.38866223815650608</v>
      </c>
      <c r="M49" s="5"/>
      <c r="P49" s="5"/>
      <c r="Q49" s="5"/>
    </row>
    <row r="50" spans="1:19" ht="16.8" thickTop="1" thickBot="1" x14ac:dyDescent="0.35">
      <c r="A50" s="197" t="s">
        <v>545</v>
      </c>
      <c r="F50" s="331">
        <f>IF('Algemene kostprijsfactoren'!$F$16&lt;&gt;"",'Algemene kostprijsfactoren'!$F$16,'Algemene kostprijsfactoren'!$C$16)</f>
        <v>5.0000000000000001E-3</v>
      </c>
      <c r="G50" s="252">
        <f>$F$50</f>
        <v>5.0000000000000001E-3</v>
      </c>
      <c r="H50" s="205">
        <f t="shared" ref="H50:L50" si="4">$F$50</f>
        <v>5.0000000000000001E-3</v>
      </c>
      <c r="I50" s="205">
        <f t="shared" si="4"/>
        <v>5.0000000000000001E-3</v>
      </c>
      <c r="J50" s="205">
        <f t="shared" si="4"/>
        <v>5.0000000000000001E-3</v>
      </c>
      <c r="K50" s="385">
        <f t="shared" si="4"/>
        <v>5.0000000000000001E-3</v>
      </c>
      <c r="L50" s="252">
        <f t="shared" si="4"/>
        <v>5.0000000000000001E-3</v>
      </c>
      <c r="M50" s="5"/>
      <c r="O50" s="209"/>
      <c r="P50" s="5"/>
      <c r="Q50" s="5"/>
    </row>
    <row r="51" spans="1:19" ht="16.2" thickBot="1" x14ac:dyDescent="0.35">
      <c r="A51" s="197" t="s">
        <v>546</v>
      </c>
      <c r="F51" s="332">
        <f>IF('Algemene kostprijsfactoren'!$F$17&lt;&gt;"",'Algemene kostprijsfactoren'!$F$17,'Algemene kostprijsfactoren'!$C$17)</f>
        <v>28405</v>
      </c>
      <c r="G51" s="310">
        <f>$F51</f>
        <v>28405</v>
      </c>
      <c r="H51" s="311">
        <f t="shared" ref="H51:L51" si="5">$F51</f>
        <v>28405</v>
      </c>
      <c r="I51" s="311">
        <f t="shared" si="5"/>
        <v>28405</v>
      </c>
      <c r="J51" s="311">
        <f t="shared" si="5"/>
        <v>28405</v>
      </c>
      <c r="K51" s="415">
        <f t="shared" si="5"/>
        <v>28405</v>
      </c>
      <c r="L51" s="310">
        <f t="shared" si="5"/>
        <v>28405</v>
      </c>
      <c r="M51"/>
      <c r="O51" s="209"/>
      <c r="P51" s="5"/>
      <c r="Q51" s="5"/>
    </row>
    <row r="52" spans="1:19" ht="16.2" thickBot="1" x14ac:dyDescent="0.35">
      <c r="A52" s="199" t="s">
        <v>14</v>
      </c>
      <c r="F52" s="255"/>
      <c r="G52" s="207">
        <f>(G45-G51)*G50</f>
        <v>140.09353905844191</v>
      </c>
      <c r="H52" s="207">
        <f t="shared" ref="H52:L52" si="6">(H45-H51)*H50</f>
        <v>-121.2731</v>
      </c>
      <c r="I52" s="207">
        <f t="shared" si="6"/>
        <v>-121.2731</v>
      </c>
      <c r="J52" s="207">
        <f t="shared" si="6"/>
        <v>-121.2731</v>
      </c>
      <c r="K52" s="384">
        <f>(K45-K51)*K50</f>
        <v>-121.2731</v>
      </c>
      <c r="L52" s="382">
        <f t="shared" si="6"/>
        <v>-121.2731</v>
      </c>
      <c r="M52" s="5"/>
      <c r="P52" s="5"/>
      <c r="Q52" s="5"/>
    </row>
    <row r="53" spans="1:19" ht="16.8" thickTop="1" thickBot="1" x14ac:dyDescent="0.35">
      <c r="A53" s="198" t="s">
        <v>15</v>
      </c>
      <c r="F53" s="331">
        <f>IF('Algemene kostprijsfactoren'!$F$19&lt;&gt;"",'Algemene kostprijsfactoren'!$F$19,'Algemene kostprijsfactoren'!$C$19)</f>
        <v>0.5</v>
      </c>
      <c r="G53" s="206">
        <f>(G52/G45)*$F53</f>
        <v>1.2414421569564152E-3</v>
      </c>
      <c r="H53" s="206">
        <f t="shared" ref="H53:L53" si="7">(H52/H45)*$F53</f>
        <v>-1.460987909540813E-2</v>
      </c>
      <c r="I53" s="206">
        <f t="shared" si="7"/>
        <v>-1.460987909540813E-2</v>
      </c>
      <c r="J53" s="206">
        <f t="shared" si="7"/>
        <v>-1.460987909540813E-2</v>
      </c>
      <c r="K53" s="386">
        <f t="shared" si="7"/>
        <v>-1.460987909540813E-2</v>
      </c>
      <c r="L53" s="381">
        <f t="shared" si="7"/>
        <v>-1.460987909540813E-2</v>
      </c>
      <c r="M53" s="5"/>
    </row>
    <row r="54" spans="1:19" ht="16.2" thickTop="1" x14ac:dyDescent="0.3">
      <c r="F54" s="333" t="s">
        <v>58</v>
      </c>
      <c r="G54" s="208">
        <f>G53+G49</f>
        <v>9.2163565262185401E-2</v>
      </c>
      <c r="H54" s="208">
        <f t="shared" ref="H54:L54" si="8">H53+H49</f>
        <v>-0.4032721172519142</v>
      </c>
      <c r="I54" s="208">
        <f t="shared" si="8"/>
        <v>-0.4032721172519142</v>
      </c>
      <c r="J54" s="208">
        <f t="shared" si="8"/>
        <v>-0.4032721172519142</v>
      </c>
      <c r="K54" s="387">
        <f t="shared" si="8"/>
        <v>-0.4032721172519142</v>
      </c>
      <c r="L54" s="383">
        <f t="shared" si="8"/>
        <v>-0.4032721172519142</v>
      </c>
      <c r="M54" s="5"/>
    </row>
    <row r="56" spans="1:19" x14ac:dyDescent="0.3">
      <c r="A56" s="197" t="s">
        <v>16</v>
      </c>
      <c r="F56" s="330">
        <f>IF('Algemene kostprijsfactoren'!$F$22&lt;&gt;"",'Algemene kostprijsfactoren'!$F$22,'Algemene kostprijsfactoren'!$C$22)</f>
        <v>7.5800000000000006E-2</v>
      </c>
      <c r="G56" s="195"/>
      <c r="H56" s="209">
        <v>7.5800000000000006E-2</v>
      </c>
      <c r="I56" s="496" t="s">
        <v>537</v>
      </c>
      <c r="J56" s="497"/>
      <c r="K56" s="497"/>
      <c r="L56" s="497"/>
      <c r="M56" s="497"/>
      <c r="N56" s="497"/>
      <c r="O56" s="497"/>
      <c r="P56" s="497"/>
      <c r="Q56" s="497"/>
      <c r="R56" s="497"/>
      <c r="S56" s="498"/>
    </row>
    <row r="57" spans="1:19" x14ac:dyDescent="0.3">
      <c r="A57" s="197" t="s">
        <v>17</v>
      </c>
      <c r="F57" s="330">
        <f>IF('Algemene kostprijsfactoren'!$F$23&lt;&gt;"",'Algemene kostprijsfactoren'!$F$23,'Algemene kostprijsfactoren'!$C$23)</f>
        <v>3.49E-2</v>
      </c>
      <c r="G57" s="195"/>
      <c r="H57" s="499" t="s">
        <v>538</v>
      </c>
      <c r="I57" s="500"/>
      <c r="J57" s="500" t="s">
        <v>181</v>
      </c>
      <c r="K57" s="500"/>
      <c r="L57" s="500" t="s">
        <v>181</v>
      </c>
      <c r="M57" s="500"/>
      <c r="N57" s="500" t="s">
        <v>181</v>
      </c>
      <c r="O57" s="500"/>
      <c r="P57" s="500" t="s">
        <v>181</v>
      </c>
      <c r="Q57" s="500"/>
      <c r="R57" s="500" t="s">
        <v>181</v>
      </c>
      <c r="S57" s="501"/>
    </row>
    <row r="58" spans="1:19" x14ac:dyDescent="0.3">
      <c r="A58" s="197" t="s">
        <v>18</v>
      </c>
      <c r="F58" s="330">
        <f>IF('Algemene kostprijsfactoren'!$F$24&lt;&gt;"",'Algemene kostprijsfactoren'!$F$24,'Algemene kostprijsfactoren'!$C$24)</f>
        <v>6.5100000000000005E-2</v>
      </c>
      <c r="G58" s="195"/>
      <c r="H58" s="209">
        <v>6.5100000000000005E-2</v>
      </c>
      <c r="I58" s="496" t="s">
        <v>539</v>
      </c>
      <c r="J58" s="497"/>
      <c r="K58" s="497"/>
      <c r="L58" s="497"/>
      <c r="M58" s="497"/>
      <c r="N58" s="497"/>
      <c r="O58" s="497"/>
      <c r="P58" s="497"/>
      <c r="Q58" s="497"/>
      <c r="R58" s="497"/>
      <c r="S58" s="498"/>
    </row>
    <row r="59" spans="1:19" x14ac:dyDescent="0.3">
      <c r="A59" s="197" t="s">
        <v>19</v>
      </c>
      <c r="F59" s="330">
        <f>IF('Algemene kostprijsfactoren'!$F$25&lt;&gt;"",'Algemene kostprijsfactoren'!$F$25,'Algemene kostprijsfactoren'!$C$25)</f>
        <v>1.3299999999999999E-2</v>
      </c>
      <c r="G59" s="195"/>
      <c r="H59" s="496" t="s">
        <v>226</v>
      </c>
      <c r="I59" s="497"/>
      <c r="J59" s="497"/>
      <c r="K59" s="497"/>
      <c r="L59" s="497"/>
      <c r="M59" s="497"/>
      <c r="N59" s="497"/>
      <c r="O59" s="497"/>
      <c r="P59" s="497"/>
      <c r="Q59" s="497"/>
      <c r="R59" s="497"/>
      <c r="S59" s="498"/>
    </row>
    <row r="60" spans="1:19" ht="16.2" thickBot="1" x14ac:dyDescent="0.35">
      <c r="A60" s="199" t="s">
        <v>21</v>
      </c>
      <c r="F60" s="330">
        <f>IF('Algemene kostprijsfactoren'!$F$26&lt;&gt;"",'Algemene kostprijsfactoren'!$F$26,'Algemene kostprijsfactoren'!$C$26)</f>
        <v>3.5000000000000001E-3</v>
      </c>
      <c r="G60" s="195"/>
      <c r="H60" s="496" t="s">
        <v>22</v>
      </c>
      <c r="I60" s="497"/>
      <c r="J60" s="497"/>
      <c r="K60" s="497"/>
      <c r="L60" s="497"/>
      <c r="M60" s="497"/>
      <c r="N60" s="497"/>
      <c r="O60" s="497"/>
      <c r="P60" s="497"/>
      <c r="Q60" s="497"/>
      <c r="R60" s="497"/>
      <c r="S60" s="498"/>
    </row>
    <row r="61" spans="1:19" ht="16.2" thickTop="1" x14ac:dyDescent="0.3">
      <c r="A61" s="200" t="s">
        <v>23</v>
      </c>
      <c r="F61" s="328">
        <f>SUM(F56:F60)</f>
        <v>0.19260000000000002</v>
      </c>
      <c r="G61" s="195"/>
      <c r="H61" s="196"/>
      <c r="I61" s="196"/>
    </row>
    <row r="63" spans="1:19" x14ac:dyDescent="0.3">
      <c r="F63" s="6" t="s">
        <v>59</v>
      </c>
      <c r="G63" s="6" t="s">
        <v>60</v>
      </c>
      <c r="H63" s="6" t="s">
        <v>61</v>
      </c>
    </row>
    <row r="64" spans="1:19" ht="16.2" thickBot="1" x14ac:dyDescent="0.35">
      <c r="A64" s="215" t="s">
        <v>62</v>
      </c>
      <c r="F64" s="218"/>
      <c r="G64" s="219">
        <v>1878</v>
      </c>
      <c r="H64" s="220"/>
      <c r="I64" s="211"/>
      <c r="J64" s="514" t="s">
        <v>222</v>
      </c>
      <c r="K64" s="515"/>
      <c r="L64" s="515"/>
      <c r="M64" s="515"/>
      <c r="N64" s="515"/>
      <c r="O64" s="515"/>
      <c r="P64" s="515"/>
      <c r="Q64" s="515"/>
      <c r="R64" s="515"/>
      <c r="S64" s="516"/>
    </row>
    <row r="65" spans="1:19" ht="16.2" thickTop="1" x14ac:dyDescent="0.3">
      <c r="A65" s="197" t="s">
        <v>11</v>
      </c>
      <c r="F65" s="419" t="s">
        <v>31</v>
      </c>
      <c r="G65" s="221">
        <v>150.42780000000002</v>
      </c>
      <c r="H65" s="329">
        <v>8.0100000000000005E-2</v>
      </c>
      <c r="I65" s="211"/>
      <c r="J65" s="514" t="s">
        <v>221</v>
      </c>
      <c r="K65" s="515"/>
      <c r="L65" s="515"/>
      <c r="M65" s="515"/>
      <c r="N65" s="515"/>
      <c r="O65" s="515"/>
      <c r="P65" s="515"/>
      <c r="Q65" s="515"/>
      <c r="R65" s="515"/>
      <c r="S65" s="516"/>
    </row>
    <row r="66" spans="1:19" x14ac:dyDescent="0.3">
      <c r="A66" s="197" t="s">
        <v>64</v>
      </c>
      <c r="F66" s="419" t="s">
        <v>31</v>
      </c>
      <c r="G66" s="420">
        <v>237.4</v>
      </c>
      <c r="H66" s="222"/>
      <c r="I66" s="211"/>
      <c r="J66" s="514" t="s">
        <v>65</v>
      </c>
      <c r="K66" s="515"/>
      <c r="L66" s="515"/>
      <c r="M66" s="515"/>
      <c r="N66" s="515"/>
      <c r="O66" s="515"/>
      <c r="P66" s="515"/>
      <c r="Q66" s="515"/>
      <c r="R66" s="515"/>
      <c r="S66" s="516"/>
    </row>
    <row r="67" spans="1:19" x14ac:dyDescent="0.3">
      <c r="A67" s="197" t="s">
        <v>66</v>
      </c>
      <c r="F67" s="419" t="s">
        <v>31</v>
      </c>
      <c r="G67" s="221">
        <v>37.56</v>
      </c>
      <c r="H67" s="421">
        <v>0.02</v>
      </c>
      <c r="I67" s="211"/>
      <c r="J67" s="514" t="s">
        <v>78</v>
      </c>
      <c r="K67" s="515"/>
      <c r="L67" s="515"/>
      <c r="M67" s="515"/>
      <c r="N67" s="515"/>
      <c r="O67" s="515"/>
      <c r="P67" s="515"/>
      <c r="Q67" s="515"/>
      <c r="R67" s="515"/>
      <c r="S67" s="516"/>
    </row>
    <row r="68" spans="1:19" x14ac:dyDescent="0.3">
      <c r="A68" s="197" t="s">
        <v>218</v>
      </c>
      <c r="F68" s="419" t="s">
        <v>31</v>
      </c>
      <c r="G68" s="221">
        <v>103.29</v>
      </c>
      <c r="H68" s="421">
        <v>5.5E-2</v>
      </c>
      <c r="I68" s="211"/>
      <c r="J68" s="514" t="s">
        <v>532</v>
      </c>
      <c r="K68" s="515"/>
      <c r="L68" s="515"/>
      <c r="M68" s="515"/>
      <c r="N68" s="515"/>
      <c r="O68" s="515"/>
      <c r="P68" s="515"/>
      <c r="Q68" s="515"/>
      <c r="R68" s="515"/>
      <c r="S68" s="516"/>
    </row>
    <row r="69" spans="1:19" x14ac:dyDescent="0.3">
      <c r="A69" s="197" t="s">
        <v>215</v>
      </c>
      <c r="F69" s="419" t="s">
        <v>31</v>
      </c>
      <c r="G69" s="221">
        <v>118.31400000000001</v>
      </c>
      <c r="H69" s="421">
        <v>6.3E-2</v>
      </c>
      <c r="I69" s="211"/>
      <c r="J69" s="514" t="s">
        <v>505</v>
      </c>
      <c r="K69" s="515"/>
      <c r="L69" s="515"/>
      <c r="M69" s="515"/>
      <c r="N69" s="515"/>
      <c r="O69" s="515"/>
      <c r="P69" s="515"/>
      <c r="Q69" s="515"/>
      <c r="R69" s="515"/>
      <c r="S69" s="516"/>
    </row>
    <row r="70" spans="1:19" ht="16.2" thickBot="1" x14ac:dyDescent="0.35">
      <c r="A70" s="197" t="s">
        <v>67</v>
      </c>
      <c r="F70" s="419" t="s">
        <v>31</v>
      </c>
      <c r="G70" s="342">
        <v>18.78</v>
      </c>
      <c r="H70" s="421">
        <v>0.01</v>
      </c>
      <c r="I70" s="211"/>
      <c r="J70" s="514" t="s">
        <v>531</v>
      </c>
      <c r="K70" s="515"/>
      <c r="L70" s="515"/>
      <c r="M70" s="515"/>
      <c r="N70" s="515"/>
      <c r="O70" s="515"/>
      <c r="P70" s="515"/>
      <c r="Q70" s="515"/>
      <c r="R70" s="515"/>
      <c r="S70" s="516"/>
    </row>
    <row r="71" spans="1:19" ht="16.2" thickTop="1" x14ac:dyDescent="0.3">
      <c r="A71" s="231" t="s">
        <v>68</v>
      </c>
      <c r="F71" s="223"/>
      <c r="G71" s="314">
        <f>G64-SUMIFS(G65:G70,F65:F70,"Ja")</f>
        <v>1212.2282</v>
      </c>
      <c r="H71" s="224"/>
      <c r="I71" s="212"/>
      <c r="J71" s="213"/>
    </row>
    <row r="72" spans="1:19" x14ac:dyDescent="0.3">
      <c r="A72" s="214"/>
      <c r="F72" s="225"/>
      <c r="G72" s="226"/>
      <c r="H72" s="226"/>
      <c r="I72" s="213"/>
      <c r="J72" s="213"/>
    </row>
    <row r="73" spans="1:19" x14ac:dyDescent="0.3">
      <c r="A73" s="216" t="s">
        <v>69</v>
      </c>
      <c r="F73" s="217"/>
      <c r="G73" s="503">
        <f>G71/G64</f>
        <v>0.64548892438764649</v>
      </c>
      <c r="H73" s="504"/>
      <c r="I73" s="213"/>
      <c r="J73" s="213"/>
    </row>
    <row r="76" spans="1:19" x14ac:dyDescent="0.3">
      <c r="A76" s="5" t="s">
        <v>70</v>
      </c>
    </row>
    <row r="77" spans="1:19" x14ac:dyDescent="0.3">
      <c r="A77" s="505"/>
      <c r="B77" s="506"/>
      <c r="C77" s="506"/>
      <c r="D77" s="506"/>
      <c r="E77" s="506"/>
      <c r="F77" s="506"/>
      <c r="G77" s="506"/>
      <c r="H77" s="506"/>
      <c r="I77" s="506"/>
      <c r="J77" s="506"/>
      <c r="K77" s="506"/>
      <c r="L77" s="506"/>
      <c r="M77" s="506"/>
      <c r="N77" s="506"/>
      <c r="O77" s="506"/>
      <c r="P77" s="506"/>
      <c r="Q77" s="506"/>
      <c r="R77" s="506"/>
      <c r="S77" s="507"/>
    </row>
    <row r="78" spans="1:19" x14ac:dyDescent="0.3">
      <c r="A78" s="508"/>
      <c r="B78" s="509"/>
      <c r="C78" s="509"/>
      <c r="D78" s="509"/>
      <c r="E78" s="509"/>
      <c r="F78" s="509"/>
      <c r="G78" s="509"/>
      <c r="H78" s="509"/>
      <c r="I78" s="509"/>
      <c r="J78" s="509"/>
      <c r="K78" s="509"/>
      <c r="L78" s="509"/>
      <c r="M78" s="509"/>
      <c r="N78" s="509"/>
      <c r="O78" s="509"/>
      <c r="P78" s="509"/>
      <c r="Q78" s="509"/>
      <c r="R78" s="509"/>
      <c r="S78" s="510"/>
    </row>
    <row r="79" spans="1:19" x14ac:dyDescent="0.3">
      <c r="A79" s="508"/>
      <c r="B79" s="509"/>
      <c r="C79" s="509"/>
      <c r="D79" s="509"/>
      <c r="E79" s="509"/>
      <c r="F79" s="509"/>
      <c r="G79" s="509"/>
      <c r="H79" s="509"/>
      <c r="I79" s="509"/>
      <c r="J79" s="509"/>
      <c r="K79" s="509"/>
      <c r="L79" s="509"/>
      <c r="M79" s="509"/>
      <c r="N79" s="509"/>
      <c r="O79" s="509"/>
      <c r="P79" s="509"/>
      <c r="Q79" s="509"/>
      <c r="R79" s="509"/>
      <c r="S79" s="510"/>
    </row>
    <row r="80" spans="1:19" x14ac:dyDescent="0.3">
      <c r="A80" s="508"/>
      <c r="B80" s="509"/>
      <c r="C80" s="509"/>
      <c r="D80" s="509"/>
      <c r="E80" s="509"/>
      <c r="F80" s="509"/>
      <c r="G80" s="509"/>
      <c r="H80" s="509"/>
      <c r="I80" s="509"/>
      <c r="J80" s="509"/>
      <c r="K80" s="509"/>
      <c r="L80" s="509"/>
      <c r="M80" s="509"/>
      <c r="N80" s="509"/>
      <c r="O80" s="509"/>
      <c r="P80" s="509"/>
      <c r="Q80" s="509"/>
      <c r="R80" s="509"/>
      <c r="S80" s="510"/>
    </row>
    <row r="81" spans="1:19" x14ac:dyDescent="0.3">
      <c r="A81" s="508"/>
      <c r="B81" s="509"/>
      <c r="C81" s="509"/>
      <c r="D81" s="509"/>
      <c r="E81" s="509"/>
      <c r="F81" s="509"/>
      <c r="G81" s="509"/>
      <c r="H81" s="509"/>
      <c r="I81" s="509"/>
      <c r="J81" s="509"/>
      <c r="K81" s="509"/>
      <c r="L81" s="509"/>
      <c r="M81" s="509"/>
      <c r="N81" s="509"/>
      <c r="O81" s="509"/>
      <c r="P81" s="509"/>
      <c r="Q81" s="509"/>
      <c r="R81" s="509"/>
      <c r="S81" s="510"/>
    </row>
    <row r="82" spans="1:19" x14ac:dyDescent="0.3">
      <c r="A82" s="511"/>
      <c r="B82" s="512"/>
      <c r="C82" s="512"/>
      <c r="D82" s="512"/>
      <c r="E82" s="512"/>
      <c r="F82" s="512"/>
      <c r="G82" s="512"/>
      <c r="H82" s="512"/>
      <c r="I82" s="512"/>
      <c r="J82" s="512"/>
      <c r="K82" s="512"/>
      <c r="L82" s="512"/>
      <c r="M82" s="512"/>
      <c r="N82" s="512"/>
      <c r="O82" s="512"/>
      <c r="P82" s="512"/>
      <c r="Q82" s="512"/>
      <c r="R82" s="512"/>
      <c r="S82" s="513"/>
    </row>
  </sheetData>
  <sheetProtection algorithmName="SHA-512" hashValue="EK7xiFS67ra+pXHEDwmuGwjMYNczxxWe3NdH7MKWWF4HZvCsV6N8kDEQAw8yMddKkuUnEOGuyAd7mTPpVvTfOw==" saltValue="J/iIQ0QuWQhXI/ikPqQC4g==" spinCount="100000" sheet="1"/>
  <protectedRanges>
    <protectedRange algorithmName="SHA-512" hashValue="zrr1YC170iD4z5ngO6i+dvye2WxwMuZwyCItKXOM0Fb0EC895yDhie8vErJXeoL6fSMcx6aoO1sn5XcoWfI8lg==" saltValue="T/jZUAo6mJPMXMKTIHv+sw==" spinCount="100000" sqref="H65 F65:F70 H67:H70" name="Inputcellen_3"/>
  </protectedRanges>
  <mergeCells count="33">
    <mergeCell ref="F4:M4"/>
    <mergeCell ref="F6:G6"/>
    <mergeCell ref="H6:I6"/>
    <mergeCell ref="J6:K6"/>
    <mergeCell ref="L6:M6"/>
    <mergeCell ref="P6:Q6"/>
    <mergeCell ref="F7:G7"/>
    <mergeCell ref="H7:I7"/>
    <mergeCell ref="J7:K7"/>
    <mergeCell ref="L7:M7"/>
    <mergeCell ref="N7:O7"/>
    <mergeCell ref="P7:Q7"/>
    <mergeCell ref="N6:O6"/>
    <mergeCell ref="J64:S64"/>
    <mergeCell ref="F33:G33"/>
    <mergeCell ref="H33:I33"/>
    <mergeCell ref="J33:K33"/>
    <mergeCell ref="L33:M33"/>
    <mergeCell ref="N33:O33"/>
    <mergeCell ref="P33:Q33"/>
    <mergeCell ref="I56:S56"/>
    <mergeCell ref="H57:S57"/>
    <mergeCell ref="I58:S58"/>
    <mergeCell ref="H59:S59"/>
    <mergeCell ref="H60:S60"/>
    <mergeCell ref="G73:H73"/>
    <mergeCell ref="A77:S82"/>
    <mergeCell ref="J65:S65"/>
    <mergeCell ref="J66:S66"/>
    <mergeCell ref="J67:S67"/>
    <mergeCell ref="J68:S68"/>
    <mergeCell ref="J69:S69"/>
    <mergeCell ref="J70:S70"/>
  </mergeCells>
  <conditionalFormatting sqref="F46:F47 F53 F56:F60">
    <cfRule type="expression" dxfId="7" priority="2">
      <formula>$C$79="Opslag"</formula>
    </cfRule>
  </conditionalFormatting>
  <conditionalFormatting sqref="F49:F51">
    <cfRule type="expression" dxfId="6" priority="3">
      <formula>$C$79="Opslag"</formula>
    </cfRule>
  </conditionalFormatting>
  <conditionalFormatting sqref="F61">
    <cfRule type="expression" dxfId="5" priority="6">
      <formula>$C$78="Opslag"</formula>
    </cfRule>
  </conditionalFormatting>
  <conditionalFormatting sqref="T33">
    <cfRule type="expression" dxfId="4" priority="4">
      <formula>$T$33=1</formula>
    </cfRule>
    <cfRule type="expression" dxfId="3" priority="5">
      <formula>$T$33&lt;&gt;1</formula>
    </cfRule>
  </conditionalFormatting>
  <dataValidations count="1">
    <dataValidation errorStyle="information" allowBlank="1" showInputMessage="1" showErrorMessage="1" errorTitle="Verplicht veld" error="Vul hier de gemiddelde inschaling in voor de desbetreffende functie." sqref="F8 H8 J8 P8" xr:uid="{F69BC8AE-5AF8-4641-98C7-D36D0521521E}"/>
  </dataValidations>
  <pageMargins left="0.7" right="0.7" top="0.75" bottom="0.75" header="0.3" footer="0.3"/>
  <pageSetup paperSize="9" scale="44" fitToHeight="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DE92-3C1C-42B9-9B4E-766387F92578}">
  <sheetPr>
    <tabColor theme="8" tint="0.59999389629810485"/>
    <pageSetUpPr fitToPage="1"/>
  </sheetPr>
  <dimension ref="A2:U81"/>
  <sheetViews>
    <sheetView zoomScale="80" zoomScaleNormal="80" workbookViewId="0">
      <pane ySplit="4" topLeftCell="A5" activePane="bottomLeft" state="frozen"/>
      <selection activeCell="A77" sqref="A77:S82"/>
      <selection pane="bottomLeft" activeCell="Q26" sqref="Q26"/>
    </sheetView>
  </sheetViews>
  <sheetFormatPr defaultColWidth="10.5" defaultRowHeight="15.6" x14ac:dyDescent="0.3"/>
  <cols>
    <col min="1" max="1" width="75.09765625" style="5" customWidth="1"/>
    <col min="2" max="2" width="0.5" style="6" hidden="1" customWidth="1"/>
    <col min="3" max="3" width="14" style="6" hidden="1" customWidth="1"/>
    <col min="4"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hidden="1" customWidth="1"/>
    <col min="13" max="13" width="13.09765625" style="6" hidden="1" customWidth="1"/>
    <col min="14" max="14" width="13.59765625" style="6" hidden="1" customWidth="1"/>
    <col min="15" max="15" width="14.8984375" style="6" hidden="1" customWidth="1"/>
    <col min="16" max="16" width="13.5" style="6" customWidth="1"/>
    <col min="17" max="17" width="13" style="6" customWidth="1"/>
    <col min="18" max="18" width="1.3984375" style="5" customWidth="1"/>
    <col min="19" max="19" width="31.69921875" style="5" customWidth="1"/>
    <col min="20" max="20" width="3.5" style="5"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s="18" customFormat="1" ht="21" x14ac:dyDescent="0.35">
      <c r="A4" s="398" t="s">
        <v>528</v>
      </c>
      <c r="B4" s="399"/>
      <c r="C4" s="399"/>
      <c r="D4" s="399"/>
      <c r="E4" s="399"/>
      <c r="F4" s="521"/>
      <c r="G4" s="521"/>
      <c r="H4" s="521"/>
      <c r="I4" s="521"/>
      <c r="J4" s="521"/>
      <c r="K4" s="521"/>
      <c r="L4" s="521"/>
      <c r="M4" s="521"/>
      <c r="N4" s="398"/>
      <c r="O4" s="399"/>
      <c r="P4" s="399"/>
      <c r="Q4" s="399"/>
      <c r="R4" s="39"/>
    </row>
    <row r="5" spans="1:21" ht="16.2" thickBot="1" x14ac:dyDescent="0.35">
      <c r="A5" s="106"/>
      <c r="B5" s="107"/>
      <c r="C5" s="107"/>
      <c r="D5" s="107"/>
      <c r="E5" s="107"/>
      <c r="F5" s="139"/>
      <c r="G5" s="319"/>
      <c r="H5" s="132"/>
      <c r="I5" s="132"/>
      <c r="J5" s="132"/>
      <c r="K5" s="132"/>
      <c r="L5" s="132"/>
      <c r="M5" s="132"/>
      <c r="N5" s="132"/>
      <c r="O5" s="132"/>
      <c r="P5" s="132"/>
      <c r="Q5" s="132"/>
      <c r="R5" s="83"/>
    </row>
    <row r="6" spans="1:21" ht="24.9" customHeight="1" thickBot="1" x14ac:dyDescent="0.35">
      <c r="A6" s="95" t="s">
        <v>28</v>
      </c>
      <c r="B6" s="88"/>
      <c r="C6" s="86" t="s">
        <v>29</v>
      </c>
      <c r="D6" s="88"/>
      <c r="E6" s="88"/>
      <c r="F6" s="492" t="s">
        <v>551</v>
      </c>
      <c r="G6" s="493"/>
      <c r="H6" s="492" t="s">
        <v>550</v>
      </c>
      <c r="I6" s="493"/>
      <c r="J6" s="492" t="str">
        <f>F6</f>
        <v>overdag</v>
      </c>
      <c r="K6" s="493"/>
      <c r="L6" s="492" t="str">
        <f>F6</f>
        <v>overdag</v>
      </c>
      <c r="M6" s="493"/>
      <c r="N6" s="492" t="str">
        <f>F6</f>
        <v>overdag</v>
      </c>
      <c r="O6" s="493"/>
      <c r="P6" s="492" t="str">
        <f>F6</f>
        <v>overdag</v>
      </c>
      <c r="Q6" s="493"/>
      <c r="R6" s="89"/>
      <c r="T6" s="133"/>
    </row>
    <row r="7" spans="1:21" ht="24.9" customHeight="1" thickBot="1" x14ac:dyDescent="0.35">
      <c r="A7" s="90" t="s">
        <v>219</v>
      </c>
      <c r="B7" s="88"/>
      <c r="C7" s="86"/>
      <c r="D7" s="88"/>
      <c r="E7" s="88"/>
      <c r="F7" s="519" t="s">
        <v>518</v>
      </c>
      <c r="G7" s="520"/>
      <c r="H7" s="519" t="s">
        <v>519</v>
      </c>
      <c r="I7" s="520"/>
      <c r="J7" s="519" t="s">
        <v>520</v>
      </c>
      <c r="K7" s="520"/>
      <c r="L7" s="519"/>
      <c r="M7" s="520"/>
      <c r="N7" s="519"/>
      <c r="O7" s="520"/>
      <c r="P7" s="519" t="s">
        <v>220</v>
      </c>
      <c r="Q7" s="520"/>
      <c r="R7" s="89"/>
      <c r="U7"/>
    </row>
    <row r="8" spans="1:21" ht="15.9" customHeight="1" thickBot="1" x14ac:dyDescent="0.35">
      <c r="A8" s="97" t="s">
        <v>230</v>
      </c>
      <c r="B8" s="156"/>
      <c r="C8" s="99"/>
      <c r="D8" s="156"/>
      <c r="E8" s="156"/>
      <c r="F8" s="401" t="s">
        <v>231</v>
      </c>
      <c r="G8" s="402">
        <v>3602.9809915625005</v>
      </c>
      <c r="H8" s="401"/>
      <c r="I8" s="402">
        <v>3327.4481426562506</v>
      </c>
      <c r="J8" s="401" t="s">
        <v>231</v>
      </c>
      <c r="K8" s="402"/>
      <c r="L8" s="401" t="s">
        <v>210</v>
      </c>
      <c r="M8" s="402"/>
      <c r="N8" s="401" t="s">
        <v>210</v>
      </c>
      <c r="O8" s="402"/>
      <c r="P8" s="401" t="s">
        <v>231</v>
      </c>
      <c r="Q8" s="402"/>
      <c r="R8" s="82"/>
      <c r="S8" s="325"/>
      <c r="T8" s="133"/>
    </row>
    <row r="9" spans="1:21" ht="15.9" customHeight="1" x14ac:dyDescent="0.3">
      <c r="A9" s="97" t="s">
        <v>71</v>
      </c>
      <c r="B9" s="156"/>
      <c r="C9" s="99"/>
      <c r="D9" s="156"/>
      <c r="E9" s="156"/>
      <c r="F9" s="158"/>
      <c r="G9" s="160">
        <f>G8/156.5</f>
        <v>23.022242757587861</v>
      </c>
      <c r="H9" s="158"/>
      <c r="I9" s="160">
        <f>I8/156.5</f>
        <v>21.261649473841857</v>
      </c>
      <c r="J9" s="158"/>
      <c r="K9" s="160">
        <f>K8/156.5</f>
        <v>0</v>
      </c>
      <c r="L9" s="158"/>
      <c r="M9" s="160">
        <f>M8/156.5</f>
        <v>0</v>
      </c>
      <c r="N9" s="158"/>
      <c r="O9" s="160">
        <f>O8/156.5</f>
        <v>0</v>
      </c>
      <c r="P9" s="158"/>
      <c r="Q9" s="160">
        <f>Q8/156.5</f>
        <v>0</v>
      </c>
      <c r="R9" s="82"/>
      <c r="S9" s="133"/>
      <c r="T9" s="133"/>
    </row>
    <row r="10" spans="1:21" ht="15.9" customHeight="1" x14ac:dyDescent="0.3">
      <c r="A10" s="94" t="s">
        <v>4</v>
      </c>
      <c r="B10" s="156"/>
      <c r="C10" s="99" t="s">
        <v>31</v>
      </c>
      <c r="D10" s="156"/>
      <c r="E10" s="156"/>
      <c r="F10" s="158">
        <f>IF(F6&lt;&gt;"",'Algemene kostprijsfactoren'!$C$5,"")</f>
        <v>8.0750000000000002E-2</v>
      </c>
      <c r="G10" s="157">
        <f>MAX(1.07,F10*G9)</f>
        <v>1.8590461026752199</v>
      </c>
      <c r="H10" s="158">
        <f>IF(H6&lt;&gt;"",'Algemene kostprijsfactoren'!$C$5,"")</f>
        <v>8.0750000000000002E-2</v>
      </c>
      <c r="I10" s="157">
        <f>MAX(1.07,H10*I9)</f>
        <v>1.7168781950127299</v>
      </c>
      <c r="J10" s="158">
        <f>IF(J6&lt;&gt;"",'Algemene kostprijsfactoren'!$C$5,"")</f>
        <v>8.0750000000000002E-2</v>
      </c>
      <c r="K10" s="157">
        <f>MAX(1.07,J10*K9)</f>
        <v>1.07</v>
      </c>
      <c r="L10" s="158">
        <f>IF(L6&lt;&gt;"",8%,"")</f>
        <v>0.08</v>
      </c>
      <c r="M10" s="157">
        <f>MAX(1.07,L10*M9)</f>
        <v>1.07</v>
      </c>
      <c r="N10" s="158">
        <f>IF(N6&lt;&gt;"",8%,"")</f>
        <v>0.08</v>
      </c>
      <c r="O10" s="157">
        <f>MAX(1.07,N10*O9)</f>
        <v>1.07</v>
      </c>
      <c r="P10" s="158">
        <f>IF(P6&lt;&gt;"",'Algemene kostprijsfactoren'!$C$5,"")</f>
        <v>8.0750000000000002E-2</v>
      </c>
      <c r="Q10" s="157">
        <f>MAX(1.07,P10*Q9)</f>
        <v>1.07</v>
      </c>
      <c r="R10" s="83"/>
      <c r="S10" s="134"/>
      <c r="T10" s="134"/>
    </row>
    <row r="11" spans="1:21" ht="15.9" customHeight="1" x14ac:dyDescent="0.3">
      <c r="A11" s="111" t="s">
        <v>32</v>
      </c>
      <c r="B11" s="156"/>
      <c r="C11" s="99"/>
      <c r="D11" s="156"/>
      <c r="E11" s="156"/>
      <c r="F11" s="158"/>
      <c r="G11" s="160">
        <f>G9+G10</f>
        <v>24.88128886026308</v>
      </c>
      <c r="H11" s="158"/>
      <c r="I11" s="160">
        <f>I9+I10</f>
        <v>22.978527668854586</v>
      </c>
      <c r="J11" s="158"/>
      <c r="K11" s="160">
        <f>K9+K10</f>
        <v>1.07</v>
      </c>
      <c r="L11" s="158"/>
      <c r="M11" s="160">
        <f>M9+M10</f>
        <v>1.07</v>
      </c>
      <c r="N11" s="158"/>
      <c r="O11" s="160">
        <f>O9+O10</f>
        <v>1.07</v>
      </c>
      <c r="P11" s="158"/>
      <c r="Q11" s="160">
        <f>Q9+Q10</f>
        <v>1.07</v>
      </c>
      <c r="R11" s="83"/>
      <c r="S11" s="134"/>
      <c r="T11" s="134"/>
    </row>
    <row r="12" spans="1:21" ht="15.9" customHeight="1" thickBot="1" x14ac:dyDescent="0.35">
      <c r="A12" s="94" t="s">
        <v>33</v>
      </c>
      <c r="B12" s="156"/>
      <c r="C12" s="99" t="s">
        <v>31</v>
      </c>
      <c r="D12" s="156"/>
      <c r="E12" s="156"/>
      <c r="F12" s="379">
        <f>IF(F6&lt;&gt;"",'Algemene kostprijsfactoren'!$C$6,"")</f>
        <v>8.3299999999999999E-2</v>
      </c>
      <c r="G12" s="159">
        <f>MAX(1.14,F12*G9)</f>
        <v>1.9177528217070687</v>
      </c>
      <c r="H12" s="379">
        <f>IF(H6&lt;&gt;"",'Algemene kostprijsfactoren'!$C$6,"")</f>
        <v>8.3299999999999999E-2</v>
      </c>
      <c r="I12" s="159">
        <f>MAX(1.14,H12*I9)</f>
        <v>1.7710954011710267</v>
      </c>
      <c r="J12" s="379">
        <f>IF(J6&lt;&gt;"",'Algemene kostprijsfactoren'!$C$6,"")</f>
        <v>8.3299999999999999E-2</v>
      </c>
      <c r="K12" s="159">
        <f>MAX(1.14,J12*K9)</f>
        <v>1.1399999999999999</v>
      </c>
      <c r="L12" s="379">
        <f>VLOOKUP(L$6,Toelichting!$A$28:$B$31,2,TRUE)</f>
        <v>8.3299999999999999E-2</v>
      </c>
      <c r="M12" s="159">
        <f>MAX(1.14,L12*M9)</f>
        <v>1.1399999999999999</v>
      </c>
      <c r="N12" s="379">
        <f>VLOOKUP(N$6,Toelichting!$A$28:$B$31,2,TRUE)</f>
        <v>8.3299999999999999E-2</v>
      </c>
      <c r="O12" s="159">
        <f>MAX(1.14,N12*O9)</f>
        <v>1.1399999999999999</v>
      </c>
      <c r="P12" s="379">
        <f>IF(P6&lt;&gt;"",'Algemene kostprijsfactoren'!$C$6,"")</f>
        <v>8.3299999999999999E-2</v>
      </c>
      <c r="Q12" s="159">
        <f>MAX(1.14,P12*Q9)</f>
        <v>1.1399999999999999</v>
      </c>
      <c r="R12" s="83"/>
      <c r="S12" s="134"/>
      <c r="T12" s="134"/>
    </row>
    <row r="13" spans="1:21" ht="16.2" thickBot="1" x14ac:dyDescent="0.35">
      <c r="A13" s="97" t="s">
        <v>216</v>
      </c>
      <c r="B13" s="156"/>
      <c r="C13" s="99"/>
      <c r="D13" s="156"/>
      <c r="E13" s="156"/>
      <c r="F13" s="403">
        <v>0.105</v>
      </c>
      <c r="G13" s="378">
        <f>F13*G9</f>
        <v>2.4173354895467254</v>
      </c>
      <c r="H13" s="403">
        <v>9.1999999999999998E-2</v>
      </c>
      <c r="I13" s="378">
        <f>H13*I9</f>
        <v>1.9560717515934507</v>
      </c>
      <c r="J13" s="403">
        <v>0</v>
      </c>
      <c r="K13" s="378">
        <f>J13*K9</f>
        <v>0</v>
      </c>
      <c r="L13" s="403">
        <v>0</v>
      </c>
      <c r="M13" s="378">
        <f>L13*M9</f>
        <v>0</v>
      </c>
      <c r="N13" s="403">
        <v>0</v>
      </c>
      <c r="O13" s="378">
        <f>N13*O9</f>
        <v>0</v>
      </c>
      <c r="P13" s="403">
        <v>0</v>
      </c>
      <c r="Q13" s="320">
        <f>P13*Q9</f>
        <v>0</v>
      </c>
      <c r="R13" s="82"/>
    </row>
    <row r="14" spans="1:21" x14ac:dyDescent="0.3">
      <c r="A14" s="108" t="s">
        <v>35</v>
      </c>
      <c r="B14" s="126"/>
      <c r="C14" s="98"/>
      <c r="D14" s="126"/>
      <c r="E14" s="135">
        <f>SUM(E$10:E$12)</f>
        <v>0</v>
      </c>
      <c r="F14" s="321"/>
      <c r="G14" s="272">
        <f>SUM(G$11:G$13)</f>
        <v>29.216377171516875</v>
      </c>
      <c r="H14" s="404"/>
      <c r="I14" s="272">
        <f>SUM(I$11:I$13)</f>
        <v>26.705694821619065</v>
      </c>
      <c r="J14" s="404"/>
      <c r="K14" s="272">
        <f>SUM(K$11:K$13)</f>
        <v>2.21</v>
      </c>
      <c r="L14" s="405"/>
      <c r="M14" s="272">
        <f>SUM(M$11:M$13)</f>
        <v>2.21</v>
      </c>
      <c r="N14" s="406"/>
      <c r="O14" s="272">
        <f>SUM(O$11:O$13)</f>
        <v>2.21</v>
      </c>
      <c r="P14" s="405"/>
      <c r="Q14" s="272">
        <f>SUM(Q$11:Q$13)</f>
        <v>2.21</v>
      </c>
      <c r="R14" s="136"/>
      <c r="S14" s="133"/>
      <c r="T14" s="133"/>
    </row>
    <row r="15" spans="1:21" x14ac:dyDescent="0.3">
      <c r="A15" s="144" t="s">
        <v>36</v>
      </c>
      <c r="B15" s="126"/>
      <c r="C15" s="98"/>
      <c r="D15" s="126"/>
      <c r="E15" s="135"/>
      <c r="F15" s="276">
        <f>$F$60</f>
        <v>0.19260000000000002</v>
      </c>
      <c r="G15" s="277"/>
      <c r="H15" s="276">
        <f>$F$60</f>
        <v>0.19260000000000002</v>
      </c>
      <c r="I15" s="277"/>
      <c r="J15" s="276">
        <f>$F$60</f>
        <v>0.19260000000000002</v>
      </c>
      <c r="K15" s="277"/>
      <c r="L15" s="276">
        <f>$F$60</f>
        <v>0.19260000000000002</v>
      </c>
      <c r="M15" s="277"/>
      <c r="N15" s="276">
        <f>$F$60</f>
        <v>0.19260000000000002</v>
      </c>
      <c r="O15" s="163"/>
      <c r="P15" s="276">
        <f>$F$60</f>
        <v>0.19260000000000002</v>
      </c>
      <c r="Q15" s="277"/>
      <c r="R15" s="143"/>
      <c r="S15" s="325" t="s">
        <v>224</v>
      </c>
      <c r="T15" s="133"/>
    </row>
    <row r="16" spans="1:21" x14ac:dyDescent="0.3">
      <c r="A16" s="144" t="s">
        <v>38</v>
      </c>
      <c r="B16" s="126"/>
      <c r="C16" s="98"/>
      <c r="D16" s="126"/>
      <c r="E16" s="135"/>
      <c r="F16" s="276">
        <f>G48</f>
        <v>8.9842730787265443E-2</v>
      </c>
      <c r="G16" s="277"/>
      <c r="H16" s="276">
        <f>H48</f>
        <v>8.6161438638183319E-2</v>
      </c>
      <c r="I16" s="277"/>
      <c r="J16" s="276">
        <f>I48</f>
        <v>-0.38866223815650608</v>
      </c>
      <c r="K16" s="277"/>
      <c r="L16" s="276">
        <f>J48</f>
        <v>-0.38866223815650608</v>
      </c>
      <c r="M16" s="277"/>
      <c r="N16" s="276">
        <f>K48</f>
        <v>-0.38866223815650608</v>
      </c>
      <c r="O16" s="163"/>
      <c r="P16" s="276">
        <f>L48</f>
        <v>-0.38866223815650608</v>
      </c>
      <c r="Q16" s="277"/>
      <c r="R16" s="143"/>
      <c r="S16" s="133"/>
      <c r="T16" s="133"/>
    </row>
    <row r="17" spans="1:20" x14ac:dyDescent="0.3">
      <c r="A17" s="144" t="s">
        <v>39</v>
      </c>
      <c r="B17" s="126"/>
      <c r="C17" s="98"/>
      <c r="D17" s="126"/>
      <c r="E17" s="135"/>
      <c r="F17" s="276">
        <f>G52</f>
        <v>1.2057658593716469E-3</v>
      </c>
      <c r="G17" s="277"/>
      <c r="H17" s="276">
        <f>H52</f>
        <v>1.0840910317659535E-3</v>
      </c>
      <c r="I17" s="277"/>
      <c r="J17" s="276">
        <f>I52</f>
        <v>-1.460987909540813E-2</v>
      </c>
      <c r="K17" s="277"/>
      <c r="L17" s="276">
        <f>J52</f>
        <v>-1.460987909540813E-2</v>
      </c>
      <c r="M17" s="277"/>
      <c r="N17" s="276">
        <f>K52</f>
        <v>-1.460987909540813E-2</v>
      </c>
      <c r="O17" s="163"/>
      <c r="P17" s="276">
        <f>L52</f>
        <v>-1.460987909540813E-2</v>
      </c>
      <c r="Q17" s="277"/>
      <c r="R17" s="143"/>
      <c r="S17" s="133"/>
      <c r="T17" s="133"/>
    </row>
    <row r="18" spans="1:20" x14ac:dyDescent="0.3">
      <c r="A18" s="109" t="s">
        <v>40</v>
      </c>
      <c r="B18" s="126"/>
      <c r="C18" s="98"/>
      <c r="D18" s="126"/>
      <c r="E18" s="126"/>
      <c r="F18" s="278">
        <f>F15+F16+F17</f>
        <v>0.2836484966466371</v>
      </c>
      <c r="G18" s="279">
        <f>F18*G14</f>
        <v>8.2871814621618896</v>
      </c>
      <c r="H18" s="278">
        <f>H15+H16+H17</f>
        <v>0.2798455296699493</v>
      </c>
      <c r="I18" s="279">
        <f>H18*I14</f>
        <v>7.4734693125600096</v>
      </c>
      <c r="J18" s="278">
        <f>J15+J16+J17</f>
        <v>-0.21067211725191418</v>
      </c>
      <c r="K18" s="279">
        <f>J18*K14</f>
        <v>-0.46558537912673031</v>
      </c>
      <c r="L18" s="278">
        <f>L15+L16+L17</f>
        <v>-0.21067211725191418</v>
      </c>
      <c r="M18" s="279">
        <f>L18*M14</f>
        <v>-0.46558537912673031</v>
      </c>
      <c r="N18" s="280">
        <f>N15+N16+N17</f>
        <v>-0.21067211725191418</v>
      </c>
      <c r="O18" s="281">
        <f>N18*O14</f>
        <v>-0.46558537912673031</v>
      </c>
      <c r="P18" s="278">
        <f>P15+P16+P17</f>
        <v>-0.21067211725191418</v>
      </c>
      <c r="Q18" s="279">
        <f>P18*Q14</f>
        <v>-0.46558537912673031</v>
      </c>
      <c r="R18" s="137"/>
      <c r="S18" s="325" t="s">
        <v>224</v>
      </c>
      <c r="T18" s="133"/>
    </row>
    <row r="19" spans="1:20" x14ac:dyDescent="0.3">
      <c r="A19" s="110" t="s">
        <v>41</v>
      </c>
      <c r="B19" s="126"/>
      <c r="C19" s="98"/>
      <c r="D19" s="126"/>
      <c r="E19" s="126"/>
      <c r="F19" s="282"/>
      <c r="G19" s="283">
        <f>G14+G18</f>
        <v>37.503558633678765</v>
      </c>
      <c r="H19" s="284"/>
      <c r="I19" s="283">
        <f>I14+I18</f>
        <v>34.179164134179075</v>
      </c>
      <c r="J19" s="284"/>
      <c r="K19" s="283">
        <f>K14+K18</f>
        <v>1.7444146208732696</v>
      </c>
      <c r="L19" s="285"/>
      <c r="M19" s="283">
        <f>M14+M18</f>
        <v>1.7444146208732696</v>
      </c>
      <c r="N19" s="286"/>
      <c r="O19" s="287">
        <f>O14+O18</f>
        <v>1.7444146208732696</v>
      </c>
      <c r="P19" s="285"/>
      <c r="Q19" s="283">
        <f>Q14+Q18</f>
        <v>1.7444146208732696</v>
      </c>
      <c r="R19" s="346"/>
    </row>
    <row r="20" spans="1:20" ht="16.2" thickBot="1" x14ac:dyDescent="0.35">
      <c r="A20" s="96" t="s">
        <v>42</v>
      </c>
      <c r="B20" s="87"/>
      <c r="C20" s="125"/>
      <c r="D20" s="87"/>
      <c r="E20" s="87"/>
      <c r="F20" s="87"/>
      <c r="G20" s="114"/>
      <c r="H20" s="116"/>
      <c r="I20" s="114"/>
      <c r="J20" s="116"/>
      <c r="K20" s="114"/>
      <c r="L20" s="87"/>
      <c r="M20" s="87"/>
      <c r="N20" s="116"/>
      <c r="O20" s="114"/>
      <c r="P20" s="116"/>
      <c r="Q20" s="114"/>
      <c r="R20" s="1"/>
    </row>
    <row r="21" spans="1:20" ht="16.2" thickBot="1" x14ac:dyDescent="0.35">
      <c r="A21" s="105" t="s">
        <v>43</v>
      </c>
      <c r="B21" s="156"/>
      <c r="C21" s="99"/>
      <c r="D21" s="156"/>
      <c r="E21" s="156"/>
      <c r="F21" s="244">
        <f>G72</f>
        <v>0.73048892438764645</v>
      </c>
      <c r="G21" s="165">
        <f>G19/F21</f>
        <v>51.340352169086223</v>
      </c>
      <c r="H21" s="164">
        <f>F21</f>
        <v>0.73048892438764645</v>
      </c>
      <c r="I21" s="165">
        <f>I19/H21</f>
        <v>46.789435120909943</v>
      </c>
      <c r="J21" s="164">
        <f>F21</f>
        <v>0.73048892438764645</v>
      </c>
      <c r="K21" s="165">
        <f>K19/J21</f>
        <v>2.3880096776765996</v>
      </c>
      <c r="L21" s="164">
        <f>F21</f>
        <v>0.73048892438764645</v>
      </c>
      <c r="M21" s="165">
        <f>M19/L21</f>
        <v>2.3880096776765996</v>
      </c>
      <c r="N21" s="166">
        <f>F21</f>
        <v>0.73048892438764645</v>
      </c>
      <c r="O21" s="165">
        <f>O19/N21</f>
        <v>2.3880096776765996</v>
      </c>
      <c r="P21" s="166">
        <f>F21</f>
        <v>0.73048892438764645</v>
      </c>
      <c r="Q21" s="165">
        <f>Q19/P21</f>
        <v>2.3880096776765996</v>
      </c>
      <c r="R21" s="82"/>
      <c r="S21" s="5" t="s">
        <v>225</v>
      </c>
    </row>
    <row r="22" spans="1:20" ht="16.2" hidden="1" thickBot="1" x14ac:dyDescent="0.35">
      <c r="A22" s="94" t="s">
        <v>45</v>
      </c>
      <c r="B22" s="156"/>
      <c r="C22" s="99"/>
      <c r="D22" s="156"/>
      <c r="E22" s="156"/>
      <c r="F22" s="164"/>
      <c r="G22" s="407"/>
      <c r="H22" s="164"/>
      <c r="I22" s="288">
        <f>G22</f>
        <v>0</v>
      </c>
      <c r="J22" s="232"/>
      <c r="K22" s="288">
        <f>G22</f>
        <v>0</v>
      </c>
      <c r="L22" s="232"/>
      <c r="M22" s="288">
        <f>G22</f>
        <v>0</v>
      </c>
      <c r="N22" s="233"/>
      <c r="O22" s="288">
        <f>G22</f>
        <v>0</v>
      </c>
      <c r="P22" s="233"/>
      <c r="Q22" s="288">
        <f>G22</f>
        <v>0</v>
      </c>
      <c r="R22" s="82"/>
    </row>
    <row r="23" spans="1:20" x14ac:dyDescent="0.3">
      <c r="A23" s="105"/>
      <c r="B23" s="167"/>
      <c r="C23" s="98"/>
      <c r="D23" s="167"/>
      <c r="E23" s="167"/>
      <c r="F23" s="168"/>
      <c r="G23" s="248"/>
      <c r="H23" s="170"/>
      <c r="I23" s="169"/>
      <c r="J23" s="170"/>
      <c r="K23" s="169"/>
      <c r="L23" s="171"/>
      <c r="M23" s="169"/>
      <c r="N23" s="170"/>
      <c r="O23" s="169"/>
      <c r="P23" s="170"/>
      <c r="Q23" s="169"/>
      <c r="R23" s="1"/>
    </row>
    <row r="24" spans="1:20" ht="18.899999999999999" customHeight="1" x14ac:dyDescent="0.3">
      <c r="A24" s="129" t="s">
        <v>46</v>
      </c>
      <c r="B24" s="130"/>
      <c r="C24" s="131"/>
      <c r="D24" s="130"/>
      <c r="E24" s="130"/>
      <c r="F24" s="138"/>
      <c r="G24" s="290">
        <f>G21+G22</f>
        <v>51.340352169086223</v>
      </c>
      <c r="H24" s="289"/>
      <c r="I24" s="290">
        <f>I21+I22</f>
        <v>46.789435120909943</v>
      </c>
      <c r="J24" s="289"/>
      <c r="K24" s="290">
        <f>K21+K22</f>
        <v>2.3880096776765996</v>
      </c>
      <c r="L24" s="291"/>
      <c r="M24" s="290">
        <f>M21+M22</f>
        <v>2.3880096776765996</v>
      </c>
      <c r="N24" s="292"/>
      <c r="O24" s="290">
        <f>O21+O22</f>
        <v>2.3880096776765996</v>
      </c>
      <c r="P24" s="289"/>
      <c r="Q24" s="290">
        <f>Q21+Q22</f>
        <v>2.3880096776765996</v>
      </c>
      <c r="R24" s="1"/>
    </row>
    <row r="25" spans="1:20" ht="18" customHeight="1" x14ac:dyDescent="0.3">
      <c r="A25" s="104"/>
      <c r="B25" s="87"/>
      <c r="C25" s="99"/>
      <c r="D25" s="87"/>
      <c r="E25" s="87"/>
      <c r="F25" s="139"/>
      <c r="G25" s="115"/>
      <c r="H25" s="117"/>
      <c r="I25" s="118"/>
      <c r="J25" s="117"/>
      <c r="K25" s="118"/>
      <c r="L25" s="112"/>
      <c r="M25" s="113"/>
      <c r="N25" s="117"/>
      <c r="O25" s="118"/>
      <c r="P25" s="117"/>
      <c r="Q25" s="118"/>
      <c r="R25" s="1"/>
    </row>
    <row r="26" spans="1:20" ht="16.2" thickBot="1" x14ac:dyDescent="0.35">
      <c r="A26" s="96" t="s">
        <v>47</v>
      </c>
      <c r="B26" s="87"/>
      <c r="C26" s="125"/>
      <c r="D26" s="87"/>
      <c r="E26" s="87"/>
      <c r="F26" s="87"/>
      <c r="G26" s="114"/>
      <c r="H26" s="116"/>
      <c r="I26" s="114"/>
      <c r="J26" s="116"/>
      <c r="K26" s="114"/>
      <c r="L26" s="87"/>
      <c r="M26" s="87"/>
      <c r="N26" s="116"/>
      <c r="O26" s="114"/>
      <c r="P26" s="116"/>
      <c r="Q26" s="114"/>
      <c r="R26" s="1"/>
    </row>
    <row r="27" spans="1:20" ht="16.2" thickBot="1" x14ac:dyDescent="0.35">
      <c r="A27" s="111" t="s">
        <v>213</v>
      </c>
      <c r="B27" s="100"/>
      <c r="C27" s="99"/>
      <c r="D27" s="100"/>
      <c r="E27" s="100"/>
      <c r="F27" s="244">
        <f>'Algemene kostprijsfactoren'!D35</f>
        <v>0.28399999999999997</v>
      </c>
      <c r="G27" s="245">
        <f>F27*G24</f>
        <v>14.580660016020486</v>
      </c>
      <c r="H27" s="293">
        <f>F27</f>
        <v>0.28399999999999997</v>
      </c>
      <c r="I27" s="172">
        <f>H27*I24</f>
        <v>13.288199574338423</v>
      </c>
      <c r="J27" s="294">
        <f>F27</f>
        <v>0.28399999999999997</v>
      </c>
      <c r="K27" s="172">
        <f>J27*K24</f>
        <v>0.67819474846015426</v>
      </c>
      <c r="L27" s="294">
        <f>F27</f>
        <v>0.28399999999999997</v>
      </c>
      <c r="M27" s="173">
        <f>L27*M24</f>
        <v>0.67819474846015426</v>
      </c>
      <c r="N27" s="295">
        <f>F27</f>
        <v>0.28399999999999997</v>
      </c>
      <c r="O27" s="296">
        <f>N27*O24</f>
        <v>0.67819474846015426</v>
      </c>
      <c r="P27" s="297">
        <f>F27</f>
        <v>0.28399999999999997</v>
      </c>
      <c r="Q27" s="172">
        <f>P27*Q24</f>
        <v>0.67819474846015426</v>
      </c>
      <c r="R27" s="1"/>
      <c r="S27" s="5" t="s">
        <v>48</v>
      </c>
    </row>
    <row r="28" spans="1:20" x14ac:dyDescent="0.3">
      <c r="A28" s="127"/>
      <c r="B28" s="100"/>
      <c r="C28" s="99"/>
      <c r="D28" s="100"/>
      <c r="E28" s="100"/>
      <c r="F28" s="246"/>
      <c r="G28" s="175"/>
      <c r="H28" s="176"/>
      <c r="I28" s="177"/>
      <c r="J28" s="174"/>
      <c r="K28" s="177"/>
      <c r="L28" s="174"/>
      <c r="M28" s="178"/>
      <c r="N28" s="298"/>
      <c r="O28" s="299"/>
      <c r="P28" s="179"/>
      <c r="Q28" s="177"/>
      <c r="R28" s="1"/>
    </row>
    <row r="29" spans="1:20" ht="16.2" thickBot="1" x14ac:dyDescent="0.35">
      <c r="A29" s="96" t="s">
        <v>49</v>
      </c>
      <c r="B29" s="100"/>
      <c r="C29" s="87"/>
      <c r="D29" s="100"/>
      <c r="E29" s="100"/>
      <c r="F29" s="180"/>
      <c r="G29" s="181"/>
      <c r="H29" s="182"/>
      <c r="I29" s="183"/>
      <c r="J29" s="180"/>
      <c r="K29" s="183"/>
      <c r="L29" s="180"/>
      <c r="M29" s="184"/>
      <c r="N29" s="300"/>
      <c r="O29" s="301"/>
      <c r="P29" s="185"/>
      <c r="Q29" s="183"/>
      <c r="R29" s="1"/>
    </row>
    <row r="30" spans="1:20" ht="16.2" thickBot="1" x14ac:dyDescent="0.35">
      <c r="A30" s="121" t="s">
        <v>527</v>
      </c>
      <c r="B30" s="87"/>
      <c r="C30" s="87"/>
      <c r="D30" s="87"/>
      <c r="E30" s="87"/>
      <c r="F30" s="408">
        <v>0.02</v>
      </c>
      <c r="G30" s="302">
        <f>F30*G24</f>
        <v>1.0268070433817245</v>
      </c>
      <c r="H30" s="294">
        <f>F30</f>
        <v>0.02</v>
      </c>
      <c r="I30" s="303">
        <f>H30*I24</f>
        <v>0.93578870241819889</v>
      </c>
      <c r="J30" s="294">
        <f>F30</f>
        <v>0.02</v>
      </c>
      <c r="K30" s="303">
        <f>J30*K24</f>
        <v>4.776019355353199E-2</v>
      </c>
      <c r="L30" s="294">
        <f>F30</f>
        <v>0.02</v>
      </c>
      <c r="M30" s="304">
        <f>L30*M24</f>
        <v>4.776019355353199E-2</v>
      </c>
      <c r="N30" s="295">
        <f>F30</f>
        <v>0.02</v>
      </c>
      <c r="O30" s="303">
        <f>N30*O24</f>
        <v>4.776019355353199E-2</v>
      </c>
      <c r="P30" s="297">
        <f>F30</f>
        <v>0.02</v>
      </c>
      <c r="Q30" s="303">
        <f>P30*Q24</f>
        <v>4.776019355353199E-2</v>
      </c>
      <c r="R30" s="1"/>
    </row>
    <row r="31" spans="1:20" ht="18.600000000000001" thickBot="1" x14ac:dyDescent="0.35">
      <c r="A31" s="92" t="s">
        <v>51</v>
      </c>
      <c r="B31" s="122"/>
      <c r="C31" s="123"/>
      <c r="D31" s="122"/>
      <c r="E31" s="122"/>
      <c r="F31" s="103"/>
      <c r="G31" s="305">
        <f>IF(F6&lt;&gt;"",SUM(G24+G27+G30),0)</f>
        <v>66.947819228488427</v>
      </c>
      <c r="H31" s="306"/>
      <c r="I31" s="305">
        <f>IF(H6&lt;&gt;"",SUM(I24+I27+I30),0)</f>
        <v>61.013423397666564</v>
      </c>
      <c r="J31" s="306"/>
      <c r="K31" s="309">
        <f>IF(J6&lt;&gt;"",SUM(K24+K27+K30),0)</f>
        <v>3.1139646196902859</v>
      </c>
      <c r="L31" s="307"/>
      <c r="M31" s="305">
        <f>IF(L6&lt;&gt;"",SUM(M24+M27+M30),0)</f>
        <v>3.1139646196902859</v>
      </c>
      <c r="N31" s="308"/>
      <c r="O31" s="309">
        <f>IF(N6&lt;&gt;"",SUM(O24+O27+O30),0)</f>
        <v>3.1139646196902859</v>
      </c>
      <c r="P31" s="306"/>
      <c r="Q31" s="309">
        <f>IF(P6&lt;&gt;"",SUM(Q24+Q27+Q30),0)</f>
        <v>3.1139646196902859</v>
      </c>
      <c r="R31" s="1"/>
      <c r="S31" s="140"/>
      <c r="T31" s="140"/>
    </row>
    <row r="32" spans="1:20" ht="16.2" thickBot="1" x14ac:dyDescent="0.35">
      <c r="A32" s="96"/>
      <c r="B32" s="87"/>
      <c r="C32" s="125"/>
      <c r="D32" s="87"/>
      <c r="E32" s="87"/>
      <c r="F32" s="87"/>
      <c r="G32" s="114"/>
      <c r="H32" s="116"/>
      <c r="I32" s="114"/>
      <c r="J32" s="116"/>
      <c r="K32" s="114"/>
      <c r="L32" s="87"/>
      <c r="M32" s="87"/>
      <c r="N32" s="141"/>
      <c r="O32" s="186"/>
      <c r="P32" s="116"/>
      <c r="Q32" s="114"/>
      <c r="R32" s="1"/>
      <c r="S32" s="525" t="s">
        <v>517</v>
      </c>
      <c r="T32" s="526"/>
    </row>
    <row r="33" spans="1:20" ht="31.8" thickBot="1" x14ac:dyDescent="0.35">
      <c r="A33" s="371" t="s">
        <v>516</v>
      </c>
      <c r="B33" s="124"/>
      <c r="C33" s="124"/>
      <c r="D33" s="124"/>
      <c r="E33" s="124"/>
      <c r="F33" s="530">
        <v>2.2857142857142856</v>
      </c>
      <c r="G33" s="531"/>
      <c r="H33" s="530">
        <v>0.16666666666666666</v>
      </c>
      <c r="I33" s="518"/>
      <c r="J33" s="529">
        <v>0</v>
      </c>
      <c r="K33" s="518"/>
      <c r="L33" s="529">
        <v>0</v>
      </c>
      <c r="M33" s="518"/>
      <c r="N33" s="529">
        <v>0</v>
      </c>
      <c r="O33" s="518"/>
      <c r="P33" s="529">
        <v>0</v>
      </c>
      <c r="Q33" s="518"/>
      <c r="R33" s="1"/>
      <c r="S33" s="527">
        <f>F33+H33+J33+P33</f>
        <v>2.4523809523809521</v>
      </c>
      <c r="T33" s="528"/>
    </row>
    <row r="34" spans="1:20" ht="17.25" customHeight="1" thickBot="1" x14ac:dyDescent="0.35">
      <c r="A34" s="422" t="s">
        <v>515</v>
      </c>
      <c r="B34" s="188"/>
      <c r="C34" s="188"/>
      <c r="D34" s="188"/>
      <c r="E34" s="155"/>
      <c r="F34" s="340">
        <f>(F33*G31+H33*I31+J33*K31+L33*M31+N33*O31+P33*Q31)</f>
        <v>163.19249070758462</v>
      </c>
      <c r="G34" s="20"/>
      <c r="H34" s="20"/>
      <c r="I34" s="20"/>
      <c r="J34" s="20"/>
      <c r="K34" s="20"/>
      <c r="L34" s="20"/>
      <c r="M34" s="194"/>
      <c r="N34" s="20"/>
      <c r="O34" s="189"/>
      <c r="P34" s="190"/>
      <c r="R34" s="1"/>
    </row>
    <row r="35" spans="1:20" ht="18.600000000000001" hidden="1" thickBot="1" x14ac:dyDescent="0.35">
      <c r="A35" s="9" t="s">
        <v>513</v>
      </c>
      <c r="B35" s="155"/>
      <c r="C35" s="155"/>
      <c r="D35" s="155"/>
      <c r="E35" s="155"/>
      <c r="F35" s="411">
        <v>0</v>
      </c>
      <c r="M35" s="13"/>
      <c r="O35" s="191"/>
      <c r="P35" s="192"/>
      <c r="Q35" s="192"/>
    </row>
    <row r="36" spans="1:20" ht="18.600000000000001" thickBot="1" x14ac:dyDescent="0.35">
      <c r="A36" s="9" t="s">
        <v>534</v>
      </c>
      <c r="B36" s="155"/>
      <c r="C36" s="155"/>
      <c r="D36" s="155"/>
      <c r="E36" s="155"/>
      <c r="F36" s="402">
        <v>33.902465000000007</v>
      </c>
      <c r="M36" s="13"/>
      <c r="O36" s="191"/>
      <c r="P36" s="192"/>
      <c r="Q36" s="192"/>
    </row>
    <row r="37" spans="1:20" ht="18.600000000000001" thickBot="1" x14ac:dyDescent="0.35">
      <c r="A37" s="9" t="s">
        <v>535</v>
      </c>
      <c r="B37" s="155"/>
      <c r="C37" s="155"/>
      <c r="D37" s="155"/>
      <c r="E37" s="155"/>
      <c r="F37" s="402">
        <v>32.164375</v>
      </c>
      <c r="M37" s="13"/>
      <c r="O37" s="191"/>
      <c r="P37" s="192"/>
      <c r="Q37" s="192"/>
    </row>
    <row r="38" spans="1:20" ht="18.600000000000001" thickBot="1" x14ac:dyDescent="0.35">
      <c r="A38" s="9" t="s">
        <v>514</v>
      </c>
      <c r="B38" s="155"/>
      <c r="C38" s="155"/>
      <c r="D38" s="155"/>
      <c r="E38" s="155"/>
      <c r="F38" s="340">
        <f>F34+F36+F37</f>
        <v>229.25933070758464</v>
      </c>
      <c r="M38" s="13"/>
      <c r="O38" s="191"/>
      <c r="P38" s="192"/>
      <c r="Q38" s="192"/>
    </row>
    <row r="39" spans="1:20" ht="18" x14ac:dyDescent="0.3">
      <c r="A39" s="9"/>
      <c r="B39" s="155"/>
      <c r="C39" s="155"/>
      <c r="D39" s="155"/>
      <c r="E39" s="155"/>
      <c r="F39" s="410"/>
      <c r="M39" s="13"/>
      <c r="O39" s="191"/>
      <c r="P39" s="192"/>
      <c r="Q39" s="192"/>
    </row>
    <row r="40" spans="1:20" ht="15" customHeight="1" x14ac:dyDescent="0.3">
      <c r="F40" s="201" t="s">
        <v>55</v>
      </c>
      <c r="G40" s="202">
        <v>1878</v>
      </c>
      <c r="M40" s="242"/>
      <c r="P40" s="243"/>
    </row>
    <row r="41" spans="1:20" x14ac:dyDescent="0.3">
      <c r="M41" s="242"/>
      <c r="N41" s="5"/>
      <c r="P41" s="243"/>
    </row>
    <row r="42" spans="1:20" x14ac:dyDescent="0.3">
      <c r="F42" s="203"/>
      <c r="G42" s="202" t="s">
        <v>72</v>
      </c>
      <c r="H42" s="202" t="s">
        <v>73</v>
      </c>
      <c r="I42" s="202" t="s">
        <v>74</v>
      </c>
      <c r="J42" s="202" t="s">
        <v>75</v>
      </c>
      <c r="K42" s="412" t="s">
        <v>76</v>
      </c>
      <c r="L42" s="413" t="s">
        <v>77</v>
      </c>
      <c r="M42" s="5"/>
    </row>
    <row r="43" spans="1:20" x14ac:dyDescent="0.3">
      <c r="F43" s="5"/>
      <c r="G43" s="203"/>
      <c r="H43" s="203"/>
      <c r="I43" s="203"/>
      <c r="J43" s="203"/>
      <c r="K43" s="414"/>
      <c r="L43" s="203"/>
      <c r="M43" s="5"/>
    </row>
    <row r="44" spans="1:20" ht="16.2" thickBot="1" x14ac:dyDescent="0.35">
      <c r="F44" s="253" t="s">
        <v>57</v>
      </c>
      <c r="G44" s="204">
        <f>$G$40*G14</f>
        <v>54868.35632810869</v>
      </c>
      <c r="H44" s="204">
        <f>$G$40*I14</f>
        <v>50153.294875000603</v>
      </c>
      <c r="I44" s="204">
        <f>$G$40*K14</f>
        <v>4150.38</v>
      </c>
      <c r="J44" s="204">
        <f>$G$40*M14</f>
        <v>4150.38</v>
      </c>
      <c r="K44" s="384">
        <f>$G$40*O14</f>
        <v>4150.38</v>
      </c>
      <c r="L44" s="380">
        <f>$G$40*Q14</f>
        <v>4150.38</v>
      </c>
      <c r="M44" s="5"/>
      <c r="P44" s="5"/>
      <c r="Q44" s="5"/>
    </row>
    <row r="45" spans="1:20" ht="16.2" thickBot="1" x14ac:dyDescent="0.35">
      <c r="A45" s="197" t="s">
        <v>543</v>
      </c>
      <c r="F45" s="331">
        <f>IF('Algemene kostprijsfactoren'!$F$12&lt;&gt;"",'Algemene kostprijsfactoren'!$F$12,'Algemene kostprijsfactoren'!$C$12)</f>
        <v>0.25800000000000001</v>
      </c>
      <c r="G45" s="252">
        <f>$F$45</f>
        <v>0.25800000000000001</v>
      </c>
      <c r="H45" s="205">
        <f t="shared" ref="H45:L45" si="0">$F$45</f>
        <v>0.25800000000000001</v>
      </c>
      <c r="I45" s="205">
        <f t="shared" si="0"/>
        <v>0.25800000000000001</v>
      </c>
      <c r="J45" s="205">
        <f t="shared" si="0"/>
        <v>0.25800000000000001</v>
      </c>
      <c r="K45" s="385">
        <f t="shared" si="0"/>
        <v>0.25800000000000001</v>
      </c>
      <c r="L45" s="252">
        <f t="shared" si="0"/>
        <v>0.25800000000000001</v>
      </c>
      <c r="M45" s="5"/>
      <c r="O45" s="209"/>
      <c r="P45" s="5"/>
      <c r="Q45" s="5"/>
    </row>
    <row r="46" spans="1:20" ht="16.2" thickBot="1" x14ac:dyDescent="0.35">
      <c r="A46" s="197" t="s">
        <v>544</v>
      </c>
      <c r="F46" s="332">
        <f>IF('Algemene kostprijsfactoren'!$F$13&lt;&gt;"",'Algemene kostprijsfactoren'!$F$13,'Algemene kostprijsfactoren'!$C$13)</f>
        <v>16655</v>
      </c>
      <c r="G46" s="310">
        <f>$F$46</f>
        <v>16655</v>
      </c>
      <c r="H46" s="311">
        <f t="shared" ref="H46:L46" si="1">$F$46</f>
        <v>16655</v>
      </c>
      <c r="I46" s="311">
        <f t="shared" si="1"/>
        <v>16655</v>
      </c>
      <c r="J46" s="311">
        <f t="shared" si="1"/>
        <v>16655</v>
      </c>
      <c r="K46" s="415">
        <f t="shared" si="1"/>
        <v>16655</v>
      </c>
      <c r="L46" s="310">
        <f t="shared" si="1"/>
        <v>16655</v>
      </c>
      <c r="M46"/>
      <c r="O46" s="209"/>
      <c r="P46" s="5"/>
      <c r="Q46" s="5"/>
    </row>
    <row r="47" spans="1:20" x14ac:dyDescent="0.3">
      <c r="A47" s="197" t="s">
        <v>12</v>
      </c>
      <c r="F47" s="254"/>
      <c r="G47" s="204">
        <f>(G44-G46)*G45</f>
        <v>9859.0459326520431</v>
      </c>
      <c r="H47" s="204">
        <f t="shared" ref="H47:K47" si="2">(H44-H46)*H45</f>
        <v>8642.5600777501568</v>
      </c>
      <c r="I47" s="204">
        <f t="shared" si="2"/>
        <v>-3226.1919599999997</v>
      </c>
      <c r="J47" s="204">
        <f t="shared" si="2"/>
        <v>-3226.1919599999997</v>
      </c>
      <c r="K47" s="384">
        <f t="shared" si="2"/>
        <v>-3226.1919599999997</v>
      </c>
      <c r="L47" s="380">
        <f>(L44-L46)*L45</f>
        <v>-3226.1919599999997</v>
      </c>
      <c r="M47" s="5"/>
      <c r="P47" s="5"/>
      <c r="Q47" s="5"/>
    </row>
    <row r="48" spans="1:20" ht="16.8" thickTop="1" thickBot="1" x14ac:dyDescent="0.35">
      <c r="A48" s="198" t="s">
        <v>13</v>
      </c>
      <c r="F48" s="331">
        <f>IF('Algemene kostprijsfactoren'!$F$15&lt;&gt;"",'Algemene kostprijsfactoren'!$F$15,'Algemene kostprijsfactoren'!$C$15)</f>
        <v>0.5</v>
      </c>
      <c r="G48" s="206">
        <f>(G47/G44)*$F$48</f>
        <v>8.9842730787265443E-2</v>
      </c>
      <c r="H48" s="206">
        <f t="shared" ref="H48:L48" si="3">(H47/H44)*$F$48</f>
        <v>8.6161438638183319E-2</v>
      </c>
      <c r="I48" s="206">
        <f t="shared" si="3"/>
        <v>-0.38866223815650608</v>
      </c>
      <c r="J48" s="206">
        <f t="shared" si="3"/>
        <v>-0.38866223815650608</v>
      </c>
      <c r="K48" s="386">
        <f t="shared" si="3"/>
        <v>-0.38866223815650608</v>
      </c>
      <c r="L48" s="381">
        <f t="shared" si="3"/>
        <v>-0.38866223815650608</v>
      </c>
      <c r="M48" s="5"/>
      <c r="P48" s="5"/>
      <c r="Q48" s="5"/>
    </row>
    <row r="49" spans="1:19" ht="16.8" thickTop="1" thickBot="1" x14ac:dyDescent="0.35">
      <c r="A49" s="197" t="s">
        <v>545</v>
      </c>
      <c r="F49" s="331">
        <f>IF('Algemene kostprijsfactoren'!$F$16&lt;&gt;"",'Algemene kostprijsfactoren'!$F$16,'Algemene kostprijsfactoren'!$C$16)</f>
        <v>5.0000000000000001E-3</v>
      </c>
      <c r="G49" s="252">
        <f>$F$49</f>
        <v>5.0000000000000001E-3</v>
      </c>
      <c r="H49" s="205">
        <f t="shared" ref="H49:L49" si="4">$F$49</f>
        <v>5.0000000000000001E-3</v>
      </c>
      <c r="I49" s="205">
        <f t="shared" si="4"/>
        <v>5.0000000000000001E-3</v>
      </c>
      <c r="J49" s="205">
        <f t="shared" si="4"/>
        <v>5.0000000000000001E-3</v>
      </c>
      <c r="K49" s="385">
        <f t="shared" si="4"/>
        <v>5.0000000000000001E-3</v>
      </c>
      <c r="L49" s="252">
        <f t="shared" si="4"/>
        <v>5.0000000000000001E-3</v>
      </c>
      <c r="M49" s="5"/>
      <c r="O49" s="209"/>
      <c r="P49" s="5"/>
      <c r="Q49" s="5"/>
    </row>
    <row r="50" spans="1:19" ht="16.2" thickBot="1" x14ac:dyDescent="0.35">
      <c r="A50" s="197" t="s">
        <v>546</v>
      </c>
      <c r="F50" s="332">
        <f>IF('Algemene kostprijsfactoren'!$F$17&lt;&gt;"",'Algemene kostprijsfactoren'!$F$17,'Algemene kostprijsfactoren'!$C$17)</f>
        <v>28405</v>
      </c>
      <c r="G50" s="310">
        <f>$F50</f>
        <v>28405</v>
      </c>
      <c r="H50" s="311">
        <f t="shared" ref="H50:L50" si="5">$F50</f>
        <v>28405</v>
      </c>
      <c r="I50" s="311">
        <f t="shared" si="5"/>
        <v>28405</v>
      </c>
      <c r="J50" s="311">
        <f t="shared" si="5"/>
        <v>28405</v>
      </c>
      <c r="K50" s="415">
        <f t="shared" si="5"/>
        <v>28405</v>
      </c>
      <c r="L50" s="310">
        <f t="shared" si="5"/>
        <v>28405</v>
      </c>
      <c r="M50"/>
      <c r="O50" s="209"/>
      <c r="P50" s="5"/>
      <c r="Q50" s="5"/>
    </row>
    <row r="51" spans="1:19" ht="16.2" thickBot="1" x14ac:dyDescent="0.35">
      <c r="A51" s="199" t="s">
        <v>14</v>
      </c>
      <c r="F51" s="255"/>
      <c r="G51" s="207">
        <f>(G44-G50)*G49</f>
        <v>132.31678164054344</v>
      </c>
      <c r="H51" s="207">
        <f t="shared" ref="H51:L51" si="6">(H44-H50)*H49</f>
        <v>108.74147437500302</v>
      </c>
      <c r="I51" s="207">
        <f t="shared" si="6"/>
        <v>-121.2731</v>
      </c>
      <c r="J51" s="207">
        <f t="shared" si="6"/>
        <v>-121.2731</v>
      </c>
      <c r="K51" s="384">
        <f>(K44-K50)*K49</f>
        <v>-121.2731</v>
      </c>
      <c r="L51" s="382">
        <f t="shared" si="6"/>
        <v>-121.2731</v>
      </c>
      <c r="M51" s="5"/>
      <c r="P51" s="5"/>
      <c r="Q51" s="5"/>
    </row>
    <row r="52" spans="1:19" ht="16.8" thickTop="1" thickBot="1" x14ac:dyDescent="0.35">
      <c r="A52" s="198" t="s">
        <v>15</v>
      </c>
      <c r="F52" s="331">
        <f>IF('Algemene kostprijsfactoren'!$F$19&lt;&gt;"",'Algemene kostprijsfactoren'!$F$19,'Algemene kostprijsfactoren'!$C$19)</f>
        <v>0.5</v>
      </c>
      <c r="G52" s="206">
        <f>(G51/G44)*$F52</f>
        <v>1.2057658593716469E-3</v>
      </c>
      <c r="H52" s="206">
        <f t="shared" ref="H52:L52" si="7">(H51/H44)*$F52</f>
        <v>1.0840910317659535E-3</v>
      </c>
      <c r="I52" s="206">
        <f t="shared" si="7"/>
        <v>-1.460987909540813E-2</v>
      </c>
      <c r="J52" s="206">
        <f t="shared" si="7"/>
        <v>-1.460987909540813E-2</v>
      </c>
      <c r="K52" s="386">
        <f t="shared" si="7"/>
        <v>-1.460987909540813E-2</v>
      </c>
      <c r="L52" s="381">
        <f t="shared" si="7"/>
        <v>-1.460987909540813E-2</v>
      </c>
      <c r="M52" s="5"/>
    </row>
    <row r="53" spans="1:19" ht="16.2" thickTop="1" x14ac:dyDescent="0.3">
      <c r="F53" s="333" t="s">
        <v>58</v>
      </c>
      <c r="G53" s="208">
        <f>G52+G48</f>
        <v>9.1048496646637084E-2</v>
      </c>
      <c r="H53" s="208">
        <f t="shared" ref="H53:L53" si="8">H52+H48</f>
        <v>8.7245529669949279E-2</v>
      </c>
      <c r="I53" s="208">
        <f t="shared" si="8"/>
        <v>-0.4032721172519142</v>
      </c>
      <c r="J53" s="208">
        <f t="shared" si="8"/>
        <v>-0.4032721172519142</v>
      </c>
      <c r="K53" s="387">
        <f t="shared" si="8"/>
        <v>-0.4032721172519142</v>
      </c>
      <c r="L53" s="383">
        <f t="shared" si="8"/>
        <v>-0.4032721172519142</v>
      </c>
      <c r="M53" s="5"/>
    </row>
    <row r="55" spans="1:19" x14ac:dyDescent="0.3">
      <c r="A55" s="197" t="s">
        <v>16</v>
      </c>
      <c r="F55" s="330">
        <f>IF('Algemene kostprijsfactoren'!$F$22&lt;&gt;"",'Algemene kostprijsfactoren'!$F$22,'Algemene kostprijsfactoren'!$C$22)</f>
        <v>7.5800000000000006E-2</v>
      </c>
      <c r="G55" s="195"/>
      <c r="H55" s="209">
        <v>7.5800000000000006E-2</v>
      </c>
      <c r="I55" s="496" t="s">
        <v>537</v>
      </c>
      <c r="J55" s="497"/>
      <c r="K55" s="497"/>
      <c r="L55" s="497"/>
      <c r="M55" s="497"/>
      <c r="N55" s="497"/>
      <c r="O55" s="497"/>
      <c r="P55" s="497"/>
      <c r="Q55" s="497"/>
      <c r="R55" s="497"/>
      <c r="S55" s="498"/>
    </row>
    <row r="56" spans="1:19" x14ac:dyDescent="0.3">
      <c r="A56" s="197" t="s">
        <v>17</v>
      </c>
      <c r="F56" s="330">
        <f>IF('Algemene kostprijsfactoren'!$F$23&lt;&gt;"",'Algemene kostprijsfactoren'!$F$23,'Algemene kostprijsfactoren'!$C$23)</f>
        <v>3.49E-2</v>
      </c>
      <c r="G56" s="195"/>
      <c r="H56" s="499" t="s">
        <v>538</v>
      </c>
      <c r="I56" s="500"/>
      <c r="J56" s="500" t="s">
        <v>181</v>
      </c>
      <c r="K56" s="500"/>
      <c r="L56" s="500" t="s">
        <v>181</v>
      </c>
      <c r="M56" s="500"/>
      <c r="N56" s="500" t="s">
        <v>181</v>
      </c>
      <c r="O56" s="500"/>
      <c r="P56" s="500" t="s">
        <v>181</v>
      </c>
      <c r="Q56" s="500"/>
      <c r="R56" s="500" t="s">
        <v>181</v>
      </c>
      <c r="S56" s="501"/>
    </row>
    <row r="57" spans="1:19" x14ac:dyDescent="0.3">
      <c r="A57" s="197" t="s">
        <v>18</v>
      </c>
      <c r="F57" s="330">
        <f>IF('Algemene kostprijsfactoren'!$F$24&lt;&gt;"",'Algemene kostprijsfactoren'!$F$24,'Algemene kostprijsfactoren'!$C$24)</f>
        <v>6.5100000000000005E-2</v>
      </c>
      <c r="G57" s="195"/>
      <c r="H57" s="209">
        <v>6.5100000000000005E-2</v>
      </c>
      <c r="I57" s="496" t="s">
        <v>539</v>
      </c>
      <c r="J57" s="497"/>
      <c r="K57" s="497"/>
      <c r="L57" s="497"/>
      <c r="M57" s="497"/>
      <c r="N57" s="497"/>
      <c r="O57" s="497"/>
      <c r="P57" s="497"/>
      <c r="Q57" s="497"/>
      <c r="R57" s="497"/>
      <c r="S57" s="498"/>
    </row>
    <row r="58" spans="1:19" x14ac:dyDescent="0.3">
      <c r="A58" s="197" t="s">
        <v>19</v>
      </c>
      <c r="F58" s="330">
        <f>IF('Algemene kostprijsfactoren'!$F$25&lt;&gt;"",'Algemene kostprijsfactoren'!$F$25,'Algemene kostprijsfactoren'!$C$25)</f>
        <v>1.3299999999999999E-2</v>
      </c>
      <c r="G58" s="195"/>
      <c r="H58" s="496" t="s">
        <v>226</v>
      </c>
      <c r="I58" s="497"/>
      <c r="J58" s="497"/>
      <c r="K58" s="497"/>
      <c r="L58" s="497"/>
      <c r="M58" s="497"/>
      <c r="N58" s="497"/>
      <c r="O58" s="497"/>
      <c r="P58" s="497"/>
      <c r="Q58" s="497"/>
      <c r="R58" s="497"/>
      <c r="S58" s="498"/>
    </row>
    <row r="59" spans="1:19" ht="16.2" thickBot="1" x14ac:dyDescent="0.35">
      <c r="A59" s="199" t="s">
        <v>21</v>
      </c>
      <c r="F59" s="330">
        <f>IF('Algemene kostprijsfactoren'!$F$26&lt;&gt;"",'Algemene kostprijsfactoren'!$F$26,'Algemene kostprijsfactoren'!$C$26)</f>
        <v>3.5000000000000001E-3</v>
      </c>
      <c r="G59" s="195"/>
      <c r="H59" s="496" t="s">
        <v>22</v>
      </c>
      <c r="I59" s="497"/>
      <c r="J59" s="497"/>
      <c r="K59" s="497"/>
      <c r="L59" s="497"/>
      <c r="M59" s="497"/>
      <c r="N59" s="497"/>
      <c r="O59" s="497"/>
      <c r="P59" s="497"/>
      <c r="Q59" s="497"/>
      <c r="R59" s="497"/>
      <c r="S59" s="498"/>
    </row>
    <row r="60" spans="1:19" ht="16.2" thickTop="1" x14ac:dyDescent="0.3">
      <c r="A60" s="200" t="s">
        <v>23</v>
      </c>
      <c r="F60" s="328">
        <f>SUM(F55:F59)</f>
        <v>0.19260000000000002</v>
      </c>
      <c r="G60" s="195"/>
      <c r="H60" s="196"/>
      <c r="I60" s="196"/>
    </row>
    <row r="62" spans="1:19" x14ac:dyDescent="0.3">
      <c r="F62" s="6" t="s">
        <v>59</v>
      </c>
      <c r="G62" s="6" t="s">
        <v>60</v>
      </c>
      <c r="H62" s="6" t="s">
        <v>61</v>
      </c>
    </row>
    <row r="63" spans="1:19" ht="16.2" thickBot="1" x14ac:dyDescent="0.35">
      <c r="A63" s="215" t="s">
        <v>62</v>
      </c>
      <c r="F63" s="218"/>
      <c r="G63" s="219">
        <v>1878</v>
      </c>
      <c r="H63" s="220"/>
      <c r="I63" s="211"/>
      <c r="J63" s="514" t="s">
        <v>222</v>
      </c>
      <c r="K63" s="515"/>
      <c r="L63" s="515"/>
      <c r="M63" s="515"/>
      <c r="N63" s="515"/>
      <c r="O63" s="515"/>
      <c r="P63" s="515"/>
      <c r="Q63" s="515"/>
      <c r="R63" s="515"/>
      <c r="S63" s="516"/>
    </row>
    <row r="64" spans="1:19" ht="16.2" thickTop="1" x14ac:dyDescent="0.3">
      <c r="A64" s="197" t="s">
        <v>11</v>
      </c>
      <c r="F64" s="419" t="s">
        <v>31</v>
      </c>
      <c r="G64" s="221">
        <v>150.42780000000002</v>
      </c>
      <c r="H64" s="329">
        <v>8.0100000000000005E-2</v>
      </c>
      <c r="I64" s="211"/>
      <c r="J64" s="514" t="s">
        <v>221</v>
      </c>
      <c r="K64" s="515"/>
      <c r="L64" s="515"/>
      <c r="M64" s="515"/>
      <c r="N64" s="515"/>
      <c r="O64" s="515"/>
      <c r="P64" s="515"/>
      <c r="Q64" s="515"/>
      <c r="R64" s="515"/>
      <c r="S64" s="516"/>
    </row>
    <row r="65" spans="1:19" x14ac:dyDescent="0.3">
      <c r="A65" s="197" t="s">
        <v>64</v>
      </c>
      <c r="F65" s="419" t="s">
        <v>31</v>
      </c>
      <c r="G65" s="420">
        <v>237.4</v>
      </c>
      <c r="H65" s="222"/>
      <c r="I65" s="211"/>
      <c r="J65" s="514" t="s">
        <v>65</v>
      </c>
      <c r="K65" s="515"/>
      <c r="L65" s="515"/>
      <c r="M65" s="515"/>
      <c r="N65" s="515"/>
      <c r="O65" s="515"/>
      <c r="P65" s="515"/>
      <c r="Q65" s="515"/>
      <c r="R65" s="515"/>
      <c r="S65" s="516"/>
    </row>
    <row r="66" spans="1:19" x14ac:dyDescent="0.3">
      <c r="A66" s="197" t="s">
        <v>66</v>
      </c>
      <c r="F66" s="419" t="s">
        <v>31</v>
      </c>
      <c r="G66" s="221">
        <v>37.56</v>
      </c>
      <c r="H66" s="421">
        <v>0.02</v>
      </c>
      <c r="I66" s="211"/>
      <c r="J66" s="514" t="s">
        <v>78</v>
      </c>
      <c r="K66" s="515"/>
      <c r="L66" s="515"/>
      <c r="M66" s="515"/>
      <c r="N66" s="515"/>
      <c r="O66" s="515"/>
      <c r="P66" s="515"/>
      <c r="Q66" s="515"/>
      <c r="R66" s="515"/>
      <c r="S66" s="516"/>
    </row>
    <row r="67" spans="1:19" x14ac:dyDescent="0.3">
      <c r="A67" s="197" t="s">
        <v>218</v>
      </c>
      <c r="F67" s="419" t="s">
        <v>137</v>
      </c>
      <c r="G67" s="221">
        <v>0</v>
      </c>
      <c r="H67" s="423"/>
      <c r="I67" s="211"/>
      <c r="J67" s="514" t="s">
        <v>506</v>
      </c>
      <c r="K67" s="515"/>
      <c r="L67" s="515"/>
      <c r="M67" s="515"/>
      <c r="N67" s="515"/>
      <c r="O67" s="515"/>
      <c r="P67" s="515"/>
      <c r="Q67" s="515"/>
      <c r="R67" s="515"/>
      <c r="S67" s="516"/>
    </row>
    <row r="68" spans="1:19" x14ac:dyDescent="0.3">
      <c r="A68" s="197" t="s">
        <v>215</v>
      </c>
      <c r="F68" s="419" t="s">
        <v>31</v>
      </c>
      <c r="G68" s="221">
        <v>80.753999999999991</v>
      </c>
      <c r="H68" s="421">
        <v>4.2999999999999997E-2</v>
      </c>
      <c r="I68" s="211"/>
      <c r="J68" s="514" t="s">
        <v>505</v>
      </c>
      <c r="K68" s="515"/>
      <c r="L68" s="515"/>
      <c r="M68" s="515"/>
      <c r="N68" s="515"/>
      <c r="O68" s="515"/>
      <c r="P68" s="515"/>
      <c r="Q68" s="515"/>
      <c r="R68" s="515"/>
      <c r="S68" s="516"/>
    </row>
    <row r="69" spans="1:19" ht="16.2" thickBot="1" x14ac:dyDescent="0.35">
      <c r="A69" s="197" t="s">
        <v>67</v>
      </c>
      <c r="F69" s="419" t="s">
        <v>137</v>
      </c>
      <c r="G69" s="342">
        <v>0</v>
      </c>
      <c r="H69" s="396"/>
      <c r="I69" s="211"/>
      <c r="J69" s="514" t="s">
        <v>507</v>
      </c>
      <c r="K69" s="515"/>
      <c r="L69" s="515"/>
      <c r="M69" s="515"/>
      <c r="N69" s="515"/>
      <c r="O69" s="515"/>
      <c r="P69" s="515"/>
      <c r="Q69" s="515"/>
      <c r="R69" s="515"/>
      <c r="S69" s="516"/>
    </row>
    <row r="70" spans="1:19" ht="16.2" thickTop="1" x14ac:dyDescent="0.3">
      <c r="A70" s="231" t="s">
        <v>68</v>
      </c>
      <c r="F70" s="223"/>
      <c r="G70" s="314">
        <f>G63-SUMIFS(G64:G69,F64:F69,"Ja")</f>
        <v>1371.8582000000001</v>
      </c>
      <c r="H70" s="224"/>
      <c r="I70" s="212"/>
      <c r="J70" s="213"/>
    </row>
    <row r="71" spans="1:19" x14ac:dyDescent="0.3">
      <c r="A71" s="214"/>
      <c r="F71" s="225"/>
      <c r="G71" s="226"/>
      <c r="H71" s="226"/>
      <c r="I71" s="213"/>
      <c r="J71" s="213"/>
    </row>
    <row r="72" spans="1:19" x14ac:dyDescent="0.3">
      <c r="A72" s="216" t="s">
        <v>69</v>
      </c>
      <c r="F72" s="217"/>
      <c r="G72" s="481">
        <f>G70/G63</f>
        <v>0.73048892438764645</v>
      </c>
      <c r="H72" s="482"/>
      <c r="I72" s="213"/>
      <c r="J72" s="213"/>
    </row>
    <row r="75" spans="1:19" x14ac:dyDescent="0.3">
      <c r="A75" s="5" t="s">
        <v>70</v>
      </c>
    </row>
    <row r="76" spans="1:19" x14ac:dyDescent="0.3">
      <c r="A76" s="505"/>
      <c r="B76" s="506"/>
      <c r="C76" s="506"/>
      <c r="D76" s="506"/>
      <c r="E76" s="506"/>
      <c r="F76" s="506"/>
      <c r="G76" s="506"/>
      <c r="H76" s="506"/>
      <c r="I76" s="506"/>
      <c r="J76" s="506"/>
      <c r="K76" s="506"/>
      <c r="L76" s="506"/>
      <c r="M76" s="506"/>
      <c r="N76" s="506"/>
      <c r="O76" s="506"/>
      <c r="P76" s="506"/>
      <c r="Q76" s="506"/>
      <c r="R76" s="506"/>
      <c r="S76" s="507"/>
    </row>
    <row r="77" spans="1:19" x14ac:dyDescent="0.3">
      <c r="A77" s="508"/>
      <c r="B77" s="509"/>
      <c r="C77" s="509"/>
      <c r="D77" s="509"/>
      <c r="E77" s="509"/>
      <c r="F77" s="509"/>
      <c r="G77" s="509"/>
      <c r="H77" s="509"/>
      <c r="I77" s="509"/>
      <c r="J77" s="509"/>
      <c r="K77" s="509"/>
      <c r="L77" s="509"/>
      <c r="M77" s="509"/>
      <c r="N77" s="509"/>
      <c r="O77" s="509"/>
      <c r="P77" s="509"/>
      <c r="Q77" s="509"/>
      <c r="R77" s="509"/>
      <c r="S77" s="510"/>
    </row>
    <row r="78" spans="1:19" x14ac:dyDescent="0.3">
      <c r="A78" s="508"/>
      <c r="B78" s="509"/>
      <c r="C78" s="509"/>
      <c r="D78" s="509"/>
      <c r="E78" s="509"/>
      <c r="F78" s="509"/>
      <c r="G78" s="509"/>
      <c r="H78" s="509"/>
      <c r="I78" s="509"/>
      <c r="J78" s="509"/>
      <c r="K78" s="509"/>
      <c r="L78" s="509"/>
      <c r="M78" s="509"/>
      <c r="N78" s="509"/>
      <c r="O78" s="509"/>
      <c r="P78" s="509"/>
      <c r="Q78" s="509"/>
      <c r="R78" s="509"/>
      <c r="S78" s="510"/>
    </row>
    <row r="79" spans="1:19" x14ac:dyDescent="0.3">
      <c r="A79" s="508"/>
      <c r="B79" s="509"/>
      <c r="C79" s="509"/>
      <c r="D79" s="509"/>
      <c r="E79" s="509"/>
      <c r="F79" s="509"/>
      <c r="G79" s="509"/>
      <c r="H79" s="509"/>
      <c r="I79" s="509"/>
      <c r="J79" s="509"/>
      <c r="K79" s="509"/>
      <c r="L79" s="509"/>
      <c r="M79" s="509"/>
      <c r="N79" s="509"/>
      <c r="O79" s="509"/>
      <c r="P79" s="509"/>
      <c r="Q79" s="509"/>
      <c r="R79" s="509"/>
      <c r="S79" s="510"/>
    </row>
    <row r="80" spans="1:19" x14ac:dyDescent="0.3">
      <c r="A80" s="508"/>
      <c r="B80" s="509"/>
      <c r="C80" s="509"/>
      <c r="D80" s="509"/>
      <c r="E80" s="509"/>
      <c r="F80" s="509"/>
      <c r="G80" s="509"/>
      <c r="H80" s="509"/>
      <c r="I80" s="509"/>
      <c r="J80" s="509"/>
      <c r="K80" s="509"/>
      <c r="L80" s="509"/>
      <c r="M80" s="509"/>
      <c r="N80" s="509"/>
      <c r="O80" s="509"/>
      <c r="P80" s="509"/>
      <c r="Q80" s="509"/>
      <c r="R80" s="509"/>
      <c r="S80" s="510"/>
    </row>
    <row r="81" spans="1:19" x14ac:dyDescent="0.3">
      <c r="A81" s="511"/>
      <c r="B81" s="512"/>
      <c r="C81" s="512"/>
      <c r="D81" s="512"/>
      <c r="E81" s="512"/>
      <c r="F81" s="512"/>
      <c r="G81" s="512"/>
      <c r="H81" s="512"/>
      <c r="I81" s="512"/>
      <c r="J81" s="512"/>
      <c r="K81" s="512"/>
      <c r="L81" s="512"/>
      <c r="M81" s="512"/>
      <c r="N81" s="512"/>
      <c r="O81" s="512"/>
      <c r="P81" s="512"/>
      <c r="Q81" s="512"/>
      <c r="R81" s="512"/>
      <c r="S81" s="513"/>
    </row>
  </sheetData>
  <sheetProtection algorithmName="SHA-512" hashValue="kf38TO3FHV6WcQPFHkzf4eDm8pwd3x7wqGfIBD3ZYRWKVZyseqo7j84qzd53kMvKL8IuE9OmUXFA6zXr7IXEhg==" saltValue="6D9w+af/j8G/EzAPRh+s3g==" spinCount="100000" sheet="1"/>
  <protectedRanges>
    <protectedRange algorithmName="SHA-512" hashValue="zrr1YC170iD4z5ngO6i+dvye2WxwMuZwyCItKXOM0Fb0EC895yDhie8vErJXeoL6fSMcx6aoO1sn5XcoWfI8lg==" saltValue="T/jZUAo6mJPMXMKTIHv+sw==" spinCount="100000" sqref="H64 F64:F69 H66:H69" name="Inputcellen_3"/>
  </protectedRanges>
  <mergeCells count="35">
    <mergeCell ref="F4:M4"/>
    <mergeCell ref="F6:G6"/>
    <mergeCell ref="H6:I6"/>
    <mergeCell ref="J6:K6"/>
    <mergeCell ref="L6:M6"/>
    <mergeCell ref="P33:Q33"/>
    <mergeCell ref="P6:Q6"/>
    <mergeCell ref="F7:G7"/>
    <mergeCell ref="H7:I7"/>
    <mergeCell ref="J7:K7"/>
    <mergeCell ref="L7:M7"/>
    <mergeCell ref="N7:O7"/>
    <mergeCell ref="P7:Q7"/>
    <mergeCell ref="N6:O6"/>
    <mergeCell ref="F33:G33"/>
    <mergeCell ref="H33:I33"/>
    <mergeCell ref="J33:K33"/>
    <mergeCell ref="L33:M33"/>
    <mergeCell ref="N33:O33"/>
    <mergeCell ref="G72:H72"/>
    <mergeCell ref="A76:S81"/>
    <mergeCell ref="S32:T32"/>
    <mergeCell ref="S33:T33"/>
    <mergeCell ref="J64:S64"/>
    <mergeCell ref="J65:S65"/>
    <mergeCell ref="J66:S66"/>
    <mergeCell ref="J67:S67"/>
    <mergeCell ref="J68:S68"/>
    <mergeCell ref="J69:S69"/>
    <mergeCell ref="I55:S55"/>
    <mergeCell ref="H56:S56"/>
    <mergeCell ref="I57:S57"/>
    <mergeCell ref="H58:S58"/>
    <mergeCell ref="H59:S59"/>
    <mergeCell ref="J63:S63"/>
  </mergeCells>
  <conditionalFormatting sqref="F45:F46 F52 F55:F59">
    <cfRule type="expression" dxfId="2" priority="6">
      <formula>$C$78="Opslag"</formula>
    </cfRule>
  </conditionalFormatting>
  <conditionalFormatting sqref="F48:F50">
    <cfRule type="expression" dxfId="1" priority="7">
      <formula>$C$78="Opslag"</formula>
    </cfRule>
  </conditionalFormatting>
  <conditionalFormatting sqref="F60">
    <cfRule type="expression" dxfId="0" priority="10">
      <formula>$C$77="Opslag"</formula>
    </cfRule>
  </conditionalFormatting>
  <dataValidations count="1">
    <dataValidation errorStyle="information" allowBlank="1" showInputMessage="1" showErrorMessage="1" errorTitle="Verplicht veld" error="Vul hier de gemiddelde inschaling in voor de desbetreffende functie." sqref="F8 H8 J8 P8" xr:uid="{ACA7E329-0C16-42E6-922A-91DF6FA7D211}"/>
  </dataValidations>
  <pageMargins left="0.7" right="0.7" top="0.75" bottom="0.75" header="0.3" footer="0.3"/>
  <pageSetup paperSize="9" scale="50" fitToHeight="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DD869-338F-D541-A67B-9FB455A9CFFB}">
  <sheetPr codeName="Sheet14">
    <pageSetUpPr fitToPage="1"/>
  </sheetPr>
  <dimension ref="A1:C40"/>
  <sheetViews>
    <sheetView zoomScale="80" zoomScaleNormal="80" workbookViewId="0">
      <selection activeCell="B7" sqref="B7"/>
    </sheetView>
  </sheetViews>
  <sheetFormatPr defaultColWidth="10.5" defaultRowHeight="15.6" x14ac:dyDescent="0.3"/>
  <cols>
    <col min="1" max="1" width="57.59765625" customWidth="1"/>
    <col min="2" max="2" width="113" customWidth="1"/>
  </cols>
  <sheetData>
    <row r="1" spans="1:2" x14ac:dyDescent="0.3">
      <c r="A1" t="s">
        <v>92</v>
      </c>
    </row>
    <row r="2" spans="1:2" x14ac:dyDescent="0.3">
      <c r="A2" s="147" t="s">
        <v>93</v>
      </c>
      <c r="B2" s="85" t="s">
        <v>8</v>
      </c>
    </row>
    <row r="3" spans="1:2" ht="46.8" x14ac:dyDescent="0.3">
      <c r="A3" s="148" t="s">
        <v>28</v>
      </c>
      <c r="B3" s="150" t="s">
        <v>94</v>
      </c>
    </row>
    <row r="4" spans="1:2" ht="31.2" x14ac:dyDescent="0.3">
      <c r="A4" s="128" t="s">
        <v>95</v>
      </c>
      <c r="B4" s="151" t="s">
        <v>96</v>
      </c>
    </row>
    <row r="5" spans="1:2" ht="54" customHeight="1" x14ac:dyDescent="0.3">
      <c r="A5" s="142" t="s">
        <v>97</v>
      </c>
      <c r="B5" s="152" t="s">
        <v>98</v>
      </c>
    </row>
    <row r="6" spans="1:2" x14ac:dyDescent="0.3">
      <c r="A6" s="128" t="s">
        <v>4</v>
      </c>
      <c r="B6" s="151" t="s">
        <v>99</v>
      </c>
    </row>
    <row r="7" spans="1:2" ht="118.5" customHeight="1" x14ac:dyDescent="0.3">
      <c r="A7" s="142" t="s">
        <v>100</v>
      </c>
      <c r="B7" s="152" t="s">
        <v>547</v>
      </c>
    </row>
    <row r="8" spans="1:2" ht="36.9" customHeight="1" x14ac:dyDescent="0.3">
      <c r="A8" s="128" t="s">
        <v>101</v>
      </c>
      <c r="B8" s="151" t="s">
        <v>102</v>
      </c>
    </row>
    <row r="9" spans="1:2" x14ac:dyDescent="0.3">
      <c r="A9" s="142" t="s">
        <v>64</v>
      </c>
      <c r="B9" s="152" t="s">
        <v>103</v>
      </c>
    </row>
    <row r="10" spans="1:2" ht="19.5" customHeight="1" x14ac:dyDescent="0.3">
      <c r="A10" s="128" t="s">
        <v>66</v>
      </c>
      <c r="B10" s="151" t="s">
        <v>497</v>
      </c>
    </row>
    <row r="11" spans="1:2" ht="31.5" customHeight="1" x14ac:dyDescent="0.3">
      <c r="A11" s="142" t="s">
        <v>11</v>
      </c>
      <c r="B11" s="392" t="s">
        <v>498</v>
      </c>
    </row>
    <row r="12" spans="1:2" x14ac:dyDescent="0.3">
      <c r="A12" s="128" t="s">
        <v>104</v>
      </c>
      <c r="B12" s="153" t="s">
        <v>524</v>
      </c>
    </row>
    <row r="13" spans="1:2" ht="53.4" customHeight="1" x14ac:dyDescent="0.3">
      <c r="A13" s="142" t="s">
        <v>105</v>
      </c>
      <c r="B13" s="154" t="s">
        <v>200</v>
      </c>
    </row>
    <row r="14" spans="1:2" ht="49.5" customHeight="1" x14ac:dyDescent="0.3">
      <c r="A14" s="128" t="s">
        <v>106</v>
      </c>
      <c r="B14" s="120" t="s">
        <v>525</v>
      </c>
    </row>
    <row r="15" spans="1:2" ht="35.25" customHeight="1" x14ac:dyDescent="0.3">
      <c r="A15" s="9" t="s">
        <v>208</v>
      </c>
      <c r="B15" s="154" t="s">
        <v>499</v>
      </c>
    </row>
    <row r="16" spans="1:2" ht="93.6" x14ac:dyDescent="0.3">
      <c r="A16" s="128" t="s">
        <v>107</v>
      </c>
      <c r="B16" s="120" t="s">
        <v>196</v>
      </c>
    </row>
    <row r="17" spans="1:3" ht="46.8" x14ac:dyDescent="0.3">
      <c r="A17" s="149" t="s">
        <v>108</v>
      </c>
      <c r="B17" s="371" t="s">
        <v>197</v>
      </c>
    </row>
    <row r="18" spans="1:3" x14ac:dyDescent="0.3">
      <c r="A18" s="128" t="s">
        <v>526</v>
      </c>
      <c r="B18" s="120" t="s">
        <v>503</v>
      </c>
    </row>
    <row r="19" spans="1:3" ht="31.2" x14ac:dyDescent="0.3">
      <c r="A19" s="149" t="s">
        <v>500</v>
      </c>
      <c r="B19" s="371" t="s">
        <v>502</v>
      </c>
    </row>
    <row r="20" spans="1:3" x14ac:dyDescent="0.3">
      <c r="A20" s="128" t="s">
        <v>53</v>
      </c>
      <c r="B20" s="120" t="s">
        <v>194</v>
      </c>
    </row>
    <row r="21" spans="1:3" ht="46.8" x14ac:dyDescent="0.3">
      <c r="A21" s="149" t="s">
        <v>45</v>
      </c>
      <c r="B21" s="371" t="s">
        <v>504</v>
      </c>
    </row>
    <row r="22" spans="1:3" ht="46.8" x14ac:dyDescent="0.3">
      <c r="A22" s="395" t="s">
        <v>529</v>
      </c>
      <c r="B22" s="120" t="s">
        <v>530</v>
      </c>
    </row>
    <row r="23" spans="1:3" ht="16.95" customHeight="1" x14ac:dyDescent="0.3"/>
    <row r="24" spans="1:3" hidden="1" x14ac:dyDescent="0.3"/>
    <row r="25" spans="1:3" hidden="1" x14ac:dyDescent="0.3">
      <c r="A25" t="s">
        <v>109</v>
      </c>
    </row>
    <row r="26" spans="1:3" hidden="1" x14ac:dyDescent="0.3">
      <c r="A26" t="s">
        <v>110</v>
      </c>
    </row>
    <row r="27" spans="1:3" hidden="1" x14ac:dyDescent="0.3">
      <c r="B27" t="s">
        <v>111</v>
      </c>
      <c r="C27" t="s">
        <v>64</v>
      </c>
    </row>
    <row r="28" spans="1:3" hidden="1" x14ac:dyDescent="0.3">
      <c r="A28" t="s">
        <v>336</v>
      </c>
      <c r="B28">
        <v>8.3299999999999999E-2</v>
      </c>
      <c r="C28" s="146">
        <v>0.13469999999999999</v>
      </c>
    </row>
    <row r="29" spans="1:3" hidden="1" x14ac:dyDescent="0.3">
      <c r="A29" t="s">
        <v>337</v>
      </c>
      <c r="B29">
        <v>8.3299999999999999E-2</v>
      </c>
      <c r="C29" s="146">
        <v>0.1153</v>
      </c>
    </row>
    <row r="30" spans="1:3" hidden="1" x14ac:dyDescent="0.3">
      <c r="A30" t="s">
        <v>458</v>
      </c>
      <c r="B30">
        <v>8.9599999999999999E-2</v>
      </c>
      <c r="C30" s="146">
        <v>0.1174</v>
      </c>
    </row>
    <row r="31" spans="1:3" hidden="1" x14ac:dyDescent="0.3">
      <c r="A31" t="s">
        <v>338</v>
      </c>
      <c r="B31">
        <v>8.3299999999999999E-2</v>
      </c>
      <c r="C31" s="146">
        <v>0.1036</v>
      </c>
    </row>
    <row r="32" spans="1:3" hidden="1" x14ac:dyDescent="0.3">
      <c r="B32">
        <v>8.3299999999999999E-2</v>
      </c>
      <c r="C32" s="146"/>
    </row>
    <row r="33" spans="1:2" hidden="1" x14ac:dyDescent="0.3"/>
    <row r="34" spans="1:2" hidden="1" x14ac:dyDescent="0.3"/>
    <row r="35" spans="1:2" hidden="1" x14ac:dyDescent="0.3">
      <c r="A35" t="s">
        <v>110</v>
      </c>
      <c r="B35" t="s">
        <v>183</v>
      </c>
    </row>
    <row r="36" spans="1:2" hidden="1" x14ac:dyDescent="0.3">
      <c r="A36" t="s">
        <v>2</v>
      </c>
    </row>
    <row r="37" spans="1:2" hidden="1" x14ac:dyDescent="0.3">
      <c r="A37" t="s">
        <v>112</v>
      </c>
    </row>
    <row r="38" spans="1:2" hidden="1" x14ac:dyDescent="0.3">
      <c r="A38" t="s">
        <v>113</v>
      </c>
    </row>
    <row r="39" spans="1:2" hidden="1" x14ac:dyDescent="0.3">
      <c r="A39" t="s">
        <v>114</v>
      </c>
    </row>
    <row r="40" spans="1:2" hidden="1" x14ac:dyDescent="0.3"/>
  </sheetData>
  <sheetProtection algorithmName="SHA-512" hashValue="hd2L+iCFVcNnl0qPwamknGuXvZDWdF1v+iNIq2yPDW7URbFCqOlFNR8ZBhrm0iUG97/SncKeXgF9Vhaeisje3w==" saltValue="7S6Cqf3aw6w7ZE1tBi/pgA==" spinCount="100000" sheet="1" objects="1" scenarios="1"/>
  <pageMargins left="0.25" right="0.25" top="0.75" bottom="0.75" header="0.3" footer="0.3"/>
  <pageSetup paperSize="9" scale="5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04A5B-740B-4D01-BFC7-5AF25914DC51}">
  <sheetPr codeName="Sheet15"/>
  <dimension ref="B1:F120"/>
  <sheetViews>
    <sheetView topLeftCell="A58" workbookViewId="0">
      <selection activeCell="F1" sqref="F1:F92"/>
    </sheetView>
  </sheetViews>
  <sheetFormatPr defaultColWidth="8.796875" defaultRowHeight="14.4" x14ac:dyDescent="0.3"/>
  <cols>
    <col min="1" max="1" width="8.796875" style="389"/>
    <col min="2" max="2" width="14.09765625" style="389" bestFit="1" customWidth="1"/>
    <col min="3" max="3" width="10.59765625" style="389" bestFit="1" customWidth="1"/>
    <col min="4" max="4" width="13.59765625" style="389" customWidth="1"/>
    <col min="5" max="5" width="9.796875" style="389" bestFit="1" customWidth="1"/>
    <col min="6" max="16384" width="8.796875" style="389"/>
  </cols>
  <sheetData>
    <row r="1" spans="2:6" x14ac:dyDescent="0.3">
      <c r="B1" s="389" t="s">
        <v>113</v>
      </c>
      <c r="C1" s="358" t="s">
        <v>2</v>
      </c>
      <c r="D1" s="390" t="s">
        <v>112</v>
      </c>
      <c r="E1" s="389" t="s">
        <v>114</v>
      </c>
      <c r="F1" s="391" t="s">
        <v>477</v>
      </c>
    </row>
    <row r="2" spans="2:6" x14ac:dyDescent="0.3">
      <c r="B2" s="390" t="s">
        <v>339</v>
      </c>
      <c r="C2" s="390" t="s">
        <v>231</v>
      </c>
      <c r="D2" s="390" t="s">
        <v>231</v>
      </c>
      <c r="E2" s="390" t="s">
        <v>231</v>
      </c>
      <c r="F2" s="391" t="s">
        <v>367</v>
      </c>
    </row>
    <row r="3" spans="2:6" x14ac:dyDescent="0.3">
      <c r="B3" s="390" t="s">
        <v>340</v>
      </c>
      <c r="C3" s="390" t="s">
        <v>232</v>
      </c>
      <c r="D3" s="390" t="s">
        <v>232</v>
      </c>
      <c r="E3" s="390" t="s">
        <v>232</v>
      </c>
      <c r="F3" s="391" t="s">
        <v>368</v>
      </c>
    </row>
    <row r="4" spans="2:6" x14ac:dyDescent="0.3">
      <c r="B4" s="390" t="s">
        <v>341</v>
      </c>
      <c r="C4" s="390" t="s">
        <v>233</v>
      </c>
      <c r="D4" s="390" t="s">
        <v>233</v>
      </c>
      <c r="E4" s="390" t="s">
        <v>233</v>
      </c>
      <c r="F4" s="391" t="s">
        <v>369</v>
      </c>
    </row>
    <row r="5" spans="2:6" x14ac:dyDescent="0.3">
      <c r="B5" s="390" t="s">
        <v>342</v>
      </c>
      <c r="C5" s="390" t="s">
        <v>234</v>
      </c>
      <c r="D5" s="390" t="s">
        <v>234</v>
      </c>
      <c r="E5" s="390" t="s">
        <v>234</v>
      </c>
      <c r="F5" s="391" t="s">
        <v>370</v>
      </c>
    </row>
    <row r="6" spans="2:6" x14ac:dyDescent="0.3">
      <c r="B6" s="390" t="s">
        <v>343</v>
      </c>
      <c r="C6" s="390" t="s">
        <v>235</v>
      </c>
      <c r="D6" s="390" t="s">
        <v>235</v>
      </c>
      <c r="E6" s="390" t="s">
        <v>235</v>
      </c>
      <c r="F6" s="391" t="s">
        <v>371</v>
      </c>
    </row>
    <row r="7" spans="2:6" x14ac:dyDescent="0.3">
      <c r="B7" s="390" t="s">
        <v>344</v>
      </c>
      <c r="C7" s="390" t="s">
        <v>236</v>
      </c>
      <c r="D7" s="390" t="s">
        <v>236</v>
      </c>
      <c r="E7" s="390" t="s">
        <v>236</v>
      </c>
      <c r="F7" s="391" t="s">
        <v>372</v>
      </c>
    </row>
    <row r="8" spans="2:6" x14ac:dyDescent="0.3">
      <c r="B8" s="390" t="s">
        <v>345</v>
      </c>
      <c r="C8" s="390" t="s">
        <v>237</v>
      </c>
      <c r="D8" s="390" t="s">
        <v>237</v>
      </c>
      <c r="E8" s="390" t="s">
        <v>237</v>
      </c>
      <c r="F8" s="391" t="s">
        <v>375</v>
      </c>
    </row>
    <row r="9" spans="2:6" x14ac:dyDescent="0.3">
      <c r="B9" s="390" t="s">
        <v>346</v>
      </c>
      <c r="C9" s="390" t="s">
        <v>238</v>
      </c>
      <c r="D9" s="390" t="s">
        <v>238</v>
      </c>
      <c r="E9" s="390" t="s">
        <v>238</v>
      </c>
      <c r="F9" s="391" t="s">
        <v>376</v>
      </c>
    </row>
    <row r="10" spans="2:6" x14ac:dyDescent="0.3">
      <c r="B10" s="390" t="s">
        <v>347</v>
      </c>
      <c r="C10" s="390" t="s">
        <v>465</v>
      </c>
      <c r="D10" s="390" t="s">
        <v>239</v>
      </c>
      <c r="E10" s="390" t="s">
        <v>239</v>
      </c>
      <c r="F10" s="391" t="s">
        <v>377</v>
      </c>
    </row>
    <row r="11" spans="2:6" x14ac:dyDescent="0.3">
      <c r="B11" s="390" t="s">
        <v>348</v>
      </c>
      <c r="C11" s="390" t="s">
        <v>466</v>
      </c>
      <c r="D11" s="390" t="s">
        <v>240</v>
      </c>
      <c r="E11" s="390" t="s">
        <v>240</v>
      </c>
      <c r="F11" s="391" t="s">
        <v>378</v>
      </c>
    </row>
    <row r="12" spans="2:6" x14ac:dyDescent="0.3">
      <c r="B12" s="390" t="s">
        <v>349</v>
      </c>
      <c r="C12" s="390" t="s">
        <v>467</v>
      </c>
      <c r="D12" s="390" t="s">
        <v>241</v>
      </c>
      <c r="E12" s="390" t="s">
        <v>459</v>
      </c>
      <c r="F12" s="391" t="s">
        <v>380</v>
      </c>
    </row>
    <row r="13" spans="2:6" x14ac:dyDescent="0.3">
      <c r="B13" s="390" t="s">
        <v>350</v>
      </c>
      <c r="C13" s="390" t="s">
        <v>468</v>
      </c>
      <c r="D13" s="390" t="s">
        <v>242</v>
      </c>
      <c r="E13" s="390" t="s">
        <v>241</v>
      </c>
      <c r="F13" s="391" t="s">
        <v>381</v>
      </c>
    </row>
    <row r="14" spans="2:6" x14ac:dyDescent="0.3">
      <c r="B14" s="390" t="s">
        <v>351</v>
      </c>
      <c r="C14" s="390" t="s">
        <v>469</v>
      </c>
      <c r="D14" s="390" t="s">
        <v>243</v>
      </c>
      <c r="E14" s="390" t="s">
        <v>242</v>
      </c>
      <c r="F14" s="391" t="s">
        <v>382</v>
      </c>
    </row>
    <row r="15" spans="2:6" x14ac:dyDescent="0.3">
      <c r="B15" s="390" t="s">
        <v>352</v>
      </c>
      <c r="C15" s="390" t="s">
        <v>470</v>
      </c>
      <c r="D15" s="390" t="s">
        <v>244</v>
      </c>
      <c r="E15" s="390" t="s">
        <v>243</v>
      </c>
      <c r="F15" s="391" t="s">
        <v>383</v>
      </c>
    </row>
    <row r="16" spans="2:6" x14ac:dyDescent="0.3">
      <c r="B16" s="390" t="s">
        <v>353</v>
      </c>
      <c r="C16" s="390" t="s">
        <v>471</v>
      </c>
      <c r="D16" s="390" t="s">
        <v>245</v>
      </c>
      <c r="E16" s="390" t="s">
        <v>244</v>
      </c>
      <c r="F16" s="391" t="s">
        <v>384</v>
      </c>
    </row>
    <row r="17" spans="2:6" x14ac:dyDescent="0.3">
      <c r="B17" s="390" t="s">
        <v>354</v>
      </c>
      <c r="C17" s="390" t="s">
        <v>472</v>
      </c>
      <c r="D17" s="390" t="s">
        <v>246</v>
      </c>
      <c r="E17" s="390" t="s">
        <v>245</v>
      </c>
      <c r="F17" s="391" t="s">
        <v>385</v>
      </c>
    </row>
    <row r="18" spans="2:6" x14ac:dyDescent="0.3">
      <c r="B18" s="390" t="s">
        <v>355</v>
      </c>
      <c r="C18" s="390" t="s">
        <v>473</v>
      </c>
      <c r="D18" s="390" t="s">
        <v>247</v>
      </c>
      <c r="E18" s="390" t="s">
        <v>246</v>
      </c>
      <c r="F18" s="391" t="s">
        <v>386</v>
      </c>
    </row>
    <row r="19" spans="2:6" x14ac:dyDescent="0.3">
      <c r="B19" s="390" t="s">
        <v>356</v>
      </c>
      <c r="C19" s="390" t="s">
        <v>474</v>
      </c>
      <c r="D19" s="390" t="s">
        <v>248</v>
      </c>
      <c r="E19" s="390" t="s">
        <v>247</v>
      </c>
      <c r="F19" s="391" t="s">
        <v>387</v>
      </c>
    </row>
    <row r="20" spans="2:6" x14ac:dyDescent="0.3">
      <c r="B20" s="390" t="s">
        <v>357</v>
      </c>
      <c r="C20" s="390" t="s">
        <v>251</v>
      </c>
      <c r="D20" s="390" t="s">
        <v>249</v>
      </c>
      <c r="E20" s="390" t="s">
        <v>248</v>
      </c>
      <c r="F20" s="391" t="s">
        <v>388</v>
      </c>
    </row>
    <row r="21" spans="2:6" x14ac:dyDescent="0.3">
      <c r="B21" s="390" t="s">
        <v>358</v>
      </c>
      <c r="C21" s="390" t="s">
        <v>252</v>
      </c>
      <c r="D21" s="390" t="s">
        <v>250</v>
      </c>
      <c r="E21" s="390" t="s">
        <v>249</v>
      </c>
      <c r="F21" s="391" t="s">
        <v>389</v>
      </c>
    </row>
    <row r="22" spans="2:6" x14ac:dyDescent="0.3">
      <c r="B22" s="390" t="s">
        <v>359</v>
      </c>
      <c r="C22" s="390" t="s">
        <v>253</v>
      </c>
      <c r="D22" s="390" t="s">
        <v>251</v>
      </c>
      <c r="E22" s="390" t="s">
        <v>250</v>
      </c>
      <c r="F22" s="391" t="s">
        <v>390</v>
      </c>
    </row>
    <row r="23" spans="2:6" x14ac:dyDescent="0.3">
      <c r="B23" s="390" t="s">
        <v>360</v>
      </c>
      <c r="C23" s="390" t="s">
        <v>254</v>
      </c>
      <c r="D23" s="390" t="s">
        <v>252</v>
      </c>
      <c r="E23" s="390" t="s">
        <v>460</v>
      </c>
      <c r="F23" s="391" t="s">
        <v>478</v>
      </c>
    </row>
    <row r="24" spans="2:6" x14ac:dyDescent="0.3">
      <c r="B24" s="390" t="s">
        <v>361</v>
      </c>
      <c r="C24" s="390" t="s">
        <v>255</v>
      </c>
      <c r="D24" s="390" t="s">
        <v>253</v>
      </c>
      <c r="E24" s="390" t="s">
        <v>251</v>
      </c>
      <c r="F24" s="391" t="s">
        <v>394</v>
      </c>
    </row>
    <row r="25" spans="2:6" x14ac:dyDescent="0.3">
      <c r="B25" s="390" t="s">
        <v>362</v>
      </c>
      <c r="C25" s="390" t="s">
        <v>256</v>
      </c>
      <c r="D25" s="390" t="s">
        <v>254</v>
      </c>
      <c r="E25" s="390" t="s">
        <v>252</v>
      </c>
      <c r="F25" s="391" t="s">
        <v>395</v>
      </c>
    </row>
    <row r="26" spans="2:6" x14ac:dyDescent="0.3">
      <c r="B26" s="390" t="s">
        <v>363</v>
      </c>
      <c r="C26" s="390" t="s">
        <v>257</v>
      </c>
      <c r="D26" s="390" t="s">
        <v>255</v>
      </c>
      <c r="E26" s="390" t="s">
        <v>253</v>
      </c>
      <c r="F26" s="391" t="s">
        <v>396</v>
      </c>
    </row>
    <row r="27" spans="2:6" x14ac:dyDescent="0.3">
      <c r="B27" s="390" t="s">
        <v>364</v>
      </c>
      <c r="C27" s="390" t="s">
        <v>258</v>
      </c>
      <c r="D27" s="390" t="s">
        <v>256</v>
      </c>
      <c r="E27" s="390" t="s">
        <v>254</v>
      </c>
      <c r="F27" s="391" t="s">
        <v>397</v>
      </c>
    </row>
    <row r="28" spans="2:6" x14ac:dyDescent="0.3">
      <c r="B28" s="390" t="s">
        <v>365</v>
      </c>
      <c r="C28" s="390" t="s">
        <v>259</v>
      </c>
      <c r="D28" s="390" t="s">
        <v>257</v>
      </c>
      <c r="E28" s="390" t="s">
        <v>255</v>
      </c>
      <c r="F28" s="391" t="s">
        <v>398</v>
      </c>
    </row>
    <row r="29" spans="2:6" x14ac:dyDescent="0.3">
      <c r="B29" s="390" t="s">
        <v>366</v>
      </c>
      <c r="C29" s="390" t="s">
        <v>260</v>
      </c>
      <c r="D29" s="390" t="s">
        <v>258</v>
      </c>
      <c r="E29" s="390" t="s">
        <v>256</v>
      </c>
      <c r="F29" s="391" t="s">
        <v>399</v>
      </c>
    </row>
    <row r="30" spans="2:6" x14ac:dyDescent="0.3">
      <c r="B30" s="390" t="s">
        <v>373</v>
      </c>
      <c r="C30" s="390" t="s">
        <v>261</v>
      </c>
      <c r="D30" s="390" t="s">
        <v>259</v>
      </c>
      <c r="E30" s="390" t="s">
        <v>257</v>
      </c>
      <c r="F30" s="391" t="s">
        <v>400</v>
      </c>
    </row>
    <row r="31" spans="2:6" x14ac:dyDescent="0.3">
      <c r="B31" s="390" t="s">
        <v>374</v>
      </c>
      <c r="C31" s="390" t="s">
        <v>262</v>
      </c>
      <c r="D31" s="390" t="s">
        <v>260</v>
      </c>
      <c r="E31" s="390" t="s">
        <v>258</v>
      </c>
      <c r="F31" s="391" t="s">
        <v>401</v>
      </c>
    </row>
    <row r="32" spans="2:6" x14ac:dyDescent="0.3">
      <c r="B32" s="390" t="s">
        <v>367</v>
      </c>
      <c r="C32" s="390" t="s">
        <v>263</v>
      </c>
      <c r="D32" s="390" t="s">
        <v>261</v>
      </c>
      <c r="E32" s="390" t="s">
        <v>259</v>
      </c>
      <c r="F32" s="391" t="s">
        <v>402</v>
      </c>
    </row>
    <row r="33" spans="2:6" x14ac:dyDescent="0.3">
      <c r="B33" s="390" t="s">
        <v>368</v>
      </c>
      <c r="C33" s="390" t="s">
        <v>264</v>
      </c>
      <c r="D33" s="390" t="s">
        <v>262</v>
      </c>
      <c r="E33" s="390" t="s">
        <v>260</v>
      </c>
      <c r="F33" s="391" t="s">
        <v>403</v>
      </c>
    </row>
    <row r="34" spans="2:6" x14ac:dyDescent="0.3">
      <c r="B34" s="390" t="s">
        <v>369</v>
      </c>
      <c r="C34" s="390" t="s">
        <v>265</v>
      </c>
      <c r="D34" s="390" t="s">
        <v>263</v>
      </c>
      <c r="E34" s="390" t="s">
        <v>261</v>
      </c>
      <c r="F34" s="391" t="s">
        <v>406</v>
      </c>
    </row>
    <row r="35" spans="2:6" x14ac:dyDescent="0.3">
      <c r="B35" s="390" t="s">
        <v>370</v>
      </c>
      <c r="C35" s="390" t="s">
        <v>266</v>
      </c>
      <c r="D35" s="390" t="s">
        <v>264</v>
      </c>
      <c r="E35" s="390" t="s">
        <v>461</v>
      </c>
      <c r="F35" s="391" t="s">
        <v>407</v>
      </c>
    </row>
    <row r="36" spans="2:6" x14ac:dyDescent="0.3">
      <c r="B36" s="390" t="s">
        <v>371</v>
      </c>
      <c r="C36" s="390" t="s">
        <v>267</v>
      </c>
      <c r="D36" s="390" t="s">
        <v>265</v>
      </c>
      <c r="E36" s="390" t="s">
        <v>262</v>
      </c>
      <c r="F36" s="391" t="s">
        <v>408</v>
      </c>
    </row>
    <row r="37" spans="2:6" x14ac:dyDescent="0.3">
      <c r="B37" s="390" t="s">
        <v>372</v>
      </c>
      <c r="C37" s="390" t="s">
        <v>268</v>
      </c>
      <c r="D37" s="390" t="s">
        <v>266</v>
      </c>
      <c r="E37" s="390" t="s">
        <v>263</v>
      </c>
      <c r="F37" s="391" t="s">
        <v>409</v>
      </c>
    </row>
    <row r="38" spans="2:6" x14ac:dyDescent="0.3">
      <c r="B38" s="390" t="s">
        <v>375</v>
      </c>
      <c r="C38" s="390" t="s">
        <v>269</v>
      </c>
      <c r="D38" s="390" t="s">
        <v>267</v>
      </c>
      <c r="E38" s="390" t="s">
        <v>264</v>
      </c>
      <c r="F38" s="391" t="s">
        <v>410</v>
      </c>
    </row>
    <row r="39" spans="2:6" x14ac:dyDescent="0.3">
      <c r="B39" s="390" t="s">
        <v>376</v>
      </c>
      <c r="C39" s="390" t="s">
        <v>270</v>
      </c>
      <c r="D39" s="390" t="s">
        <v>268</v>
      </c>
      <c r="E39" s="390" t="s">
        <v>265</v>
      </c>
      <c r="F39" s="391" t="s">
        <v>411</v>
      </c>
    </row>
    <row r="40" spans="2:6" x14ac:dyDescent="0.3">
      <c r="B40" s="390" t="s">
        <v>377</v>
      </c>
      <c r="C40" s="390" t="s">
        <v>271</v>
      </c>
      <c r="D40" s="390" t="s">
        <v>269</v>
      </c>
      <c r="E40" s="390" t="s">
        <v>266</v>
      </c>
      <c r="F40" s="391" t="s">
        <v>412</v>
      </c>
    </row>
    <row r="41" spans="2:6" x14ac:dyDescent="0.3">
      <c r="B41" s="390" t="s">
        <v>378</v>
      </c>
      <c r="C41" s="390" t="s">
        <v>275</v>
      </c>
      <c r="D41" s="390" t="s">
        <v>270</v>
      </c>
      <c r="E41" s="390" t="s">
        <v>267</v>
      </c>
      <c r="F41" s="391" t="s">
        <v>413</v>
      </c>
    </row>
    <row r="42" spans="2:6" x14ac:dyDescent="0.3">
      <c r="B42" s="390" t="s">
        <v>379</v>
      </c>
      <c r="C42" s="390" t="s">
        <v>276</v>
      </c>
      <c r="D42" s="390" t="s">
        <v>271</v>
      </c>
      <c r="E42" s="390" t="s">
        <v>268</v>
      </c>
      <c r="F42" s="391" t="s">
        <v>414</v>
      </c>
    </row>
    <row r="43" spans="2:6" x14ac:dyDescent="0.3">
      <c r="B43" s="390" t="s">
        <v>380</v>
      </c>
      <c r="C43" s="390" t="s">
        <v>277</v>
      </c>
      <c r="D43" s="390" t="s">
        <v>272</v>
      </c>
      <c r="E43" s="390" t="s">
        <v>269</v>
      </c>
      <c r="F43" s="391" t="s">
        <v>415</v>
      </c>
    </row>
    <row r="44" spans="2:6" x14ac:dyDescent="0.3">
      <c r="B44" s="390" t="s">
        <v>381</v>
      </c>
      <c r="C44" s="390" t="s">
        <v>278</v>
      </c>
      <c r="D44" s="390" t="s">
        <v>273</v>
      </c>
      <c r="E44" s="390" t="s">
        <v>270</v>
      </c>
      <c r="F44" s="391" t="s">
        <v>416</v>
      </c>
    </row>
    <row r="45" spans="2:6" x14ac:dyDescent="0.3">
      <c r="B45" s="390" t="s">
        <v>382</v>
      </c>
      <c r="C45" s="390" t="s">
        <v>279</v>
      </c>
      <c r="D45" s="390" t="s">
        <v>274</v>
      </c>
      <c r="E45" s="390" t="s">
        <v>271</v>
      </c>
      <c r="F45" s="391" t="s">
        <v>419</v>
      </c>
    </row>
    <row r="46" spans="2:6" x14ac:dyDescent="0.3">
      <c r="B46" s="390" t="s">
        <v>383</v>
      </c>
      <c r="C46" s="390" t="s">
        <v>280</v>
      </c>
      <c r="D46" s="390" t="s">
        <v>275</v>
      </c>
      <c r="E46" s="390" t="s">
        <v>272</v>
      </c>
      <c r="F46" s="391" t="s">
        <v>420</v>
      </c>
    </row>
    <row r="47" spans="2:6" x14ac:dyDescent="0.3">
      <c r="B47" s="390" t="s">
        <v>384</v>
      </c>
      <c r="C47" s="390" t="s">
        <v>281</v>
      </c>
      <c r="D47" s="390" t="s">
        <v>276</v>
      </c>
      <c r="E47" s="390" t="s">
        <v>273</v>
      </c>
      <c r="F47" s="391" t="s">
        <v>421</v>
      </c>
    </row>
    <row r="48" spans="2:6" x14ac:dyDescent="0.3">
      <c r="B48" s="390" t="s">
        <v>385</v>
      </c>
      <c r="C48" s="390" t="s">
        <v>282</v>
      </c>
      <c r="D48" s="390" t="s">
        <v>277</v>
      </c>
      <c r="E48" s="390" t="s">
        <v>274</v>
      </c>
      <c r="F48" s="391" t="s">
        <v>422</v>
      </c>
    </row>
    <row r="49" spans="2:6" x14ac:dyDescent="0.3">
      <c r="B49" s="390" t="s">
        <v>386</v>
      </c>
      <c r="C49" s="390" t="s">
        <v>288</v>
      </c>
      <c r="D49" s="390" t="s">
        <v>278</v>
      </c>
      <c r="E49" s="390" t="s">
        <v>275</v>
      </c>
      <c r="F49" s="391" t="s">
        <v>423</v>
      </c>
    </row>
    <row r="50" spans="2:6" x14ac:dyDescent="0.3">
      <c r="B50" s="390" t="s">
        <v>387</v>
      </c>
      <c r="C50" s="390" t="s">
        <v>289</v>
      </c>
      <c r="D50" s="390" t="s">
        <v>279</v>
      </c>
      <c r="E50" s="390" t="s">
        <v>276</v>
      </c>
      <c r="F50" s="391" t="s">
        <v>424</v>
      </c>
    </row>
    <row r="51" spans="2:6" x14ac:dyDescent="0.3">
      <c r="B51" s="390" t="s">
        <v>388</v>
      </c>
      <c r="C51" s="390" t="s">
        <v>290</v>
      </c>
      <c r="D51" s="390" t="s">
        <v>280</v>
      </c>
      <c r="E51" s="390" t="s">
        <v>277</v>
      </c>
      <c r="F51" s="391" t="s">
        <v>425</v>
      </c>
    </row>
    <row r="52" spans="2:6" x14ac:dyDescent="0.3">
      <c r="B52" s="390" t="s">
        <v>389</v>
      </c>
      <c r="C52" s="390" t="s">
        <v>291</v>
      </c>
      <c r="D52" s="390" t="s">
        <v>281</v>
      </c>
      <c r="E52" s="390" t="s">
        <v>278</v>
      </c>
      <c r="F52" s="391" t="s">
        <v>426</v>
      </c>
    </row>
    <row r="53" spans="2:6" x14ac:dyDescent="0.3">
      <c r="B53" s="390" t="s">
        <v>390</v>
      </c>
      <c r="C53" s="390" t="s">
        <v>292</v>
      </c>
      <c r="D53" s="390" t="s">
        <v>282</v>
      </c>
      <c r="E53" s="390" t="s">
        <v>279</v>
      </c>
      <c r="F53" s="391" t="s">
        <v>427</v>
      </c>
    </row>
    <row r="54" spans="2:6" x14ac:dyDescent="0.3">
      <c r="B54" s="390" t="s">
        <v>391</v>
      </c>
      <c r="C54" s="390" t="s">
        <v>293</v>
      </c>
      <c r="D54" s="390" t="s">
        <v>283</v>
      </c>
      <c r="E54" s="390" t="s">
        <v>280</v>
      </c>
      <c r="F54" s="391" t="s">
        <v>428</v>
      </c>
    </row>
    <row r="55" spans="2:6" x14ac:dyDescent="0.3">
      <c r="B55" s="390" t="s">
        <v>392</v>
      </c>
      <c r="C55" s="390" t="s">
        <v>294</v>
      </c>
      <c r="D55" s="390" t="s">
        <v>284</v>
      </c>
      <c r="E55" s="390" t="s">
        <v>281</v>
      </c>
      <c r="F55" s="391" t="s">
        <v>429</v>
      </c>
    </row>
    <row r="56" spans="2:6" x14ac:dyDescent="0.3">
      <c r="B56" s="390" t="s">
        <v>393</v>
      </c>
      <c r="C56" s="390" t="s">
        <v>295</v>
      </c>
      <c r="D56" s="390" t="s">
        <v>285</v>
      </c>
      <c r="E56" s="390" t="s">
        <v>282</v>
      </c>
      <c r="F56" s="391" t="s">
        <v>430</v>
      </c>
    </row>
    <row r="57" spans="2:6" x14ac:dyDescent="0.3">
      <c r="B57" s="390" t="s">
        <v>394</v>
      </c>
      <c r="C57" s="390" t="s">
        <v>296</v>
      </c>
      <c r="D57" s="390" t="s">
        <v>286</v>
      </c>
      <c r="E57" s="390" t="s">
        <v>283</v>
      </c>
      <c r="F57" s="391" t="s">
        <v>432</v>
      </c>
    </row>
    <row r="58" spans="2:6" x14ac:dyDescent="0.3">
      <c r="B58" s="390" t="s">
        <v>395</v>
      </c>
      <c r="C58" s="390" t="s">
        <v>297</v>
      </c>
      <c r="D58" s="390" t="s">
        <v>287</v>
      </c>
      <c r="E58" s="390" t="s">
        <v>284</v>
      </c>
      <c r="F58" s="391" t="s">
        <v>433</v>
      </c>
    </row>
    <row r="59" spans="2:6" x14ac:dyDescent="0.3">
      <c r="B59" s="390" t="s">
        <v>396</v>
      </c>
      <c r="C59" s="390" t="s">
        <v>300</v>
      </c>
      <c r="D59" s="390" t="s">
        <v>288</v>
      </c>
      <c r="E59" s="390" t="s">
        <v>285</v>
      </c>
      <c r="F59" s="391" t="s">
        <v>434</v>
      </c>
    </row>
    <row r="60" spans="2:6" x14ac:dyDescent="0.3">
      <c r="B60" s="390" t="s">
        <v>397</v>
      </c>
      <c r="C60" s="390" t="s">
        <v>301</v>
      </c>
      <c r="D60" s="390" t="s">
        <v>289</v>
      </c>
      <c r="E60" s="390" t="s">
        <v>286</v>
      </c>
      <c r="F60" s="391" t="s">
        <v>435</v>
      </c>
    </row>
    <row r="61" spans="2:6" x14ac:dyDescent="0.3">
      <c r="B61" s="390" t="s">
        <v>398</v>
      </c>
      <c r="C61" s="390" t="s">
        <v>302</v>
      </c>
      <c r="D61" s="390" t="s">
        <v>290</v>
      </c>
      <c r="E61" s="390" t="s">
        <v>287</v>
      </c>
      <c r="F61" s="391" t="s">
        <v>436</v>
      </c>
    </row>
    <row r="62" spans="2:6" x14ac:dyDescent="0.3">
      <c r="B62" s="390" t="s">
        <v>399</v>
      </c>
      <c r="C62" s="390" t="s">
        <v>303</v>
      </c>
      <c r="D62" s="390" t="s">
        <v>291</v>
      </c>
      <c r="E62" s="390" t="s">
        <v>462</v>
      </c>
      <c r="F62" s="391" t="s">
        <v>437</v>
      </c>
    </row>
    <row r="63" spans="2:6" x14ac:dyDescent="0.3">
      <c r="B63" s="390" t="s">
        <v>400</v>
      </c>
      <c r="C63" s="390" t="s">
        <v>304</v>
      </c>
      <c r="D63" s="390" t="s">
        <v>292</v>
      </c>
      <c r="E63" s="390" t="s">
        <v>288</v>
      </c>
      <c r="F63" s="391" t="s">
        <v>438</v>
      </c>
    </row>
    <row r="64" spans="2:6" x14ac:dyDescent="0.3">
      <c r="B64" s="390" t="s">
        <v>401</v>
      </c>
      <c r="C64" s="390" t="s">
        <v>305</v>
      </c>
      <c r="D64" s="390" t="s">
        <v>293</v>
      </c>
      <c r="E64" s="390" t="s">
        <v>289</v>
      </c>
      <c r="F64" s="391" t="s">
        <v>439</v>
      </c>
    </row>
    <row r="65" spans="2:6" x14ac:dyDescent="0.3">
      <c r="B65" s="390" t="s">
        <v>402</v>
      </c>
      <c r="C65" s="390" t="s">
        <v>306</v>
      </c>
      <c r="D65" s="390" t="s">
        <v>294</v>
      </c>
      <c r="E65" s="390" t="s">
        <v>290</v>
      </c>
      <c r="F65" s="391" t="s">
        <v>440</v>
      </c>
    </row>
    <row r="66" spans="2:6" x14ac:dyDescent="0.3">
      <c r="B66" s="390" t="s">
        <v>403</v>
      </c>
      <c r="C66" s="390" t="s">
        <v>307</v>
      </c>
      <c r="D66" s="390" t="s">
        <v>295</v>
      </c>
      <c r="E66" s="390" t="s">
        <v>291</v>
      </c>
      <c r="F66" s="391" t="s">
        <v>441</v>
      </c>
    </row>
    <row r="67" spans="2:6" x14ac:dyDescent="0.3">
      <c r="B67" s="390" t="s">
        <v>404</v>
      </c>
      <c r="C67" s="390" t="s">
        <v>308</v>
      </c>
      <c r="D67" s="390" t="s">
        <v>296</v>
      </c>
      <c r="E67" s="390" t="s">
        <v>292</v>
      </c>
      <c r="F67" s="391" t="s">
        <v>442</v>
      </c>
    </row>
    <row r="68" spans="2:6" x14ac:dyDescent="0.3">
      <c r="B68" s="390" t="s">
        <v>405</v>
      </c>
      <c r="C68" s="390" t="s">
        <v>309</v>
      </c>
      <c r="D68" s="390" t="s">
        <v>297</v>
      </c>
      <c r="E68" s="390" t="s">
        <v>293</v>
      </c>
      <c r="F68" s="391" t="s">
        <v>443</v>
      </c>
    </row>
    <row r="69" spans="2:6" x14ac:dyDescent="0.3">
      <c r="B69" s="390" t="s">
        <v>406</v>
      </c>
      <c r="C69" s="390" t="s">
        <v>310</v>
      </c>
      <c r="D69" s="390" t="s">
        <v>298</v>
      </c>
      <c r="E69" s="390" t="s">
        <v>294</v>
      </c>
      <c r="F69" s="391" t="s">
        <v>445</v>
      </c>
    </row>
    <row r="70" spans="2:6" x14ac:dyDescent="0.3">
      <c r="B70" s="390" t="s">
        <v>407</v>
      </c>
      <c r="C70" s="390" t="s">
        <v>312</v>
      </c>
      <c r="D70" s="390" t="s">
        <v>299</v>
      </c>
      <c r="E70" s="390" t="s">
        <v>295</v>
      </c>
      <c r="F70" s="391" t="s">
        <v>446</v>
      </c>
    </row>
    <row r="71" spans="2:6" x14ac:dyDescent="0.3">
      <c r="B71" s="390" t="s">
        <v>408</v>
      </c>
      <c r="C71" s="390" t="s">
        <v>313</v>
      </c>
      <c r="D71" s="390" t="s">
        <v>300</v>
      </c>
      <c r="E71" s="390" t="s">
        <v>296</v>
      </c>
      <c r="F71" s="391" t="s">
        <v>447</v>
      </c>
    </row>
    <row r="72" spans="2:6" x14ac:dyDescent="0.3">
      <c r="B72" s="390" t="s">
        <v>409</v>
      </c>
      <c r="C72" s="390" t="s">
        <v>314</v>
      </c>
      <c r="D72" s="390" t="s">
        <v>301</v>
      </c>
      <c r="E72" s="390" t="s">
        <v>297</v>
      </c>
      <c r="F72" s="391" t="s">
        <v>448</v>
      </c>
    </row>
    <row r="73" spans="2:6" x14ac:dyDescent="0.3">
      <c r="B73" s="390" t="s">
        <v>410</v>
      </c>
      <c r="C73" s="390" t="s">
        <v>315</v>
      </c>
      <c r="D73" s="390" t="s">
        <v>302</v>
      </c>
      <c r="E73" s="390" t="s">
        <v>298</v>
      </c>
      <c r="F73" s="391" t="s">
        <v>449</v>
      </c>
    </row>
    <row r="74" spans="2:6" x14ac:dyDescent="0.3">
      <c r="B74" s="390" t="s">
        <v>411</v>
      </c>
      <c r="C74" s="390" t="s">
        <v>316</v>
      </c>
      <c r="D74" s="390" t="s">
        <v>303</v>
      </c>
      <c r="E74" s="390" t="s">
        <v>299</v>
      </c>
      <c r="F74" s="391" t="s">
        <v>450</v>
      </c>
    </row>
    <row r="75" spans="2:6" x14ac:dyDescent="0.3">
      <c r="B75" s="390" t="s">
        <v>412</v>
      </c>
      <c r="C75" s="390" t="s">
        <v>317</v>
      </c>
      <c r="D75" s="390" t="s">
        <v>304</v>
      </c>
      <c r="E75" s="390" t="s">
        <v>463</v>
      </c>
      <c r="F75" s="391" t="s">
        <v>451</v>
      </c>
    </row>
    <row r="76" spans="2:6" x14ac:dyDescent="0.3">
      <c r="B76" s="390" t="s">
        <v>413</v>
      </c>
      <c r="C76" s="390" t="s">
        <v>318</v>
      </c>
      <c r="D76" s="390" t="s">
        <v>305</v>
      </c>
      <c r="E76" s="390" t="s">
        <v>300</v>
      </c>
      <c r="F76" s="391" t="s">
        <v>452</v>
      </c>
    </row>
    <row r="77" spans="2:6" x14ac:dyDescent="0.3">
      <c r="B77" s="390" t="s">
        <v>414</v>
      </c>
      <c r="C77" s="390" t="s">
        <v>319</v>
      </c>
      <c r="D77" s="390" t="s">
        <v>306</v>
      </c>
      <c r="E77" s="390" t="s">
        <v>301</v>
      </c>
      <c r="F77" s="391" t="s">
        <v>453</v>
      </c>
    </row>
    <row r="78" spans="2:6" x14ac:dyDescent="0.3">
      <c r="B78" s="390" t="s">
        <v>415</v>
      </c>
      <c r="C78" s="390" t="s">
        <v>320</v>
      </c>
      <c r="D78" s="390" t="s">
        <v>307</v>
      </c>
      <c r="E78" s="390" t="s">
        <v>302</v>
      </c>
      <c r="F78" s="391" t="s">
        <v>454</v>
      </c>
    </row>
    <row r="79" spans="2:6" x14ac:dyDescent="0.3">
      <c r="B79" s="390" t="s">
        <v>416</v>
      </c>
      <c r="C79" s="390" t="s">
        <v>321</v>
      </c>
      <c r="D79" s="390" t="s">
        <v>308</v>
      </c>
      <c r="E79" s="390" t="s">
        <v>303</v>
      </c>
      <c r="F79" s="391" t="s">
        <v>455</v>
      </c>
    </row>
    <row r="80" spans="2:6" x14ac:dyDescent="0.3">
      <c r="B80" s="390" t="s">
        <v>417</v>
      </c>
      <c r="C80" s="390" t="s">
        <v>323</v>
      </c>
      <c r="D80" s="390" t="s">
        <v>309</v>
      </c>
      <c r="E80" s="390" t="s">
        <v>304</v>
      </c>
      <c r="F80" s="391" t="s">
        <v>456</v>
      </c>
    </row>
    <row r="81" spans="2:6" x14ac:dyDescent="0.3">
      <c r="B81" s="390" t="s">
        <v>418</v>
      </c>
      <c r="C81" s="390" t="s">
        <v>324</v>
      </c>
      <c r="D81" s="390" t="s">
        <v>310</v>
      </c>
      <c r="E81" s="390" t="s">
        <v>305</v>
      </c>
      <c r="F81" s="391" t="s">
        <v>479</v>
      </c>
    </row>
    <row r="82" spans="2:6" x14ac:dyDescent="0.3">
      <c r="B82" s="390" t="s">
        <v>419</v>
      </c>
      <c r="C82" s="390" t="s">
        <v>325</v>
      </c>
      <c r="D82" s="390" t="s">
        <v>311</v>
      </c>
      <c r="E82" s="390" t="s">
        <v>306</v>
      </c>
      <c r="F82" s="391" t="s">
        <v>480</v>
      </c>
    </row>
    <row r="83" spans="2:6" x14ac:dyDescent="0.3">
      <c r="B83" s="390" t="s">
        <v>420</v>
      </c>
      <c r="C83" s="390" t="s">
        <v>326</v>
      </c>
      <c r="D83" s="390" t="s">
        <v>312</v>
      </c>
      <c r="E83" s="390" t="s">
        <v>307</v>
      </c>
      <c r="F83" s="391" t="s">
        <v>481</v>
      </c>
    </row>
    <row r="84" spans="2:6" x14ac:dyDescent="0.3">
      <c r="B84" s="390" t="s">
        <v>421</v>
      </c>
      <c r="C84" s="390" t="s">
        <v>327</v>
      </c>
      <c r="D84" s="390" t="s">
        <v>313</v>
      </c>
      <c r="E84" s="390" t="s">
        <v>308</v>
      </c>
      <c r="F84" s="391" t="s">
        <v>482</v>
      </c>
    </row>
    <row r="85" spans="2:6" x14ac:dyDescent="0.3">
      <c r="B85" s="390" t="s">
        <v>422</v>
      </c>
      <c r="C85" s="390" t="s">
        <v>328</v>
      </c>
      <c r="D85" s="390" t="s">
        <v>314</v>
      </c>
      <c r="E85" s="390" t="s">
        <v>309</v>
      </c>
      <c r="F85" s="391" t="s">
        <v>483</v>
      </c>
    </row>
    <row r="86" spans="2:6" x14ac:dyDescent="0.3">
      <c r="B86" s="390" t="s">
        <v>423</v>
      </c>
      <c r="C86" s="390" t="s">
        <v>329</v>
      </c>
      <c r="D86" s="390" t="s">
        <v>315</v>
      </c>
      <c r="E86" s="390" t="s">
        <v>310</v>
      </c>
      <c r="F86" s="391" t="s">
        <v>484</v>
      </c>
    </row>
    <row r="87" spans="2:6" x14ac:dyDescent="0.3">
      <c r="B87" s="390" t="s">
        <v>424</v>
      </c>
      <c r="C87" s="390" t="s">
        <v>330</v>
      </c>
      <c r="D87" s="390" t="s">
        <v>316</v>
      </c>
      <c r="E87" s="390" t="s">
        <v>311</v>
      </c>
      <c r="F87" s="391" t="s">
        <v>485</v>
      </c>
    </row>
    <row r="88" spans="2:6" x14ac:dyDescent="0.3">
      <c r="B88" s="390" t="s">
        <v>425</v>
      </c>
      <c r="C88" s="390" t="s">
        <v>331</v>
      </c>
      <c r="D88" s="390" t="s">
        <v>317</v>
      </c>
      <c r="E88" s="390" t="s">
        <v>312</v>
      </c>
      <c r="F88" s="391" t="s">
        <v>486</v>
      </c>
    </row>
    <row r="89" spans="2:6" x14ac:dyDescent="0.3">
      <c r="B89" s="390" t="s">
        <v>426</v>
      </c>
      <c r="C89" s="390" t="s">
        <v>332</v>
      </c>
      <c r="D89" s="390" t="s">
        <v>318</v>
      </c>
      <c r="E89" s="390" t="s">
        <v>313</v>
      </c>
      <c r="F89" s="391" t="s">
        <v>487</v>
      </c>
    </row>
    <row r="90" spans="2:6" x14ac:dyDescent="0.3">
      <c r="B90" s="390" t="s">
        <v>427</v>
      </c>
      <c r="C90" s="390" t="s">
        <v>333</v>
      </c>
      <c r="D90" s="390" t="s">
        <v>319</v>
      </c>
      <c r="E90" s="390" t="s">
        <v>314</v>
      </c>
      <c r="F90" s="391" t="s">
        <v>488</v>
      </c>
    </row>
    <row r="91" spans="2:6" x14ac:dyDescent="0.3">
      <c r="B91" s="390" t="s">
        <v>428</v>
      </c>
      <c r="C91" s="390" t="s">
        <v>334</v>
      </c>
      <c r="D91" s="390" t="s">
        <v>320</v>
      </c>
      <c r="E91" s="390" t="s">
        <v>315</v>
      </c>
      <c r="F91" s="391" t="s">
        <v>489</v>
      </c>
    </row>
    <row r="92" spans="2:6" x14ac:dyDescent="0.3">
      <c r="B92" s="390" t="s">
        <v>429</v>
      </c>
      <c r="C92" s="390" t="s">
        <v>335</v>
      </c>
      <c r="D92" s="390" t="s">
        <v>321</v>
      </c>
      <c r="E92" s="390" t="s">
        <v>316</v>
      </c>
      <c r="F92" s="391" t="s">
        <v>490</v>
      </c>
    </row>
    <row r="93" spans="2:6" x14ac:dyDescent="0.3">
      <c r="B93" s="390" t="s">
        <v>430</v>
      </c>
      <c r="C93" s="390" t="s">
        <v>475</v>
      </c>
      <c r="D93" s="390" t="s">
        <v>322</v>
      </c>
      <c r="E93" s="390" t="s">
        <v>317</v>
      </c>
    </row>
    <row r="94" spans="2:6" x14ac:dyDescent="0.3">
      <c r="B94" s="390" t="s">
        <v>431</v>
      </c>
      <c r="C94" s="390" t="s">
        <v>476</v>
      </c>
      <c r="D94" s="390" t="s">
        <v>323</v>
      </c>
      <c r="E94" s="390" t="s">
        <v>318</v>
      </c>
    </row>
    <row r="95" spans="2:6" x14ac:dyDescent="0.3">
      <c r="B95" s="390" t="s">
        <v>432</v>
      </c>
      <c r="D95" s="390" t="s">
        <v>324</v>
      </c>
      <c r="E95" s="390" t="s">
        <v>319</v>
      </c>
    </row>
    <row r="96" spans="2:6" x14ac:dyDescent="0.3">
      <c r="B96" s="390" t="s">
        <v>433</v>
      </c>
      <c r="D96" s="390" t="s">
        <v>325</v>
      </c>
      <c r="E96" s="390" t="s">
        <v>320</v>
      </c>
    </row>
    <row r="97" spans="2:5" x14ac:dyDescent="0.3">
      <c r="B97" s="390" t="s">
        <v>434</v>
      </c>
      <c r="D97" s="390" t="s">
        <v>326</v>
      </c>
      <c r="E97" s="390" t="s">
        <v>321</v>
      </c>
    </row>
    <row r="98" spans="2:5" x14ac:dyDescent="0.3">
      <c r="B98" s="390" t="s">
        <v>435</v>
      </c>
      <c r="D98" s="390" t="s">
        <v>327</v>
      </c>
      <c r="E98" s="390" t="s">
        <v>322</v>
      </c>
    </row>
    <row r="99" spans="2:5" x14ac:dyDescent="0.3">
      <c r="B99" s="390" t="s">
        <v>436</v>
      </c>
      <c r="D99" s="390" t="s">
        <v>328</v>
      </c>
      <c r="E99" s="390" t="s">
        <v>464</v>
      </c>
    </row>
    <row r="100" spans="2:5" x14ac:dyDescent="0.3">
      <c r="B100" s="390" t="s">
        <v>437</v>
      </c>
      <c r="D100" s="390" t="s">
        <v>329</v>
      </c>
    </row>
    <row r="101" spans="2:5" x14ac:dyDescent="0.3">
      <c r="B101" s="390" t="s">
        <v>438</v>
      </c>
      <c r="D101" s="390" t="s">
        <v>330</v>
      </c>
    </row>
    <row r="102" spans="2:5" x14ac:dyDescent="0.3">
      <c r="B102" s="390" t="s">
        <v>439</v>
      </c>
      <c r="D102" s="390" t="s">
        <v>331</v>
      </c>
    </row>
    <row r="103" spans="2:5" x14ac:dyDescent="0.3">
      <c r="B103" s="390" t="s">
        <v>440</v>
      </c>
      <c r="D103" s="390" t="s">
        <v>332</v>
      </c>
    </row>
    <row r="104" spans="2:5" x14ac:dyDescent="0.3">
      <c r="B104" s="390" t="s">
        <v>441</v>
      </c>
      <c r="D104" s="390" t="s">
        <v>333</v>
      </c>
    </row>
    <row r="105" spans="2:5" x14ac:dyDescent="0.3">
      <c r="B105" s="390" t="s">
        <v>442</v>
      </c>
      <c r="D105" s="390" t="s">
        <v>334</v>
      </c>
    </row>
    <row r="106" spans="2:5" x14ac:dyDescent="0.3">
      <c r="B106" s="390" t="s">
        <v>443</v>
      </c>
      <c r="D106" s="390" t="s">
        <v>335</v>
      </c>
    </row>
    <row r="107" spans="2:5" x14ac:dyDescent="0.3">
      <c r="B107" s="390" t="s">
        <v>444</v>
      </c>
    </row>
    <row r="108" spans="2:5" x14ac:dyDescent="0.3">
      <c r="B108" s="390" t="s">
        <v>445</v>
      </c>
    </row>
    <row r="109" spans="2:5" x14ac:dyDescent="0.3">
      <c r="B109" s="390" t="s">
        <v>446</v>
      </c>
    </row>
    <row r="110" spans="2:5" x14ac:dyDescent="0.3">
      <c r="B110" s="390" t="s">
        <v>447</v>
      </c>
    </row>
    <row r="111" spans="2:5" x14ac:dyDescent="0.3">
      <c r="B111" s="390" t="s">
        <v>448</v>
      </c>
    </row>
    <row r="112" spans="2:5" x14ac:dyDescent="0.3">
      <c r="B112" s="390" t="s">
        <v>449</v>
      </c>
    </row>
    <row r="113" spans="2:2" x14ac:dyDescent="0.3">
      <c r="B113" s="390" t="s">
        <v>450</v>
      </c>
    </row>
    <row r="114" spans="2:2" x14ac:dyDescent="0.3">
      <c r="B114" s="390" t="s">
        <v>451</v>
      </c>
    </row>
    <row r="115" spans="2:2" x14ac:dyDescent="0.3">
      <c r="B115" s="390" t="s">
        <v>452</v>
      </c>
    </row>
    <row r="116" spans="2:2" x14ac:dyDescent="0.3">
      <c r="B116" s="390" t="s">
        <v>453</v>
      </c>
    </row>
    <row r="117" spans="2:2" x14ac:dyDescent="0.3">
      <c r="B117" s="390" t="s">
        <v>454</v>
      </c>
    </row>
    <row r="118" spans="2:2" x14ac:dyDescent="0.3">
      <c r="B118" s="390" t="s">
        <v>455</v>
      </c>
    </row>
    <row r="119" spans="2:2" x14ac:dyDescent="0.3">
      <c r="B119" s="390" t="s">
        <v>456</v>
      </c>
    </row>
    <row r="120" spans="2:2" x14ac:dyDescent="0.3">
      <c r="B120" s="390" t="s">
        <v>457</v>
      </c>
    </row>
  </sheetData>
  <phoneticPr fontId="21"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ECDAAEB-FFD2-4A19-B9EC-D4A2539FA8D5}">
          <x14:formula1>
            <xm:f>Toelichting!$A$28:$A$32</xm:f>
          </x14:formula1>
          <xm:sqref>C1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pageSetUpPr fitToPage="1"/>
  </sheetPr>
  <dimension ref="A1:M55"/>
  <sheetViews>
    <sheetView workbookViewId="0">
      <pane ySplit="3" topLeftCell="A30" activePane="bottomLeft" state="frozen"/>
      <selection pane="bottomLeft" activeCell="G28" sqref="G28"/>
    </sheetView>
  </sheetViews>
  <sheetFormatPr defaultColWidth="10.5" defaultRowHeight="15.6" x14ac:dyDescent="0.3"/>
  <cols>
    <col min="1" max="1" width="54.5" style="5" customWidth="1"/>
    <col min="2" max="2" width="0.5" style="6" customWidth="1"/>
    <col min="3" max="3" width="14" style="6" customWidth="1"/>
    <col min="4" max="4" width="0.5" style="6" customWidth="1"/>
    <col min="5" max="5" width="7" style="5" customWidth="1"/>
    <col min="6" max="6" width="0.5" style="6" customWidth="1"/>
    <col min="7" max="8" width="10.5" style="6"/>
    <col min="9" max="9" width="0.5" style="6" customWidth="1"/>
    <col min="10" max="11" width="10.5" style="6"/>
    <col min="12" max="12" width="0.5" style="5" customWidth="1"/>
    <col min="13" max="13" width="62" style="5" customWidth="1"/>
    <col min="14" max="16384" width="10.5" style="5"/>
  </cols>
  <sheetData>
    <row r="1" spans="1:13" x14ac:dyDescent="0.3">
      <c r="A1" s="67" t="s">
        <v>26</v>
      </c>
      <c r="B1" s="16"/>
      <c r="C1" s="16"/>
      <c r="D1" s="16"/>
      <c r="E1" s="17"/>
    </row>
    <row r="3" spans="1:13" s="18" customFormat="1" ht="18" x14ac:dyDescent="0.35">
      <c r="A3" s="37" t="s">
        <v>115</v>
      </c>
      <c r="B3" s="101"/>
      <c r="C3" s="38"/>
      <c r="D3" s="101"/>
      <c r="E3" s="37"/>
      <c r="F3" s="101"/>
      <c r="G3" s="532" t="s">
        <v>116</v>
      </c>
      <c r="H3" s="532"/>
      <c r="I3" s="101"/>
      <c r="J3" s="532" t="s">
        <v>117</v>
      </c>
      <c r="K3" s="532"/>
      <c r="L3" s="39"/>
      <c r="M3" s="39"/>
    </row>
    <row r="4" spans="1:13" x14ac:dyDescent="0.3">
      <c r="A4" s="19" t="s">
        <v>118</v>
      </c>
      <c r="B4" s="81"/>
      <c r="C4" s="20"/>
      <c r="D4" s="81"/>
      <c r="E4" s="19"/>
      <c r="F4" s="81"/>
      <c r="G4" s="533" t="s">
        <v>119</v>
      </c>
      <c r="H4" s="533"/>
      <c r="I4" s="81"/>
      <c r="J4" s="533" t="s">
        <v>119</v>
      </c>
      <c r="K4" s="533"/>
      <c r="L4" s="82"/>
      <c r="M4" s="57" t="s">
        <v>120</v>
      </c>
    </row>
    <row r="5" spans="1:13" x14ac:dyDescent="0.3">
      <c r="A5" s="22" t="s">
        <v>121</v>
      </c>
      <c r="B5" s="68"/>
      <c r="C5" s="23"/>
      <c r="D5" s="68"/>
      <c r="E5" s="22"/>
      <c r="F5" s="68"/>
      <c r="G5" s="55" t="s">
        <v>122</v>
      </c>
      <c r="H5" s="55" t="s">
        <v>123</v>
      </c>
      <c r="I5" s="68"/>
      <c r="J5" s="55" t="s">
        <v>123</v>
      </c>
      <c r="K5" s="55" t="s">
        <v>124</v>
      </c>
      <c r="L5" s="83"/>
      <c r="M5" s="22"/>
    </row>
    <row r="6" spans="1:13" x14ac:dyDescent="0.3">
      <c r="A6" s="22" t="s">
        <v>56</v>
      </c>
      <c r="B6" s="68"/>
      <c r="C6" s="23"/>
      <c r="D6" s="68"/>
      <c r="E6" s="22"/>
      <c r="F6" s="68"/>
      <c r="G6" s="55">
        <v>3</v>
      </c>
      <c r="H6" s="55">
        <v>7</v>
      </c>
      <c r="I6" s="68"/>
      <c r="J6" s="55">
        <v>7</v>
      </c>
      <c r="K6" s="55">
        <v>4</v>
      </c>
      <c r="L6" s="83"/>
      <c r="M6" s="22"/>
    </row>
    <row r="7" spans="1:13" x14ac:dyDescent="0.3">
      <c r="A7" s="22" t="s">
        <v>125</v>
      </c>
      <c r="B7" s="69"/>
      <c r="C7" s="23"/>
      <c r="D7" s="69"/>
      <c r="E7" s="22"/>
      <c r="F7" s="69"/>
      <c r="G7" s="56">
        <v>0.75</v>
      </c>
      <c r="H7" s="56">
        <v>0.25</v>
      </c>
      <c r="I7" s="69"/>
      <c r="J7" s="56">
        <v>0.6</v>
      </c>
      <c r="K7" s="56">
        <v>0.4</v>
      </c>
      <c r="L7" s="83"/>
      <c r="M7" s="22"/>
    </row>
    <row r="8" spans="1:13" x14ac:dyDescent="0.3">
      <c r="B8" s="3"/>
      <c r="D8" s="3"/>
      <c r="F8" s="3"/>
      <c r="I8" s="3"/>
      <c r="L8" s="1"/>
    </row>
    <row r="9" spans="1:13" ht="46.8" x14ac:dyDescent="0.3">
      <c r="A9" s="40"/>
      <c r="B9" s="87"/>
      <c r="C9" s="86" t="s">
        <v>126</v>
      </c>
      <c r="D9" s="87"/>
      <c r="E9" s="85" t="s">
        <v>127</v>
      </c>
      <c r="F9" s="87"/>
      <c r="G9" s="88"/>
      <c r="H9" s="88"/>
      <c r="I9" s="87"/>
      <c r="J9" s="88"/>
      <c r="K9" s="88"/>
      <c r="L9" s="89"/>
      <c r="M9" s="90" t="s">
        <v>128</v>
      </c>
    </row>
    <row r="10" spans="1:13" x14ac:dyDescent="0.3">
      <c r="A10" s="2" t="s">
        <v>30</v>
      </c>
      <c r="B10" s="3"/>
      <c r="C10" s="3"/>
      <c r="D10" s="3"/>
      <c r="E10" s="1"/>
      <c r="F10" s="3"/>
      <c r="G10" s="3"/>
      <c r="H10" s="3"/>
      <c r="I10" s="3"/>
      <c r="J10" s="3"/>
      <c r="K10" s="3"/>
      <c r="L10" s="1"/>
      <c r="M10" s="1"/>
    </row>
    <row r="11" spans="1:13" x14ac:dyDescent="0.3">
      <c r="A11" s="19" t="s">
        <v>129</v>
      </c>
      <c r="B11" s="70"/>
      <c r="C11" s="20"/>
      <c r="D11" s="70"/>
      <c r="E11" s="19"/>
      <c r="F11" s="70"/>
      <c r="G11" s="21" t="e">
        <f>VLOOKUP(G4&amp;G5&amp;G6,#REF!,6,0)</f>
        <v>#REF!</v>
      </c>
      <c r="H11" s="21" t="e">
        <f>VLOOKUP(G4&amp;H5&amp;H6,#REF!,6,0)</f>
        <v>#REF!</v>
      </c>
      <c r="I11" s="70"/>
      <c r="J11" s="21" t="e">
        <f>VLOOKUP(J4&amp;J5&amp;J6,#REF!,6,0)</f>
        <v>#REF!</v>
      </c>
      <c r="K11" s="21" t="e">
        <f>VLOOKUP(J4&amp;K5&amp;K6,#REF!,6,0)</f>
        <v>#REF!</v>
      </c>
      <c r="L11" s="82"/>
      <c r="M11" s="19"/>
    </row>
    <row r="12" spans="1:13" x14ac:dyDescent="0.3">
      <c r="A12" s="22" t="s">
        <v>130</v>
      </c>
      <c r="B12" s="71"/>
      <c r="C12" s="23" t="s">
        <v>31</v>
      </c>
      <c r="D12" s="71"/>
      <c r="E12" s="24">
        <v>0.08</v>
      </c>
      <c r="F12" s="71"/>
      <c r="G12" s="25" t="e">
        <f>IF((G$11*$E12)&gt;0.98,(G$11*$E12),0.98)</f>
        <v>#REF!</v>
      </c>
      <c r="H12" s="25" t="e">
        <f t="shared" ref="H12:K12" si="0">IF((H$11*$E12)&gt;0.98,(H$11*$E12),0.98)</f>
        <v>#REF!</v>
      </c>
      <c r="I12" s="71"/>
      <c r="J12" s="25" t="e">
        <f t="shared" si="0"/>
        <v>#REF!</v>
      </c>
      <c r="K12" s="25" t="e">
        <f t="shared" si="0"/>
        <v>#REF!</v>
      </c>
      <c r="L12" s="83"/>
      <c r="M12" s="22"/>
    </row>
    <row r="13" spans="1:13" x14ac:dyDescent="0.3">
      <c r="A13" s="22" t="s">
        <v>131</v>
      </c>
      <c r="B13" s="71"/>
      <c r="C13" s="23" t="s">
        <v>31</v>
      </c>
      <c r="D13" s="71"/>
      <c r="E13" s="26">
        <v>7.3999999999999996E-2</v>
      </c>
      <c r="F13" s="71"/>
      <c r="G13" s="25" t="e">
        <f>IF((G$11*$E13)&gt;0.94,(G$11*$E13),0.94)</f>
        <v>#REF!</v>
      </c>
      <c r="H13" s="25" t="e">
        <f t="shared" ref="H13:K13" si="1">IF((H$11*$E13)&gt;0.94,(H$11*$E13),0.94)</f>
        <v>#REF!</v>
      </c>
      <c r="I13" s="71"/>
      <c r="J13" s="25" t="e">
        <f t="shared" si="1"/>
        <v>#REF!</v>
      </c>
      <c r="K13" s="25" t="e">
        <f t="shared" si="1"/>
        <v>#REF!</v>
      </c>
      <c r="L13" s="83"/>
      <c r="M13" s="22"/>
    </row>
    <row r="14" spans="1:13" x14ac:dyDescent="0.3">
      <c r="A14" s="30" t="s">
        <v>35</v>
      </c>
      <c r="B14" s="72"/>
      <c r="C14" s="31"/>
      <c r="D14" s="72"/>
      <c r="E14" s="36">
        <f>SUM(E12:E13)</f>
        <v>0.154</v>
      </c>
      <c r="F14" s="72"/>
      <c r="G14" s="33" t="e">
        <f>SUM(G11:G13)</f>
        <v>#REF!</v>
      </c>
      <c r="H14" s="33" t="e">
        <f t="shared" ref="H14:K14" si="2">SUM(H11:H13)</f>
        <v>#REF!</v>
      </c>
      <c r="I14" s="72"/>
      <c r="J14" s="33" t="e">
        <f t="shared" si="2"/>
        <v>#REF!</v>
      </c>
      <c r="K14" s="33" t="e">
        <f t="shared" si="2"/>
        <v>#REF!</v>
      </c>
      <c r="L14" s="84"/>
      <c r="M14" s="34"/>
    </row>
    <row r="15" spans="1:13" ht="8.25" customHeight="1" x14ac:dyDescent="0.3">
      <c r="B15" s="3"/>
      <c r="D15" s="3"/>
      <c r="E15" s="12"/>
      <c r="F15" s="3"/>
      <c r="I15" s="3"/>
      <c r="L15" s="1"/>
    </row>
    <row r="16" spans="1:13" x14ac:dyDescent="0.3">
      <c r="A16" s="19" t="s">
        <v>132</v>
      </c>
      <c r="B16" s="70"/>
      <c r="C16" s="20" t="s">
        <v>31</v>
      </c>
      <c r="D16" s="70"/>
      <c r="E16" s="28"/>
      <c r="F16" s="70"/>
      <c r="G16" s="21" t="e">
        <f>G$14*'Pensioenpremie CAO'!B$16</f>
        <v>#REF!</v>
      </c>
      <c r="H16" s="21" t="e">
        <f>H$14*'Pensioenpremie CAO'!C$16</f>
        <v>#REF!</v>
      </c>
      <c r="I16" s="70"/>
      <c r="J16" s="21" t="e">
        <f>J$14*'Pensioenpremie CAO'!D$16</f>
        <v>#REF!</v>
      </c>
      <c r="K16" s="21" t="e">
        <f>K$14*'Pensioenpremie CAO'!E$16</f>
        <v>#REF!</v>
      </c>
      <c r="L16" s="82"/>
      <c r="M16" s="19"/>
    </row>
    <row r="17" spans="1:13" x14ac:dyDescent="0.3">
      <c r="A17" s="22" t="s">
        <v>133</v>
      </c>
      <c r="B17" s="71"/>
      <c r="C17" s="23" t="s">
        <v>31</v>
      </c>
      <c r="D17" s="71"/>
      <c r="E17" s="24"/>
      <c r="F17" s="71"/>
      <c r="G17" s="25" t="e">
        <f>G$14*'Pensioenpremie CAO'!B$24</f>
        <v>#REF!</v>
      </c>
      <c r="H17" s="25" t="e">
        <f>H$14*'Pensioenpremie CAO'!C$24</f>
        <v>#REF!</v>
      </c>
      <c r="I17" s="71"/>
      <c r="J17" s="25" t="e">
        <f>J$14*'Pensioenpremie CAO'!D$24</f>
        <v>#REF!</v>
      </c>
      <c r="K17" s="25" t="e">
        <f>K$14*'Pensioenpremie CAO'!E$24</f>
        <v>#REF!</v>
      </c>
      <c r="L17" s="83"/>
      <c r="M17" s="22"/>
    </row>
    <row r="18" spans="1:13" x14ac:dyDescent="0.3">
      <c r="A18" s="30" t="s">
        <v>134</v>
      </c>
      <c r="B18" s="72"/>
      <c r="C18" s="31"/>
      <c r="D18" s="72"/>
      <c r="E18" s="35"/>
      <c r="F18" s="72"/>
      <c r="G18" s="33" t="e">
        <f>SUM(G16:G17)</f>
        <v>#REF!</v>
      </c>
      <c r="H18" s="33" t="e">
        <f t="shared" ref="H18:K18" si="3">SUM(H16:H17)</f>
        <v>#REF!</v>
      </c>
      <c r="I18" s="72"/>
      <c r="J18" s="33" t="e">
        <f t="shared" si="3"/>
        <v>#REF!</v>
      </c>
      <c r="K18" s="33" t="e">
        <f t="shared" si="3"/>
        <v>#REF!</v>
      </c>
      <c r="L18" s="84"/>
      <c r="M18" s="34"/>
    </row>
    <row r="19" spans="1:13" ht="8.25" customHeight="1" x14ac:dyDescent="0.3">
      <c r="B19" s="3"/>
      <c r="D19" s="3"/>
      <c r="E19" s="12"/>
      <c r="F19" s="3"/>
      <c r="I19" s="3"/>
      <c r="L19" s="1"/>
    </row>
    <row r="20" spans="1:13" x14ac:dyDescent="0.3">
      <c r="A20" s="19" t="s">
        <v>135</v>
      </c>
      <c r="B20" s="70"/>
      <c r="C20" s="20" t="s">
        <v>31</v>
      </c>
      <c r="D20" s="70"/>
      <c r="E20" s="29">
        <v>6.6600000000000006E-2</v>
      </c>
      <c r="F20" s="70"/>
      <c r="G20" s="21" t="e">
        <f>G$14*$E20</f>
        <v>#REF!</v>
      </c>
      <c r="H20" s="21" t="e">
        <f t="shared" ref="H20:K23" si="4">H$14*$E20</f>
        <v>#REF!</v>
      </c>
      <c r="I20" s="70"/>
      <c r="J20" s="21" t="e">
        <f t="shared" si="4"/>
        <v>#REF!</v>
      </c>
      <c r="K20" s="21" t="e">
        <f t="shared" si="4"/>
        <v>#REF!</v>
      </c>
      <c r="L20" s="82"/>
      <c r="M20" s="19"/>
    </row>
    <row r="21" spans="1:13" x14ac:dyDescent="0.3">
      <c r="A21" s="22" t="s">
        <v>17</v>
      </c>
      <c r="B21" s="71"/>
      <c r="C21" s="23" t="s">
        <v>31</v>
      </c>
      <c r="D21" s="71"/>
      <c r="E21" s="26">
        <v>2.64E-2</v>
      </c>
      <c r="F21" s="71"/>
      <c r="G21" s="25" t="e">
        <f>G$14*$E21</f>
        <v>#REF!</v>
      </c>
      <c r="H21" s="25" t="e">
        <f t="shared" si="4"/>
        <v>#REF!</v>
      </c>
      <c r="I21" s="71"/>
      <c r="J21" s="25" t="e">
        <f t="shared" si="4"/>
        <v>#REF!</v>
      </c>
      <c r="K21" s="25" t="e">
        <f t="shared" si="4"/>
        <v>#REF!</v>
      </c>
      <c r="L21" s="83"/>
      <c r="M21" s="22"/>
    </row>
    <row r="22" spans="1:13" x14ac:dyDescent="0.3">
      <c r="A22" s="22" t="s">
        <v>136</v>
      </c>
      <c r="B22" s="71"/>
      <c r="C22" s="23" t="s">
        <v>31</v>
      </c>
      <c r="D22" s="71"/>
      <c r="E22" s="26">
        <v>9.4000000000000004E-3</v>
      </c>
      <c r="F22" s="71"/>
      <c r="G22" s="25" t="e">
        <f t="shared" ref="G22:G23" si="5">G$14*$E22</f>
        <v>#REF!</v>
      </c>
      <c r="H22" s="25" t="e">
        <f t="shared" si="4"/>
        <v>#REF!</v>
      </c>
      <c r="I22" s="71"/>
      <c r="J22" s="25" t="e">
        <f t="shared" si="4"/>
        <v>#REF!</v>
      </c>
      <c r="K22" s="25" t="e">
        <f t="shared" si="4"/>
        <v>#REF!</v>
      </c>
      <c r="L22" s="83"/>
      <c r="M22" s="22"/>
    </row>
    <row r="23" spans="1:13" x14ac:dyDescent="0.3">
      <c r="A23" s="22" t="s">
        <v>18</v>
      </c>
      <c r="B23" s="71"/>
      <c r="C23" s="23" t="s">
        <v>31</v>
      </c>
      <c r="D23" s="71"/>
      <c r="E23" s="26">
        <v>6.6500000000000004E-2</v>
      </c>
      <c r="F23" s="71"/>
      <c r="G23" s="25" t="e">
        <f t="shared" si="5"/>
        <v>#REF!</v>
      </c>
      <c r="H23" s="25" t="e">
        <f t="shared" si="4"/>
        <v>#REF!</v>
      </c>
      <c r="I23" s="71"/>
      <c r="J23" s="25" t="e">
        <f t="shared" si="4"/>
        <v>#REF!</v>
      </c>
      <c r="K23" s="25" t="e">
        <f t="shared" si="4"/>
        <v>#REF!</v>
      </c>
      <c r="L23" s="83"/>
      <c r="M23" s="22"/>
    </row>
    <row r="24" spans="1:13" x14ac:dyDescent="0.3">
      <c r="A24" s="22" t="s">
        <v>19</v>
      </c>
      <c r="B24" s="71"/>
      <c r="C24" s="23" t="s">
        <v>137</v>
      </c>
      <c r="D24" s="71"/>
      <c r="E24" s="59">
        <v>9.1000000000000004E-3</v>
      </c>
      <c r="F24" s="71"/>
      <c r="G24" s="25" t="e">
        <f>G$14*$E24</f>
        <v>#REF!</v>
      </c>
      <c r="H24" s="25" t="e">
        <f>H$14*$E24</f>
        <v>#REF!</v>
      </c>
      <c r="I24" s="71"/>
      <c r="J24" s="25" t="e">
        <f>J$14*$E24</f>
        <v>#REF!</v>
      </c>
      <c r="K24" s="25" t="e">
        <f>K$14*$E24</f>
        <v>#REF!</v>
      </c>
      <c r="L24" s="83"/>
      <c r="M24" s="58" t="s">
        <v>138</v>
      </c>
    </row>
    <row r="25" spans="1:13" x14ac:dyDescent="0.3">
      <c r="A25" s="22" t="s">
        <v>21</v>
      </c>
      <c r="B25" s="71"/>
      <c r="C25" s="23" t="s">
        <v>137</v>
      </c>
      <c r="D25" s="71"/>
      <c r="E25" s="59">
        <v>0</v>
      </c>
      <c r="F25" s="71"/>
      <c r="G25" s="25" t="e">
        <f>G$14*$E25</f>
        <v>#REF!</v>
      </c>
      <c r="H25" s="25" t="e">
        <f>H$14*$E25</f>
        <v>#REF!</v>
      </c>
      <c r="I25" s="71"/>
      <c r="J25" s="25" t="e">
        <f>J$14*$E25</f>
        <v>#REF!</v>
      </c>
      <c r="K25" s="25" t="e">
        <f>K$14*$E25</f>
        <v>#REF!</v>
      </c>
      <c r="L25" s="83"/>
      <c r="M25" s="58" t="s">
        <v>139</v>
      </c>
    </row>
    <row r="26" spans="1:13" x14ac:dyDescent="0.3">
      <c r="A26" s="30" t="s">
        <v>140</v>
      </c>
      <c r="B26" s="72"/>
      <c r="C26" s="31"/>
      <c r="D26" s="72"/>
      <c r="E26" s="32">
        <f>SUM(E20:E25)</f>
        <v>0.17799999999999999</v>
      </c>
      <c r="F26" s="72"/>
      <c r="G26" s="33" t="e">
        <f>SUM(G20:G25)</f>
        <v>#REF!</v>
      </c>
      <c r="H26" s="33" t="e">
        <f t="shared" ref="H26:K26" si="6">SUM(H20:H25)</f>
        <v>#REF!</v>
      </c>
      <c r="I26" s="72"/>
      <c r="J26" s="33" t="e">
        <f t="shared" si="6"/>
        <v>#REF!</v>
      </c>
      <c r="K26" s="33" t="e">
        <f t="shared" si="6"/>
        <v>#REF!</v>
      </c>
      <c r="L26" s="84"/>
      <c r="M26" s="34"/>
    </row>
    <row r="27" spans="1:13" ht="8.25" customHeight="1" x14ac:dyDescent="0.3">
      <c r="B27" s="3"/>
      <c r="D27" s="3"/>
      <c r="F27" s="3"/>
      <c r="I27" s="3"/>
      <c r="L27" s="1"/>
    </row>
    <row r="28" spans="1:13" x14ac:dyDescent="0.3">
      <c r="A28" s="9" t="s">
        <v>141</v>
      </c>
      <c r="B28" s="73"/>
      <c r="C28" s="13"/>
      <c r="D28" s="73"/>
      <c r="F28" s="73"/>
      <c r="G28" s="10" t="e">
        <f>G14+G18+G26</f>
        <v>#REF!</v>
      </c>
      <c r="H28" s="10" t="e">
        <f t="shared" ref="H28:K28" si="7">H14+H18+H26</f>
        <v>#REF!</v>
      </c>
      <c r="I28" s="73"/>
      <c r="J28" s="10" t="e">
        <f t="shared" si="7"/>
        <v>#REF!</v>
      </c>
      <c r="K28" s="10" t="e">
        <f t="shared" si="7"/>
        <v>#REF!</v>
      </c>
      <c r="L28" s="1"/>
    </row>
    <row r="29" spans="1:13" x14ac:dyDescent="0.3">
      <c r="B29" s="3"/>
      <c r="D29" s="3"/>
      <c r="F29" s="3"/>
      <c r="I29" s="3"/>
      <c r="L29" s="1"/>
    </row>
    <row r="30" spans="1:13" x14ac:dyDescent="0.3">
      <c r="A30" s="2" t="s">
        <v>142</v>
      </c>
      <c r="B30" s="3"/>
      <c r="C30" s="4"/>
      <c r="D30" s="3"/>
      <c r="E30" s="1"/>
      <c r="F30" s="3"/>
      <c r="G30" s="3"/>
      <c r="H30" s="3"/>
      <c r="I30" s="3"/>
      <c r="J30" s="3"/>
      <c r="K30" s="3"/>
      <c r="L30" s="1"/>
      <c r="M30" s="1"/>
    </row>
    <row r="31" spans="1:13" ht="8.25" customHeight="1" x14ac:dyDescent="0.3">
      <c r="B31" s="3"/>
      <c r="D31" s="3"/>
      <c r="F31" s="3"/>
      <c r="I31" s="3"/>
      <c r="L31" s="1"/>
    </row>
    <row r="32" spans="1:13" x14ac:dyDescent="0.3">
      <c r="A32" s="19" t="s">
        <v>64</v>
      </c>
      <c r="B32" s="70"/>
      <c r="C32" s="20" t="s">
        <v>31</v>
      </c>
      <c r="D32" s="70"/>
      <c r="E32" s="28">
        <v>0.13589999999999999</v>
      </c>
      <c r="F32" s="70"/>
      <c r="G32" s="21" t="e">
        <f>G$28*$E32</f>
        <v>#REF!</v>
      </c>
      <c r="H32" s="21" t="e">
        <f t="shared" ref="H32:K32" si="8">H$28*$E32</f>
        <v>#REF!</v>
      </c>
      <c r="I32" s="70"/>
      <c r="J32" s="21" t="e">
        <f t="shared" si="8"/>
        <v>#REF!</v>
      </c>
      <c r="K32" s="21" t="e">
        <f t="shared" si="8"/>
        <v>#REF!</v>
      </c>
      <c r="L32" s="82"/>
      <c r="M32" s="19"/>
    </row>
    <row r="33" spans="1:13" x14ac:dyDescent="0.3">
      <c r="A33" s="22" t="s">
        <v>11</v>
      </c>
      <c r="B33" s="71"/>
      <c r="C33" s="23" t="s">
        <v>137</v>
      </c>
      <c r="D33" s="71"/>
      <c r="E33" s="60">
        <v>6.3399999999999998E-2</v>
      </c>
      <c r="F33" s="71"/>
      <c r="G33" s="25" t="e">
        <f>G$28*$E33</f>
        <v>#REF!</v>
      </c>
      <c r="H33" s="25" t="e">
        <f>H$28*$E33</f>
        <v>#REF!</v>
      </c>
      <c r="I33" s="71"/>
      <c r="J33" s="25" t="e">
        <f>J$28*$E33</f>
        <v>#REF!</v>
      </c>
      <c r="K33" s="25" t="e">
        <f>K$28*$E33</f>
        <v>#REF!</v>
      </c>
      <c r="L33" s="83"/>
      <c r="M33" s="58" t="s">
        <v>143</v>
      </c>
    </row>
    <row r="34" spans="1:13" x14ac:dyDescent="0.3">
      <c r="A34" s="22" t="s">
        <v>66</v>
      </c>
      <c r="B34" s="71"/>
      <c r="C34" s="23" t="s">
        <v>31</v>
      </c>
      <c r="D34" s="71"/>
      <c r="E34" s="26">
        <v>0.02</v>
      </c>
      <c r="F34" s="71"/>
      <c r="G34" s="25" t="e">
        <f t="shared" ref="G34:K34" si="9">G$28*$E34</f>
        <v>#REF!</v>
      </c>
      <c r="H34" s="25" t="e">
        <f t="shared" si="9"/>
        <v>#REF!</v>
      </c>
      <c r="I34" s="71"/>
      <c r="J34" s="25" t="e">
        <f t="shared" si="9"/>
        <v>#REF!</v>
      </c>
      <c r="K34" s="25" t="e">
        <f t="shared" si="9"/>
        <v>#REF!</v>
      </c>
      <c r="L34" s="83"/>
      <c r="M34" s="22"/>
    </row>
    <row r="35" spans="1:13" ht="31.2" x14ac:dyDescent="0.3">
      <c r="A35" s="91" t="s">
        <v>144</v>
      </c>
      <c r="B35" s="74"/>
      <c r="C35" s="13"/>
      <c r="D35" s="74"/>
      <c r="E35" s="14">
        <f>SUM(E32:E34)</f>
        <v>0.21929999999999997</v>
      </c>
      <c r="F35" s="74"/>
      <c r="G35" s="15" t="e">
        <f t="shared" ref="G35:K35" si="10">SUM(G32:G34)</f>
        <v>#REF!</v>
      </c>
      <c r="H35" s="15" t="e">
        <f t="shared" si="10"/>
        <v>#REF!</v>
      </c>
      <c r="I35" s="74"/>
      <c r="J35" s="15" t="e">
        <f t="shared" si="10"/>
        <v>#REF!</v>
      </c>
      <c r="K35" s="15" t="e">
        <f t="shared" si="10"/>
        <v>#REF!</v>
      </c>
      <c r="L35" s="1"/>
    </row>
    <row r="36" spans="1:13" x14ac:dyDescent="0.3">
      <c r="B36" s="3"/>
      <c r="D36" s="3"/>
      <c r="F36" s="3"/>
      <c r="I36" s="3"/>
      <c r="L36" s="1"/>
    </row>
    <row r="37" spans="1:13" x14ac:dyDescent="0.3">
      <c r="A37" s="2" t="s">
        <v>145</v>
      </c>
      <c r="B37" s="3"/>
      <c r="C37" s="4"/>
      <c r="D37" s="3"/>
      <c r="E37" s="1"/>
      <c r="F37" s="3"/>
      <c r="G37" s="3"/>
      <c r="H37" s="3"/>
      <c r="I37" s="3"/>
      <c r="J37" s="3"/>
      <c r="K37" s="3"/>
      <c r="L37" s="1"/>
      <c r="M37" s="1"/>
    </row>
    <row r="38" spans="1:13" ht="8.25" customHeight="1" x14ac:dyDescent="0.3">
      <c r="B38" s="3"/>
      <c r="D38" s="3"/>
      <c r="F38" s="3"/>
      <c r="I38" s="3"/>
      <c r="L38" s="1"/>
    </row>
    <row r="39" spans="1:13" x14ac:dyDescent="0.3">
      <c r="A39" s="19" t="s">
        <v>146</v>
      </c>
      <c r="B39" s="75"/>
      <c r="C39" s="20" t="s">
        <v>137</v>
      </c>
      <c r="D39" s="75"/>
      <c r="E39" s="61">
        <v>2.5000000000000001E-2</v>
      </c>
      <c r="F39" s="75"/>
      <c r="G39" s="42" t="e">
        <f>$E39*G$28</f>
        <v>#REF!</v>
      </c>
      <c r="H39" s="42" t="e">
        <f t="shared" ref="H39:K41" si="11">$E39*H$28</f>
        <v>#REF!</v>
      </c>
      <c r="I39" s="75"/>
      <c r="J39" s="42" t="e">
        <f t="shared" si="11"/>
        <v>#REF!</v>
      </c>
      <c r="K39" s="42" t="e">
        <f t="shared" si="11"/>
        <v>#REF!</v>
      </c>
      <c r="L39" s="82"/>
      <c r="M39" s="62"/>
    </row>
    <row r="40" spans="1:13" x14ac:dyDescent="0.3">
      <c r="A40" s="22" t="s">
        <v>147</v>
      </c>
      <c r="B40" s="76"/>
      <c r="C40" s="23" t="s">
        <v>137</v>
      </c>
      <c r="D40" s="76"/>
      <c r="E40" s="59">
        <v>2.5000000000000001E-2</v>
      </c>
      <c r="F40" s="76"/>
      <c r="G40" s="43" t="e">
        <f>$E40*G$28</f>
        <v>#REF!</v>
      </c>
      <c r="H40" s="43" t="e">
        <f t="shared" si="11"/>
        <v>#REF!</v>
      </c>
      <c r="I40" s="76"/>
      <c r="J40" s="43" t="e">
        <f t="shared" si="11"/>
        <v>#REF!</v>
      </c>
      <c r="K40" s="43" t="e">
        <f t="shared" si="11"/>
        <v>#REF!</v>
      </c>
      <c r="L40" s="83"/>
      <c r="M40" s="58" t="s">
        <v>148</v>
      </c>
    </row>
    <row r="41" spans="1:13" x14ac:dyDescent="0.3">
      <c r="A41" s="22" t="s">
        <v>149</v>
      </c>
      <c r="B41" s="76"/>
      <c r="C41" s="23" t="s">
        <v>137</v>
      </c>
      <c r="D41" s="76"/>
      <c r="E41" s="59">
        <v>2.5000000000000001E-2</v>
      </c>
      <c r="F41" s="76"/>
      <c r="G41" s="43" t="e">
        <f>$E41*G$28</f>
        <v>#REF!</v>
      </c>
      <c r="H41" s="43" t="e">
        <f t="shared" si="11"/>
        <v>#REF!</v>
      </c>
      <c r="I41" s="76"/>
      <c r="J41" s="43" t="e">
        <f t="shared" si="11"/>
        <v>#REF!</v>
      </c>
      <c r="K41" s="43" t="e">
        <f t="shared" si="11"/>
        <v>#REF!</v>
      </c>
      <c r="L41" s="83"/>
      <c r="M41" s="58" t="s">
        <v>150</v>
      </c>
    </row>
    <row r="42" spans="1:13" ht="8.25" customHeight="1" x14ac:dyDescent="0.3">
      <c r="B42" s="77"/>
      <c r="D42" s="77"/>
      <c r="E42" s="7"/>
      <c r="F42" s="77"/>
      <c r="G42" s="8"/>
      <c r="H42" s="8"/>
      <c r="I42" s="77"/>
      <c r="J42" s="8"/>
      <c r="K42" s="8"/>
      <c r="L42" s="1"/>
    </row>
    <row r="43" spans="1:13" ht="31.2" x14ac:dyDescent="0.3">
      <c r="A43" s="19" t="s">
        <v>151</v>
      </c>
      <c r="B43" s="78"/>
      <c r="C43" s="20" t="s">
        <v>137</v>
      </c>
      <c r="D43" s="78"/>
      <c r="E43" s="19"/>
      <c r="F43" s="78"/>
      <c r="G43" s="63">
        <v>0.28000000000000003</v>
      </c>
      <c r="H43" s="63">
        <v>0.28000000000000003</v>
      </c>
      <c r="I43" s="78"/>
      <c r="J43" s="63">
        <v>0.28000000000000003</v>
      </c>
      <c r="K43" s="63">
        <v>0.28000000000000003</v>
      </c>
      <c r="L43" s="82"/>
      <c r="M43" s="64" t="s">
        <v>152</v>
      </c>
    </row>
    <row r="44" spans="1:13" x14ac:dyDescent="0.3">
      <c r="A44" s="22" t="s">
        <v>153</v>
      </c>
      <c r="B44" s="79"/>
      <c r="C44" s="23" t="s">
        <v>137</v>
      </c>
      <c r="D44" s="79"/>
      <c r="E44" s="22"/>
      <c r="F44" s="79"/>
      <c r="G44" s="65">
        <v>0.2</v>
      </c>
      <c r="H44" s="65">
        <v>0.2</v>
      </c>
      <c r="I44" s="79"/>
      <c r="J44" s="65">
        <v>0.2</v>
      </c>
      <c r="K44" s="65">
        <v>0.2</v>
      </c>
      <c r="L44" s="83"/>
      <c r="M44" s="58"/>
    </row>
    <row r="45" spans="1:13" x14ac:dyDescent="0.3">
      <c r="A45" s="9" t="s">
        <v>154</v>
      </c>
      <c r="B45" s="80"/>
      <c r="D45" s="80"/>
      <c r="F45" s="80"/>
      <c r="G45" s="11">
        <f>SUM(G43:G44)</f>
        <v>0.48000000000000004</v>
      </c>
      <c r="H45" s="11">
        <f t="shared" ref="H45:K45" si="12">SUM(H43:H44)</f>
        <v>0.48000000000000004</v>
      </c>
      <c r="I45" s="80"/>
      <c r="J45" s="11">
        <f t="shared" si="12"/>
        <v>0.48000000000000004</v>
      </c>
      <c r="K45" s="11">
        <f t="shared" si="12"/>
        <v>0.48000000000000004</v>
      </c>
      <c r="L45" s="1"/>
    </row>
    <row r="46" spans="1:13" ht="8.25" customHeight="1" x14ac:dyDescent="0.3">
      <c r="B46" s="80"/>
      <c r="D46" s="80"/>
      <c r="F46" s="80"/>
      <c r="G46" s="11"/>
      <c r="H46" s="11"/>
      <c r="I46" s="80"/>
      <c r="J46" s="11"/>
      <c r="K46" s="11"/>
      <c r="L46" s="1"/>
    </row>
    <row r="47" spans="1:13" x14ac:dyDescent="0.3">
      <c r="A47" s="19" t="s">
        <v>155</v>
      </c>
      <c r="B47" s="75"/>
      <c r="C47" s="20" t="s">
        <v>137</v>
      </c>
      <c r="D47" s="75"/>
      <c r="E47" s="61">
        <v>0.15</v>
      </c>
      <c r="F47" s="75"/>
      <c r="G47" s="42" t="e">
        <f>$E47*(G$28+G$35+G$39+G$40+G$45)</f>
        <v>#REF!</v>
      </c>
      <c r="H47" s="42" t="e">
        <f>$E47*(H$28+H$35+H$39+H$40+H$45)</f>
        <v>#REF!</v>
      </c>
      <c r="I47" s="75"/>
      <c r="J47" s="42" t="e">
        <f>$E47*(J$28+J$35+J$39+J$40+J$45)</f>
        <v>#REF!</v>
      </c>
      <c r="K47" s="42" t="e">
        <f>$E47*(K$28+K$35+K$39+K$40+K$45)</f>
        <v>#REF!</v>
      </c>
      <c r="L47" s="82"/>
      <c r="M47" s="66" t="s">
        <v>8</v>
      </c>
    </row>
    <row r="48" spans="1:13" x14ac:dyDescent="0.3">
      <c r="A48" s="9" t="s">
        <v>156</v>
      </c>
      <c r="B48" s="73"/>
      <c r="D48" s="73"/>
      <c r="F48" s="73"/>
      <c r="G48" s="10" t="e">
        <f>G$28+G$35+G$39+G$40+G$45+G$47</f>
        <v>#REF!</v>
      </c>
      <c r="H48" s="10" t="e">
        <f t="shared" ref="H48:K48" si="13">H$28+H$35+H$39+H$40+H$45+H$47</f>
        <v>#REF!</v>
      </c>
      <c r="I48" s="73"/>
      <c r="J48" s="10" t="e">
        <f t="shared" si="13"/>
        <v>#REF!</v>
      </c>
      <c r="K48" s="10" t="e">
        <f t="shared" si="13"/>
        <v>#REF!</v>
      </c>
      <c r="L48" s="1"/>
    </row>
    <row r="49" spans="1:13" ht="8.25" customHeight="1" x14ac:dyDescent="0.3">
      <c r="A49" s="9"/>
      <c r="B49" s="73"/>
      <c r="D49" s="73"/>
      <c r="F49" s="73"/>
      <c r="G49" s="10"/>
      <c r="H49" s="10"/>
      <c r="I49" s="73"/>
      <c r="J49" s="10"/>
      <c r="K49" s="10"/>
      <c r="L49" s="1"/>
    </row>
    <row r="50" spans="1:13" x14ac:dyDescent="0.3">
      <c r="A50" s="44" t="s">
        <v>157</v>
      </c>
      <c r="B50" s="75"/>
      <c r="C50" s="20" t="s">
        <v>137</v>
      </c>
      <c r="D50" s="75"/>
      <c r="E50" s="61">
        <v>0</v>
      </c>
      <c r="F50" s="75"/>
      <c r="G50" s="42" t="e">
        <f>$E50*G$48</f>
        <v>#REF!</v>
      </c>
      <c r="H50" s="42" t="e">
        <f t="shared" ref="H50:K50" si="14">$E50*H$48</f>
        <v>#REF!</v>
      </c>
      <c r="I50" s="75"/>
      <c r="J50" s="42" t="e">
        <f t="shared" si="14"/>
        <v>#REF!</v>
      </c>
      <c r="K50" s="42" t="e">
        <f t="shared" si="14"/>
        <v>#REF!</v>
      </c>
      <c r="L50" s="82"/>
      <c r="M50" s="62" t="s">
        <v>158</v>
      </c>
    </row>
    <row r="51" spans="1:13" x14ac:dyDescent="0.3">
      <c r="A51" s="22" t="s">
        <v>159</v>
      </c>
      <c r="B51" s="76"/>
      <c r="C51" s="23" t="s">
        <v>137</v>
      </c>
      <c r="D51" s="76"/>
      <c r="E51" s="59">
        <v>0.05</v>
      </c>
      <c r="F51" s="76"/>
      <c r="G51" s="43" t="e">
        <f>$E51*G$48</f>
        <v>#REF!</v>
      </c>
      <c r="H51" s="43" t="e">
        <f t="shared" ref="H51:K51" si="15">$E51*H$48</f>
        <v>#REF!</v>
      </c>
      <c r="I51" s="76"/>
      <c r="J51" s="43" t="e">
        <f t="shared" si="15"/>
        <v>#REF!</v>
      </c>
      <c r="K51" s="43" t="e">
        <f t="shared" si="15"/>
        <v>#REF!</v>
      </c>
      <c r="L51" s="83"/>
      <c r="M51" s="58"/>
    </row>
    <row r="52" spans="1:13" ht="8.25" customHeight="1" x14ac:dyDescent="0.3">
      <c r="B52" s="3"/>
      <c r="D52" s="3"/>
      <c r="F52" s="3"/>
      <c r="I52" s="3"/>
      <c r="L52" s="1"/>
    </row>
    <row r="53" spans="1:13" x14ac:dyDescent="0.3">
      <c r="A53" s="9" t="s">
        <v>160</v>
      </c>
      <c r="B53" s="73"/>
      <c r="D53" s="73"/>
      <c r="F53" s="73"/>
      <c r="G53" s="10" t="e">
        <f>G$48+G$51</f>
        <v>#REF!</v>
      </c>
      <c r="H53" s="10" t="e">
        <f t="shared" ref="H53:K53" si="16">H$48+H$51</f>
        <v>#REF!</v>
      </c>
      <c r="I53" s="73"/>
      <c r="J53" s="10" t="e">
        <f t="shared" si="16"/>
        <v>#REF!</v>
      </c>
      <c r="K53" s="10" t="e">
        <f t="shared" si="16"/>
        <v>#REF!</v>
      </c>
      <c r="L53" s="1"/>
    </row>
    <row r="54" spans="1:13" x14ac:dyDescent="0.3">
      <c r="B54" s="3"/>
      <c r="D54" s="3"/>
      <c r="F54" s="3"/>
      <c r="I54" s="3"/>
      <c r="L54" s="1"/>
    </row>
    <row r="55" spans="1:13" ht="18" x14ac:dyDescent="0.35">
      <c r="A55" s="37" t="s">
        <v>161</v>
      </c>
      <c r="B55" s="102"/>
      <c r="C55" s="41"/>
      <c r="D55" s="102"/>
      <c r="E55" s="39"/>
      <c r="F55" s="102"/>
      <c r="G55" s="534" t="e">
        <f>(G53*G7)+(H53*H7)</f>
        <v>#REF!</v>
      </c>
      <c r="H55" s="534"/>
      <c r="I55" s="102"/>
      <c r="J55" s="534" t="e">
        <f>(J53*J7)+(K53*K7)</f>
        <v>#REF!</v>
      </c>
      <c r="K55" s="534"/>
      <c r="L55" s="40"/>
      <c r="M55" s="37" t="s">
        <v>162</v>
      </c>
    </row>
  </sheetData>
  <mergeCells count="6">
    <mergeCell ref="J3:K3"/>
    <mergeCell ref="G3:H3"/>
    <mergeCell ref="G4:H4"/>
    <mergeCell ref="J4:K4"/>
    <mergeCell ref="G55:H55"/>
    <mergeCell ref="J55:K55"/>
  </mergeCells>
  <phoneticPr fontId="21" type="noConversion"/>
  <dataValidations count="6">
    <dataValidation type="list" showInputMessage="1" showErrorMessage="1" sqref="J5:K5 H5" xr:uid="{00000000-0002-0000-0100-000000000000}">
      <formula1>"FWG10,FWG15,FWG20,FWG25,FWG30"</formula1>
    </dataValidation>
    <dataValidation type="list" showInputMessage="1" showErrorMessage="1" sqref="G5" xr:uid="{00000000-0002-0000-0100-000001000000}">
      <formula1>",FWG10,FWG15,FWG20,FWG25,FWG30"</formula1>
    </dataValidation>
    <dataValidation type="list" showInputMessage="1" showErrorMessage="1" sqref="G6" xr:uid="{00000000-0002-0000-0100-000002000000}">
      <formula1>INDIRECT($G$4&amp;$G$5)</formula1>
    </dataValidation>
    <dataValidation type="list" allowBlank="1" showInputMessage="1" showErrorMessage="1" sqref="H6" xr:uid="{00000000-0002-0000-0100-000003000000}">
      <formula1>INDIRECT($G$4&amp;$H$5)</formula1>
    </dataValidation>
    <dataValidation type="list" allowBlank="1" showInputMessage="1" showErrorMessage="1" sqref="J6" xr:uid="{00000000-0002-0000-0100-000004000000}">
      <formula1>INDIRECT($J$4&amp;$J$5)</formula1>
    </dataValidation>
    <dataValidation type="list" allowBlank="1" showInputMessage="1" showErrorMessage="1" sqref="K6" xr:uid="{00000000-0002-0000-0100-000005000000}">
      <formula1>INDIRECT($J$4&amp;$K$5)</formula1>
    </dataValidation>
  </dataValidations>
  <hyperlinks>
    <hyperlink ref="M47" location="Toelichting!A1" display="Toelichting" xr:uid="{00000000-0004-0000-0100-000000000000}"/>
  </hyperlinks>
  <pageMargins left="0.7" right="0.7" top="0.75" bottom="0.75" header="0.3" footer="0.3"/>
  <pageSetup paperSize="9" scale="66" fitToHeight="2" orientation="landscape" r:id="rId1"/>
  <ignoredErrors>
    <ignoredError sqref="H11"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E26"/>
  <sheetViews>
    <sheetView workbookViewId="0">
      <selection activeCell="B7" sqref="B7"/>
    </sheetView>
  </sheetViews>
  <sheetFormatPr defaultColWidth="10.5" defaultRowHeight="15.6" x14ac:dyDescent="0.3"/>
  <cols>
    <col min="1" max="1" width="45.5" style="5" customWidth="1"/>
    <col min="2" max="2" width="11.5" style="5" bestFit="1" customWidth="1"/>
    <col min="3" max="3" width="11.5" style="5" customWidth="1"/>
    <col min="4" max="4" width="14" style="5" customWidth="1"/>
    <col min="5" max="5" width="14.5" style="5" customWidth="1"/>
    <col min="6" max="16384" width="10.5" style="5"/>
  </cols>
  <sheetData>
    <row r="1" spans="1:5" x14ac:dyDescent="0.3">
      <c r="A1" s="535" t="s">
        <v>163</v>
      </c>
      <c r="B1" s="535"/>
      <c r="C1" s="535"/>
      <c r="D1" s="535"/>
      <c r="E1" s="535"/>
    </row>
    <row r="2" spans="1:5" x14ac:dyDescent="0.3">
      <c r="A2" s="45"/>
    </row>
    <row r="3" spans="1:5" x14ac:dyDescent="0.3">
      <c r="A3" s="53" t="s">
        <v>164</v>
      </c>
      <c r="B3" s="4" t="str">
        <f>'Invulblad CAO'!G3</f>
        <v>HH-1</v>
      </c>
      <c r="C3" s="4" t="str">
        <f>'Invulblad CAO'!G3</f>
        <v>HH-1</v>
      </c>
      <c r="D3" s="4" t="str">
        <f>'Invulblad CAO'!J3</f>
        <v>HH-2</v>
      </c>
      <c r="E3" s="4" t="str">
        <f>'Invulblad CAO'!J3</f>
        <v>HH-2</v>
      </c>
    </row>
    <row r="4" spans="1:5" x14ac:dyDescent="0.3">
      <c r="A4" s="52" t="s">
        <v>28</v>
      </c>
      <c r="B4" s="27" t="str">
        <f>'Invulblad CAO'!G4</f>
        <v>VVT</v>
      </c>
      <c r="C4" s="27" t="str">
        <f>'Invulblad CAO'!G4</f>
        <v>VVT</v>
      </c>
      <c r="D4" s="27" t="str">
        <f>'Invulblad CAO'!J4</f>
        <v>VVT</v>
      </c>
      <c r="E4" s="27" t="str">
        <f>'Invulblad CAO'!J4</f>
        <v>VVT</v>
      </c>
    </row>
    <row r="5" spans="1:5" x14ac:dyDescent="0.3">
      <c r="A5" s="347" t="s">
        <v>165</v>
      </c>
      <c r="B5" s="23" t="str">
        <f>'Invulblad CAO'!G5</f>
        <v>FWG10</v>
      </c>
      <c r="C5" s="23" t="str">
        <f>'Invulblad CAO'!H5</f>
        <v>FWG15</v>
      </c>
      <c r="D5" s="23" t="str">
        <f>'Invulblad CAO'!J5</f>
        <v>FWG15</v>
      </c>
      <c r="E5" s="23" t="str">
        <f>'Invulblad CAO'!K5</f>
        <v>FWG20</v>
      </c>
    </row>
    <row r="6" spans="1:5" x14ac:dyDescent="0.3">
      <c r="A6" s="45"/>
    </row>
    <row r="7" spans="1:5" x14ac:dyDescent="0.3">
      <c r="A7" s="348" t="s">
        <v>166</v>
      </c>
      <c r="B7" s="51" t="e">
        <f>'Invulblad CAO'!G14</f>
        <v>#REF!</v>
      </c>
      <c r="C7" s="51" t="e">
        <f>'Invulblad CAO'!H14</f>
        <v>#REF!</v>
      </c>
      <c r="D7" s="51" t="e">
        <f>'Invulblad CAO'!J14</f>
        <v>#REF!</v>
      </c>
      <c r="E7" s="51" t="e">
        <f>'Invulblad CAO'!K14</f>
        <v>#REF!</v>
      </c>
    </row>
    <row r="8" spans="1:5" x14ac:dyDescent="0.3">
      <c r="A8" s="347" t="s">
        <v>57</v>
      </c>
      <c r="B8" s="50" t="e">
        <f>B7*1878</f>
        <v>#REF!</v>
      </c>
      <c r="C8" s="50" t="e">
        <f t="shared" ref="C8:E8" si="0">C7*1878</f>
        <v>#REF!</v>
      </c>
      <c r="D8" s="50" t="e">
        <f t="shared" si="0"/>
        <v>#REF!</v>
      </c>
      <c r="E8" s="50" t="e">
        <f t="shared" si="0"/>
        <v>#REF!</v>
      </c>
    </row>
    <row r="9" spans="1:5" x14ac:dyDescent="0.3">
      <c r="A9" s="45"/>
    </row>
    <row r="10" spans="1:5" x14ac:dyDescent="0.3">
      <c r="A10" s="46" t="s">
        <v>167</v>
      </c>
    </row>
    <row r="11" spans="1:5" x14ac:dyDescent="0.3">
      <c r="A11" s="349" t="s">
        <v>168</v>
      </c>
      <c r="B11" s="29">
        <v>0.23499999999999999</v>
      </c>
      <c r="C11" s="29">
        <v>0.23499999999999999</v>
      </c>
      <c r="D11" s="29">
        <v>0.23499999999999999</v>
      </c>
      <c r="E11" s="29">
        <v>0.23499999999999999</v>
      </c>
    </row>
    <row r="12" spans="1:5" x14ac:dyDescent="0.3">
      <c r="A12" s="347" t="s">
        <v>169</v>
      </c>
      <c r="B12" s="49">
        <v>11829</v>
      </c>
      <c r="C12" s="49">
        <v>11829</v>
      </c>
      <c r="D12" s="49">
        <v>11829</v>
      </c>
      <c r="E12" s="49">
        <v>11829</v>
      </c>
    </row>
    <row r="13" spans="1:5" x14ac:dyDescent="0.3">
      <c r="A13" s="347" t="s">
        <v>170</v>
      </c>
      <c r="B13" s="50" t="e">
        <f>B8-B12</f>
        <v>#REF!</v>
      </c>
      <c r="C13" s="50" t="e">
        <f>C8-C12</f>
        <v>#REF!</v>
      </c>
      <c r="D13" s="50" t="e">
        <f>D8-D12</f>
        <v>#REF!</v>
      </c>
      <c r="E13" s="50" t="e">
        <f>E8-E12</f>
        <v>#REF!</v>
      </c>
    </row>
    <row r="14" spans="1:5" x14ac:dyDescent="0.3">
      <c r="A14" s="347" t="s">
        <v>171</v>
      </c>
      <c r="B14" s="50" t="e">
        <f>B13*B11</f>
        <v>#REF!</v>
      </c>
      <c r="C14" s="50" t="e">
        <f>C13*C11</f>
        <v>#REF!</v>
      </c>
      <c r="D14" s="50" t="e">
        <f>D13*D11</f>
        <v>#REF!</v>
      </c>
      <c r="E14" s="50" t="e">
        <f>E13*E11</f>
        <v>#REF!</v>
      </c>
    </row>
    <row r="15" spans="1:5" x14ac:dyDescent="0.3">
      <c r="A15" s="45"/>
    </row>
    <row r="16" spans="1:5" x14ac:dyDescent="0.3">
      <c r="A16" s="53" t="s">
        <v>172</v>
      </c>
      <c r="B16" s="54" t="e">
        <f>(B14/B8)*0.5</f>
        <v>#REF!</v>
      </c>
      <c r="C16" s="54" t="e">
        <f>(C14/C8)*0.5</f>
        <v>#REF!</v>
      </c>
      <c r="D16" s="54" t="e">
        <f>(D14/D8)*0.5</f>
        <v>#REF!</v>
      </c>
      <c r="E16" s="54" t="e">
        <f>(E14/E8)*0.5</f>
        <v>#REF!</v>
      </c>
    </row>
    <row r="17" spans="1:5" x14ac:dyDescent="0.3">
      <c r="A17" s="45"/>
    </row>
    <row r="18" spans="1:5" x14ac:dyDescent="0.3">
      <c r="A18" s="46" t="s">
        <v>173</v>
      </c>
    </row>
    <row r="19" spans="1:5" x14ac:dyDescent="0.3">
      <c r="A19" s="349" t="s">
        <v>168</v>
      </c>
      <c r="B19" s="28">
        <v>5.0000000000000001E-3</v>
      </c>
      <c r="C19" s="28">
        <v>5.0000000000000001E-3</v>
      </c>
      <c r="D19" s="28">
        <v>5.0000000000000001E-3</v>
      </c>
      <c r="E19" s="28">
        <v>5.0000000000000001E-3</v>
      </c>
    </row>
    <row r="20" spans="1:5" x14ac:dyDescent="0.3">
      <c r="A20" s="347" t="s">
        <v>174</v>
      </c>
      <c r="B20" s="49">
        <v>20108</v>
      </c>
      <c r="C20" s="49">
        <v>20108</v>
      </c>
      <c r="D20" s="49">
        <v>20108</v>
      </c>
      <c r="E20" s="49">
        <v>20108</v>
      </c>
    </row>
    <row r="21" spans="1:5" x14ac:dyDescent="0.3">
      <c r="A21" s="347" t="s">
        <v>170</v>
      </c>
      <c r="B21" s="50" t="e">
        <f>B8-B20</f>
        <v>#REF!</v>
      </c>
      <c r="C21" s="50" t="e">
        <f>C8-C20</f>
        <v>#REF!</v>
      </c>
      <c r="D21" s="50" t="e">
        <f>D8-D20</f>
        <v>#REF!</v>
      </c>
      <c r="E21" s="50" t="e">
        <f>E8-E20</f>
        <v>#REF!</v>
      </c>
    </row>
    <row r="22" spans="1:5" x14ac:dyDescent="0.3">
      <c r="A22" s="347" t="s">
        <v>171</v>
      </c>
      <c r="B22" s="49" t="e">
        <f>B19*B21</f>
        <v>#REF!</v>
      </c>
      <c r="C22" s="49" t="e">
        <f>C19*C21</f>
        <v>#REF!</v>
      </c>
      <c r="D22" s="49" t="e">
        <f>D19*D21</f>
        <v>#REF!</v>
      </c>
      <c r="E22" s="49" t="e">
        <f>E19*E21</f>
        <v>#REF!</v>
      </c>
    </row>
    <row r="23" spans="1:5" x14ac:dyDescent="0.3">
      <c r="A23" s="45"/>
    </row>
    <row r="24" spans="1:5" x14ac:dyDescent="0.3">
      <c r="A24" s="53" t="s">
        <v>175</v>
      </c>
      <c r="B24" s="54" t="e">
        <f>(B22/B8)*0.5</f>
        <v>#REF!</v>
      </c>
      <c r="C24" s="54" t="e">
        <f>(C22/C8)*0.5</f>
        <v>#REF!</v>
      </c>
      <c r="D24" s="54" t="e">
        <f>(D22/D8)*0.5</f>
        <v>#REF!</v>
      </c>
      <c r="E24" s="54" t="e">
        <f>(E22/E8)*0.5</f>
        <v>#REF!</v>
      </c>
    </row>
    <row r="25" spans="1:5" x14ac:dyDescent="0.3">
      <c r="A25" s="45"/>
    </row>
    <row r="26" spans="1:5" x14ac:dyDescent="0.3">
      <c r="A26" s="47" t="s">
        <v>176</v>
      </c>
      <c r="B26" s="48" t="e">
        <f>B16+B24</f>
        <v>#REF!</v>
      </c>
      <c r="C26" s="48" t="e">
        <f t="shared" ref="C26:E26" si="1">C16+C24</f>
        <v>#REF!</v>
      </c>
      <c r="D26" s="48" t="e">
        <f t="shared" si="1"/>
        <v>#REF!</v>
      </c>
      <c r="E26" s="48" t="e">
        <f t="shared" si="1"/>
        <v>#REF!</v>
      </c>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4A62C-7737-4F09-8341-3ACBD21EA396}">
  <sheetPr codeName="Sheet3">
    <tabColor rgb="FF00B0F0"/>
    <pageSetUpPr fitToPage="1"/>
  </sheetPr>
  <dimension ref="A2:U78"/>
  <sheetViews>
    <sheetView zoomScale="80" zoomScaleNormal="80" workbookViewId="0">
      <pane ySplit="5" topLeftCell="A6" activePane="bottomLeft" state="frozen"/>
      <selection activeCell="F16" sqref="F16"/>
      <selection pane="bottomLeft" activeCell="F16" sqref="F16"/>
    </sheetView>
  </sheetViews>
  <sheetFormatPr defaultColWidth="10.5" defaultRowHeight="15.6" x14ac:dyDescent="0.3"/>
  <cols>
    <col min="1" max="1" width="72.8984375" style="5" bestFit="1" customWidth="1"/>
    <col min="2" max="2" width="0.5" style="6" customWidth="1"/>
    <col min="3" max="3" width="14" style="6" hidden="1" customWidth="1"/>
    <col min="4"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customWidth="1"/>
    <col min="13" max="13" width="13.09765625" style="6" customWidth="1"/>
    <col min="14" max="14" width="13.59765625" style="6" customWidth="1"/>
    <col min="15" max="15" width="14.8984375" style="6" customWidth="1"/>
    <col min="16" max="16" width="13.5" style="6" customWidth="1"/>
    <col min="17" max="17" width="13" style="6" customWidth="1"/>
    <col min="18" max="18" width="1.3984375" style="5" customWidth="1"/>
    <col min="19" max="19" width="33" style="5" customWidth="1"/>
    <col min="20" max="20" width="4.5" style="5"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ht="18" x14ac:dyDescent="0.35">
      <c r="A4" s="354" t="s">
        <v>184</v>
      </c>
      <c r="B4" s="353"/>
      <c r="C4" s="353"/>
      <c r="D4" s="353"/>
      <c r="E4" s="353"/>
      <c r="F4" s="353"/>
    </row>
    <row r="5" spans="1:21" s="18" customFormat="1" ht="18" x14ac:dyDescent="0.35">
      <c r="A5" s="352" t="s">
        <v>185</v>
      </c>
      <c r="B5" s="93"/>
      <c r="C5" s="93"/>
      <c r="D5" s="93"/>
      <c r="E5" s="93"/>
      <c r="F5" s="502"/>
      <c r="G5" s="502"/>
      <c r="H5" s="502"/>
      <c r="I5" s="502"/>
      <c r="J5" s="502"/>
      <c r="K5" s="502"/>
      <c r="L5" s="502"/>
      <c r="M5" s="502"/>
      <c r="N5" s="119"/>
      <c r="O5" s="119"/>
      <c r="P5" s="92"/>
      <c r="Q5" s="92"/>
      <c r="R5" s="39"/>
    </row>
    <row r="6" spans="1:21" s="18" customFormat="1" ht="18" x14ac:dyDescent="0.35">
      <c r="A6" s="352" t="s">
        <v>192</v>
      </c>
      <c r="B6" s="93"/>
      <c r="C6" s="93"/>
      <c r="D6" s="93"/>
      <c r="E6" s="93"/>
      <c r="F6" s="355"/>
      <c r="G6" s="355"/>
      <c r="H6" s="351"/>
      <c r="I6" s="351"/>
      <c r="J6" s="351"/>
      <c r="K6" s="351"/>
      <c r="L6" s="351"/>
      <c r="M6" s="351"/>
      <c r="N6" s="119"/>
      <c r="O6" s="119"/>
      <c r="P6" s="92"/>
      <c r="Q6" s="92"/>
      <c r="R6" s="39"/>
    </row>
    <row r="7" spans="1:21" ht="16.2" thickBot="1" x14ac:dyDescent="0.35">
      <c r="A7" s="106"/>
      <c r="B7" s="107"/>
      <c r="C7" s="107"/>
      <c r="D7" s="107"/>
      <c r="E7" s="107"/>
      <c r="F7" s="139"/>
      <c r="G7" s="319"/>
      <c r="H7" s="132"/>
      <c r="I7" s="132"/>
      <c r="J7" s="132"/>
      <c r="K7" s="132"/>
      <c r="L7" s="132"/>
      <c r="M7" s="132"/>
      <c r="N7" s="132"/>
      <c r="O7" s="132"/>
      <c r="P7" s="132"/>
      <c r="Q7" s="132"/>
      <c r="R7" s="83"/>
    </row>
    <row r="8" spans="1:21" ht="24.9" customHeight="1" thickBot="1" x14ac:dyDescent="0.35">
      <c r="A8" s="95" t="s">
        <v>28</v>
      </c>
      <c r="B8" s="88"/>
      <c r="C8" s="86" t="s">
        <v>29</v>
      </c>
      <c r="D8" s="88"/>
      <c r="E8" s="88"/>
      <c r="F8" s="492" t="str">
        <f>'Algemene kostprijsfactoren'!C4</f>
        <v>Cao_GGZ</v>
      </c>
      <c r="G8" s="493"/>
      <c r="H8" s="492" t="str">
        <f>F8</f>
        <v>Cao_GGZ</v>
      </c>
      <c r="I8" s="493"/>
      <c r="J8" s="492" t="str">
        <f>F8</f>
        <v>Cao_GGZ</v>
      </c>
      <c r="K8" s="493"/>
      <c r="L8" s="492" t="str">
        <f>F8</f>
        <v>Cao_GGZ</v>
      </c>
      <c r="M8" s="493"/>
      <c r="N8" s="492" t="str">
        <f>F8</f>
        <v>Cao_GGZ</v>
      </c>
      <c r="O8" s="493"/>
      <c r="P8" s="492" t="str">
        <f>F8</f>
        <v>Cao_GGZ</v>
      </c>
      <c r="Q8" s="493"/>
      <c r="R8" s="89"/>
      <c r="U8"/>
    </row>
    <row r="9" spans="1:21" ht="16.2" thickBot="1" x14ac:dyDescent="0.35">
      <c r="A9" s="96" t="s">
        <v>30</v>
      </c>
      <c r="B9" s="87"/>
      <c r="C9" s="87"/>
      <c r="D9" s="87"/>
      <c r="E9" s="87"/>
      <c r="F9" s="87"/>
      <c r="G9" s="114"/>
      <c r="H9" s="116"/>
      <c r="I9" s="114"/>
      <c r="J9" s="116"/>
      <c r="K9" s="114"/>
      <c r="L9" s="87"/>
      <c r="M9" s="87"/>
      <c r="N9" s="116"/>
      <c r="O9" s="114"/>
      <c r="P9" s="116"/>
      <c r="Q9" s="114"/>
      <c r="R9" s="1"/>
      <c r="S9" s="193" t="s">
        <v>8</v>
      </c>
    </row>
    <row r="10" spans="1:21" ht="15.9" customHeight="1" thickBot="1" x14ac:dyDescent="0.35">
      <c r="A10" s="97" t="s">
        <v>201</v>
      </c>
      <c r="B10" s="156"/>
      <c r="C10" s="99"/>
      <c r="D10" s="156"/>
      <c r="E10" s="156"/>
      <c r="F10" s="334" t="s">
        <v>210</v>
      </c>
      <c r="G10" s="335"/>
      <c r="H10" s="334" t="s">
        <v>210</v>
      </c>
      <c r="I10" s="335"/>
      <c r="J10" s="334" t="s">
        <v>210</v>
      </c>
      <c r="K10" s="335"/>
      <c r="L10" s="334" t="s">
        <v>210</v>
      </c>
      <c r="M10" s="335"/>
      <c r="N10" s="334" t="s">
        <v>210</v>
      </c>
      <c r="O10" s="335"/>
      <c r="P10" s="334" t="s">
        <v>210</v>
      </c>
      <c r="Q10" s="335"/>
      <c r="R10" s="82"/>
      <c r="S10" s="325"/>
      <c r="T10" s="133"/>
    </row>
    <row r="11" spans="1:21" ht="15.9" customHeight="1" x14ac:dyDescent="0.3">
      <c r="A11" s="97" t="s">
        <v>71</v>
      </c>
      <c r="B11" s="156"/>
      <c r="C11" s="99"/>
      <c r="D11" s="156"/>
      <c r="E11" s="156"/>
      <c r="F11" s="158"/>
      <c r="G11" s="160">
        <f>G10/156.5</f>
        <v>0</v>
      </c>
      <c r="H11" s="158"/>
      <c r="I11" s="160">
        <f>I10/156.5</f>
        <v>0</v>
      </c>
      <c r="J11" s="158"/>
      <c r="K11" s="160">
        <f>K10/156.5</f>
        <v>0</v>
      </c>
      <c r="L11" s="158"/>
      <c r="M11" s="160">
        <f>M10/156.5</f>
        <v>0</v>
      </c>
      <c r="N11" s="158"/>
      <c r="O11" s="160">
        <f>O10/156.5</f>
        <v>0</v>
      </c>
      <c r="P11" s="158"/>
      <c r="Q11" s="160">
        <f>Q10/156.5</f>
        <v>0</v>
      </c>
      <c r="R11" s="82"/>
      <c r="S11" s="133"/>
      <c r="T11" s="133"/>
    </row>
    <row r="12" spans="1:21" ht="15.9" customHeight="1" x14ac:dyDescent="0.3">
      <c r="A12" s="94" t="s">
        <v>4</v>
      </c>
      <c r="B12" s="156"/>
      <c r="C12" s="99" t="s">
        <v>31</v>
      </c>
      <c r="D12" s="156"/>
      <c r="E12" s="156"/>
      <c r="F12" s="158">
        <f>IF(F8&lt;&gt;"",8%,"")</f>
        <v>0.08</v>
      </c>
      <c r="G12" s="157">
        <f>MAX(1.07,F12*G11)</f>
        <v>1.07</v>
      </c>
      <c r="H12" s="158">
        <f>IF(H8&lt;&gt;"",8%,"")</f>
        <v>0.08</v>
      </c>
      <c r="I12" s="157">
        <f>MAX(1.07,H12*I11)</f>
        <v>1.07</v>
      </c>
      <c r="J12" s="158">
        <f>IF(J8&lt;&gt;"",8%,"")</f>
        <v>0.08</v>
      </c>
      <c r="K12" s="157">
        <f>MAX(1.07,J12*K11)</f>
        <v>1.07</v>
      </c>
      <c r="L12" s="158">
        <f>IF(L8&lt;&gt;"",8%,"")</f>
        <v>0.08</v>
      </c>
      <c r="M12" s="157">
        <f>MAX(1.07,L12*M11)</f>
        <v>1.07</v>
      </c>
      <c r="N12" s="158">
        <f>IF(N8&lt;&gt;"",8%,"")</f>
        <v>0.08</v>
      </c>
      <c r="O12" s="157">
        <f>MAX(1.07,N12*O11)</f>
        <v>1.07</v>
      </c>
      <c r="P12" s="158">
        <f>IF(P8&lt;&gt;"",8%,"")</f>
        <v>0.08</v>
      </c>
      <c r="Q12" s="157">
        <f>MAX(1.07,P12*Q11)</f>
        <v>1.07</v>
      </c>
      <c r="R12" s="83"/>
      <c r="S12" s="315"/>
      <c r="T12" s="134"/>
    </row>
    <row r="13" spans="1:21" ht="15.9" customHeight="1" x14ac:dyDescent="0.3">
      <c r="A13" s="111" t="s">
        <v>32</v>
      </c>
      <c r="B13" s="156"/>
      <c r="C13" s="99"/>
      <c r="D13" s="156"/>
      <c r="E13" s="156"/>
      <c r="F13" s="158"/>
      <c r="G13" s="160">
        <f>G11+G12</f>
        <v>1.07</v>
      </c>
      <c r="H13" s="158"/>
      <c r="I13" s="160">
        <f>I11+I12</f>
        <v>1.07</v>
      </c>
      <c r="J13" s="158"/>
      <c r="K13" s="160">
        <f>K11+K12</f>
        <v>1.07</v>
      </c>
      <c r="L13" s="158"/>
      <c r="M13" s="160">
        <f>M11+M12</f>
        <v>1.07</v>
      </c>
      <c r="N13" s="158"/>
      <c r="O13" s="160">
        <f>O11+O12</f>
        <v>1.07</v>
      </c>
      <c r="P13" s="158"/>
      <c r="Q13" s="160">
        <f>Q11+Q12</f>
        <v>1.07</v>
      </c>
      <c r="R13" s="83"/>
      <c r="S13" s="315"/>
      <c r="T13" s="134"/>
    </row>
    <row r="14" spans="1:21" ht="15.9" customHeight="1" thickBot="1" x14ac:dyDescent="0.35">
      <c r="A14" s="94" t="s">
        <v>33</v>
      </c>
      <c r="B14" s="156"/>
      <c r="C14" s="99" t="s">
        <v>31</v>
      </c>
      <c r="D14" s="156"/>
      <c r="E14" s="156"/>
      <c r="F14" s="161">
        <f>VLOOKUP(F$8,Toelichting!$A$28:$B$31,2,TRUE)</f>
        <v>8.3299999999999999E-2</v>
      </c>
      <c r="G14" s="159">
        <f>MAX(1.14,F14*G11)</f>
        <v>1.1399999999999999</v>
      </c>
      <c r="H14" s="161">
        <f>VLOOKUP(H$8,Toelichting!$A$28:$B$31,2,TRUE)</f>
        <v>8.3299999999999999E-2</v>
      </c>
      <c r="I14" s="159">
        <f>MAX(1.14,H14*I11)</f>
        <v>1.1399999999999999</v>
      </c>
      <c r="J14" s="161">
        <f>VLOOKUP(J$8,Toelichting!$A$28:$B$31,2,TRUE)</f>
        <v>8.3299999999999999E-2</v>
      </c>
      <c r="K14" s="159">
        <f>MAX(1.14,J14*K11)</f>
        <v>1.1399999999999999</v>
      </c>
      <c r="L14" s="161">
        <f>VLOOKUP(L$8,Toelichting!$A$28:$B$31,2,TRUE)</f>
        <v>8.3299999999999999E-2</v>
      </c>
      <c r="M14" s="159">
        <f>MAX(1.14,L14*M11)</f>
        <v>1.1399999999999999</v>
      </c>
      <c r="N14" s="161">
        <f>VLOOKUP(N$8,Toelichting!$A$28:$B$31,2,TRUE)</f>
        <v>8.3299999999999999E-2</v>
      </c>
      <c r="O14" s="159">
        <f>MAX(1.14,N14*O11)</f>
        <v>1.1399999999999999</v>
      </c>
      <c r="P14" s="161">
        <f>VLOOKUP(P$8,Toelichting!$A$28:$B$31,2,TRUE)</f>
        <v>8.3299999999999999E-2</v>
      </c>
      <c r="Q14" s="159">
        <f>MAX(1.14,P14*Q11)</f>
        <v>1.1399999999999999</v>
      </c>
      <c r="R14" s="83"/>
      <c r="S14" s="315"/>
      <c r="T14" s="134"/>
    </row>
    <row r="15" spans="1:21" ht="16.2" thickBot="1" x14ac:dyDescent="0.35">
      <c r="A15" s="97" t="s">
        <v>216</v>
      </c>
      <c r="B15" s="156"/>
      <c r="C15" s="99"/>
      <c r="D15" s="156"/>
      <c r="E15" s="156"/>
      <c r="F15" s="345">
        <v>0</v>
      </c>
      <c r="G15" s="378">
        <f>F15*G11</f>
        <v>0</v>
      </c>
      <c r="H15" s="345">
        <v>0</v>
      </c>
      <c r="I15" s="378">
        <f>H15*I11</f>
        <v>0</v>
      </c>
      <c r="J15" s="345">
        <v>0</v>
      </c>
      <c r="K15" s="378">
        <f>J15*K11</f>
        <v>0</v>
      </c>
      <c r="L15" s="345">
        <v>0</v>
      </c>
      <c r="M15" s="378">
        <f>L15*M11</f>
        <v>0</v>
      </c>
      <c r="N15" s="345">
        <v>0</v>
      </c>
      <c r="O15" s="378">
        <f>N15*O11</f>
        <v>0</v>
      </c>
      <c r="P15" s="345">
        <v>0</v>
      </c>
      <c r="Q15" s="320">
        <f>P15*Q11</f>
        <v>0</v>
      </c>
      <c r="R15" s="82"/>
      <c r="S15" s="316"/>
    </row>
    <row r="16" spans="1:21" x14ac:dyDescent="0.3">
      <c r="A16" s="108" t="s">
        <v>35</v>
      </c>
      <c r="B16" s="126"/>
      <c r="C16" s="98"/>
      <c r="D16" s="126"/>
      <c r="E16" s="135">
        <f>SUM(E$12:E$14)</f>
        <v>0</v>
      </c>
      <c r="F16" s="271"/>
      <c r="G16" s="272">
        <f>SUM(G$13:G$15)</f>
        <v>2.21</v>
      </c>
      <c r="H16" s="273"/>
      <c r="I16" s="272">
        <f>SUM(I$13:I$15)</f>
        <v>2.21</v>
      </c>
      <c r="J16" s="273"/>
      <c r="K16" s="272">
        <f>SUM(K$13:K$15)</f>
        <v>2.21</v>
      </c>
      <c r="L16" s="274"/>
      <c r="M16" s="272">
        <f>SUM(M$13:M$15)</f>
        <v>2.21</v>
      </c>
      <c r="N16" s="275"/>
      <c r="O16" s="272">
        <f>SUM(O$13:O$15)</f>
        <v>2.21</v>
      </c>
      <c r="P16" s="274"/>
      <c r="Q16" s="272">
        <f>SUM(Q$13:Q$15)</f>
        <v>2.21</v>
      </c>
      <c r="R16" s="136"/>
      <c r="S16" s="317"/>
      <c r="T16" s="133"/>
    </row>
    <row r="17" spans="1:20" x14ac:dyDescent="0.3">
      <c r="A17" s="144" t="s">
        <v>36</v>
      </c>
      <c r="B17" s="126"/>
      <c r="C17" s="98"/>
      <c r="D17" s="126"/>
      <c r="E17" s="135"/>
      <c r="F17" s="276">
        <f>$F$58</f>
        <v>0.19260000000000002</v>
      </c>
      <c r="G17" s="277"/>
      <c r="H17" s="276">
        <f>$F$58</f>
        <v>0.19260000000000002</v>
      </c>
      <c r="I17" s="277"/>
      <c r="J17" s="276">
        <f>$F$58</f>
        <v>0.19260000000000002</v>
      </c>
      <c r="K17" s="277"/>
      <c r="L17" s="276">
        <f>$F$58</f>
        <v>0.19260000000000002</v>
      </c>
      <c r="M17" s="277"/>
      <c r="N17" s="276">
        <f>$F$58</f>
        <v>0.19260000000000002</v>
      </c>
      <c r="O17" s="163"/>
      <c r="P17" s="276">
        <f>$F$58</f>
        <v>0.19260000000000002</v>
      </c>
      <c r="Q17" s="277"/>
      <c r="R17" s="143"/>
      <c r="S17" s="327" t="s">
        <v>37</v>
      </c>
      <c r="T17" s="133"/>
    </row>
    <row r="18" spans="1:20" x14ac:dyDescent="0.3">
      <c r="A18" s="144" t="s">
        <v>38</v>
      </c>
      <c r="B18" s="126"/>
      <c r="C18" s="98"/>
      <c r="D18" s="126"/>
      <c r="E18" s="135"/>
      <c r="F18" s="276">
        <f>G46</f>
        <v>-0.38866223815650608</v>
      </c>
      <c r="G18" s="277"/>
      <c r="H18" s="276">
        <f>H46</f>
        <v>-0.38866223815650608</v>
      </c>
      <c r="I18" s="277"/>
      <c r="J18" s="276">
        <f>I46</f>
        <v>-0.38866223815650608</v>
      </c>
      <c r="K18" s="277"/>
      <c r="L18" s="276">
        <f>J46</f>
        <v>-0.38866223815650608</v>
      </c>
      <c r="M18" s="277"/>
      <c r="N18" s="276">
        <f>K46</f>
        <v>-0.38866223815650608</v>
      </c>
      <c r="O18" s="163"/>
      <c r="P18" s="276">
        <f>L46</f>
        <v>-0.38866223815650608</v>
      </c>
      <c r="Q18" s="277"/>
      <c r="R18" s="143"/>
      <c r="S18" s="317"/>
      <c r="T18" s="133"/>
    </row>
    <row r="19" spans="1:20" x14ac:dyDescent="0.3">
      <c r="A19" s="144" t="s">
        <v>39</v>
      </c>
      <c r="B19" s="126"/>
      <c r="C19" s="98"/>
      <c r="D19" s="126"/>
      <c r="E19" s="135"/>
      <c r="F19" s="276">
        <f>G50</f>
        <v>-1.460987909540813E-2</v>
      </c>
      <c r="G19" s="277"/>
      <c r="H19" s="276">
        <f>H50</f>
        <v>-1.460987909540813E-2</v>
      </c>
      <c r="I19" s="277"/>
      <c r="J19" s="276">
        <f>I50</f>
        <v>-1.460987909540813E-2</v>
      </c>
      <c r="K19" s="277"/>
      <c r="L19" s="276">
        <f>J50</f>
        <v>-1.460987909540813E-2</v>
      </c>
      <c r="M19" s="277"/>
      <c r="N19" s="276">
        <f>K50</f>
        <v>-1.460987909540813E-2</v>
      </c>
      <c r="O19" s="163"/>
      <c r="P19" s="276">
        <f>L50</f>
        <v>-1.460987909540813E-2</v>
      </c>
      <c r="Q19" s="277"/>
      <c r="R19" s="143"/>
      <c r="S19" s="317"/>
      <c r="T19" s="133"/>
    </row>
    <row r="20" spans="1:20" x14ac:dyDescent="0.3">
      <c r="A20" s="109" t="s">
        <v>40</v>
      </c>
      <c r="B20" s="126"/>
      <c r="C20" s="98"/>
      <c r="D20" s="126"/>
      <c r="E20" s="126"/>
      <c r="F20" s="278">
        <f>F17+F18+F19</f>
        <v>-0.21067211725191418</v>
      </c>
      <c r="G20" s="279">
        <f>F20*G16</f>
        <v>-0.46558537912673031</v>
      </c>
      <c r="H20" s="278">
        <f>H17+H18+H19</f>
        <v>-0.21067211725191418</v>
      </c>
      <c r="I20" s="279">
        <f>H20*I16</f>
        <v>-0.46558537912673031</v>
      </c>
      <c r="J20" s="278">
        <f>J17+J18+J19</f>
        <v>-0.21067211725191418</v>
      </c>
      <c r="K20" s="279">
        <f>J20*K16</f>
        <v>-0.46558537912673031</v>
      </c>
      <c r="L20" s="278">
        <f>L17+L18+L19</f>
        <v>-0.21067211725191418</v>
      </c>
      <c r="M20" s="279">
        <f>L20*M16</f>
        <v>-0.46558537912673031</v>
      </c>
      <c r="N20" s="280">
        <f>N17+N18+N19</f>
        <v>-0.21067211725191418</v>
      </c>
      <c r="O20" s="281">
        <f>N20*O16</f>
        <v>-0.46558537912673031</v>
      </c>
      <c r="P20" s="278">
        <f>P17+P18+P19</f>
        <v>-0.21067211725191418</v>
      </c>
      <c r="Q20" s="279">
        <f>P20*Q16</f>
        <v>-0.46558537912673031</v>
      </c>
      <c r="R20" s="137"/>
      <c r="S20" s="327" t="s">
        <v>37</v>
      </c>
      <c r="T20" s="133"/>
    </row>
    <row r="21" spans="1:20" x14ac:dyDescent="0.3">
      <c r="A21" s="110" t="s">
        <v>41</v>
      </c>
      <c r="B21" s="126"/>
      <c r="C21" s="98"/>
      <c r="D21" s="126"/>
      <c r="E21" s="126"/>
      <c r="F21" s="282"/>
      <c r="G21" s="283">
        <f>G16+G20</f>
        <v>1.7444146208732696</v>
      </c>
      <c r="H21" s="284"/>
      <c r="I21" s="283">
        <f>I16+I20</f>
        <v>1.7444146208732696</v>
      </c>
      <c r="J21" s="284"/>
      <c r="K21" s="283">
        <f>K16+K20</f>
        <v>1.7444146208732696</v>
      </c>
      <c r="L21" s="285"/>
      <c r="M21" s="283">
        <f>M16+M20</f>
        <v>1.7444146208732696</v>
      </c>
      <c r="N21" s="286"/>
      <c r="O21" s="287">
        <f>O16+O20</f>
        <v>1.7444146208732696</v>
      </c>
      <c r="P21" s="285"/>
      <c r="Q21" s="283">
        <f>Q16+Q20</f>
        <v>1.7444146208732696</v>
      </c>
      <c r="R21" s="346"/>
      <c r="S21" s="316"/>
    </row>
    <row r="22" spans="1:20" ht="16.2" thickBot="1" x14ac:dyDescent="0.35">
      <c r="A22" s="96" t="s">
        <v>42</v>
      </c>
      <c r="B22" s="87"/>
      <c r="C22" s="125"/>
      <c r="D22" s="87"/>
      <c r="E22" s="87"/>
      <c r="F22" s="87"/>
      <c r="G22" s="114"/>
      <c r="H22" s="116"/>
      <c r="I22" s="114"/>
      <c r="J22" s="116"/>
      <c r="K22" s="114"/>
      <c r="L22" s="87"/>
      <c r="M22" s="87"/>
      <c r="N22" s="116"/>
      <c r="O22" s="114"/>
      <c r="P22" s="116"/>
      <c r="Q22" s="114"/>
      <c r="R22" s="1"/>
      <c r="S22" s="316"/>
    </row>
    <row r="23" spans="1:20" ht="16.2" thickBot="1" x14ac:dyDescent="0.35">
      <c r="A23" s="105" t="s">
        <v>43</v>
      </c>
      <c r="B23" s="156"/>
      <c r="C23" s="99"/>
      <c r="D23" s="156"/>
      <c r="E23" s="156"/>
      <c r="F23" s="244">
        <f>G69</f>
        <v>0.69348892438764642</v>
      </c>
      <c r="G23" s="247">
        <f>G21/F23</f>
        <v>2.5154181408356231</v>
      </c>
      <c r="H23" s="164">
        <f>F23</f>
        <v>0.69348892438764642</v>
      </c>
      <c r="I23" s="165">
        <f>I21/H23</f>
        <v>2.5154181408356231</v>
      </c>
      <c r="J23" s="164">
        <f>F23</f>
        <v>0.69348892438764642</v>
      </c>
      <c r="K23" s="165">
        <f>K21/J23</f>
        <v>2.5154181408356231</v>
      </c>
      <c r="L23" s="164">
        <f>F23</f>
        <v>0.69348892438764642</v>
      </c>
      <c r="M23" s="165">
        <f>M21/L23</f>
        <v>2.5154181408356231</v>
      </c>
      <c r="N23" s="166">
        <f>F23</f>
        <v>0.69348892438764642</v>
      </c>
      <c r="O23" s="165">
        <f>O21/N23</f>
        <v>2.5154181408356231</v>
      </c>
      <c r="P23" s="166">
        <f>F23</f>
        <v>0.69348892438764642</v>
      </c>
      <c r="Q23" s="165">
        <f>Q21/P23</f>
        <v>2.5154181408356231</v>
      </c>
      <c r="R23" s="82"/>
      <c r="S23" s="316" t="s">
        <v>44</v>
      </c>
    </row>
    <row r="24" spans="1:20" ht="16.2" thickBot="1" x14ac:dyDescent="0.35">
      <c r="A24" s="94" t="s">
        <v>45</v>
      </c>
      <c r="B24" s="156"/>
      <c r="C24" s="99"/>
      <c r="D24" s="156"/>
      <c r="E24" s="156"/>
      <c r="F24" s="164"/>
      <c r="G24" s="372">
        <f>IF('Algemene kostprijsfactoren'!$F$34&lt;&gt;"",'Algemene kostprijsfactoren'!$F$34,'Algemene kostprijsfactoren'!$D$34)</f>
        <v>0.253</v>
      </c>
      <c r="H24" s="164"/>
      <c r="I24" s="288">
        <f>G24</f>
        <v>0.253</v>
      </c>
      <c r="J24" s="232"/>
      <c r="K24" s="288">
        <f>G24</f>
        <v>0.253</v>
      </c>
      <c r="L24" s="232"/>
      <c r="M24" s="288">
        <f>G24</f>
        <v>0.253</v>
      </c>
      <c r="N24" s="233"/>
      <c r="O24" s="288">
        <f>G24</f>
        <v>0.253</v>
      </c>
      <c r="P24" s="233"/>
      <c r="Q24" s="288">
        <f>G24</f>
        <v>0.253</v>
      </c>
      <c r="R24" s="82"/>
      <c r="S24" s="316"/>
    </row>
    <row r="25" spans="1:20" x14ac:dyDescent="0.3">
      <c r="A25" s="105"/>
      <c r="B25" s="167"/>
      <c r="C25" s="98"/>
      <c r="D25" s="167"/>
      <c r="E25" s="167"/>
      <c r="F25" s="168"/>
      <c r="G25" s="248"/>
      <c r="H25" s="170"/>
      <c r="I25" s="169"/>
      <c r="J25" s="170"/>
      <c r="K25" s="169"/>
      <c r="L25" s="171"/>
      <c r="M25" s="169"/>
      <c r="N25" s="170"/>
      <c r="O25" s="169"/>
      <c r="P25" s="170"/>
      <c r="Q25" s="169"/>
      <c r="R25" s="1"/>
      <c r="S25" s="316"/>
    </row>
    <row r="26" spans="1:20" ht="18.899999999999999" customHeight="1" x14ac:dyDescent="0.3">
      <c r="A26" s="129" t="s">
        <v>46</v>
      </c>
      <c r="B26" s="130"/>
      <c r="C26" s="131"/>
      <c r="D26" s="130"/>
      <c r="E26" s="130"/>
      <c r="F26" s="138"/>
      <c r="G26" s="290">
        <f>G23+G24</f>
        <v>2.7684181408356232</v>
      </c>
      <c r="H26" s="289"/>
      <c r="I26" s="290">
        <f>I23+I24</f>
        <v>2.7684181408356232</v>
      </c>
      <c r="J26" s="289"/>
      <c r="K26" s="290">
        <f>K23+K24</f>
        <v>2.7684181408356232</v>
      </c>
      <c r="L26" s="291"/>
      <c r="M26" s="290">
        <f>M23+M24</f>
        <v>2.7684181408356232</v>
      </c>
      <c r="N26" s="292"/>
      <c r="O26" s="290">
        <f>O23+O24</f>
        <v>2.7684181408356232</v>
      </c>
      <c r="P26" s="289"/>
      <c r="Q26" s="290">
        <f>Q23+Q24</f>
        <v>2.7684181408356232</v>
      </c>
      <c r="R26" s="1"/>
      <c r="S26" s="316"/>
    </row>
    <row r="27" spans="1:20" ht="18" customHeight="1" x14ac:dyDescent="0.3">
      <c r="A27" s="104"/>
      <c r="B27" s="87"/>
      <c r="C27" s="99"/>
      <c r="D27" s="87"/>
      <c r="E27" s="87"/>
      <c r="F27" s="139"/>
      <c r="G27" s="115"/>
      <c r="H27" s="117"/>
      <c r="I27" s="118"/>
      <c r="J27" s="117"/>
      <c r="K27" s="118"/>
      <c r="L27" s="112"/>
      <c r="M27" s="113"/>
      <c r="N27" s="117"/>
      <c r="O27" s="118"/>
      <c r="P27" s="117"/>
      <c r="Q27" s="118"/>
      <c r="R27" s="1"/>
      <c r="S27" s="316"/>
    </row>
    <row r="28" spans="1:20" ht="16.2" thickBot="1" x14ac:dyDescent="0.35">
      <c r="A28" s="96" t="s">
        <v>47</v>
      </c>
      <c r="B28" s="87"/>
      <c r="C28" s="125"/>
      <c r="D28" s="87"/>
      <c r="E28" s="87"/>
      <c r="F28" s="87"/>
      <c r="G28" s="114"/>
      <c r="H28" s="116"/>
      <c r="I28" s="114"/>
      <c r="J28" s="116"/>
      <c r="K28" s="114"/>
      <c r="L28" s="87"/>
      <c r="M28" s="87"/>
      <c r="N28" s="116"/>
      <c r="O28" s="114"/>
      <c r="P28" s="116"/>
      <c r="Q28" s="114"/>
      <c r="R28" s="1"/>
      <c r="S28" s="316"/>
    </row>
    <row r="29" spans="1:20" ht="16.2" thickBot="1" x14ac:dyDescent="0.35">
      <c r="A29" s="111" t="s">
        <v>213</v>
      </c>
      <c r="B29" s="100"/>
      <c r="C29" s="99"/>
      <c r="D29" s="100"/>
      <c r="E29" s="100"/>
      <c r="F29" s="244">
        <f>IF('Algemene kostprijsfactoren'!$F$33&lt;&gt;"",'Algemene kostprijsfactoren'!$F$33,'Algemene kostprijsfactoren'!$D$33)</f>
        <v>0.248</v>
      </c>
      <c r="G29" s="245">
        <f>F29*G26</f>
        <v>0.68656769892723457</v>
      </c>
      <c r="H29" s="293">
        <f>F29</f>
        <v>0.248</v>
      </c>
      <c r="I29" s="172">
        <f>H29*I26</f>
        <v>0.68656769892723457</v>
      </c>
      <c r="J29" s="294">
        <f>F29</f>
        <v>0.248</v>
      </c>
      <c r="K29" s="172">
        <f>J29*K26</f>
        <v>0.68656769892723457</v>
      </c>
      <c r="L29" s="294">
        <f>F29</f>
        <v>0.248</v>
      </c>
      <c r="M29" s="173">
        <f>L29*M26</f>
        <v>0.68656769892723457</v>
      </c>
      <c r="N29" s="295">
        <f>F29</f>
        <v>0.248</v>
      </c>
      <c r="O29" s="296">
        <f>N29*O26</f>
        <v>0.68656769892723457</v>
      </c>
      <c r="P29" s="297">
        <f>F29</f>
        <v>0.248</v>
      </c>
      <c r="Q29" s="172">
        <f>P29*Q26</f>
        <v>0.68656769892723457</v>
      </c>
      <c r="R29" s="1"/>
      <c r="S29" s="316" t="s">
        <v>48</v>
      </c>
    </row>
    <row r="30" spans="1:20" x14ac:dyDescent="0.3">
      <c r="A30" s="127"/>
      <c r="B30" s="100"/>
      <c r="C30" s="99"/>
      <c r="D30" s="100"/>
      <c r="E30" s="100"/>
      <c r="F30" s="246"/>
      <c r="G30" s="175"/>
      <c r="H30" s="176"/>
      <c r="I30" s="177"/>
      <c r="J30" s="174"/>
      <c r="K30" s="177"/>
      <c r="L30" s="174"/>
      <c r="M30" s="178"/>
      <c r="N30" s="298"/>
      <c r="O30" s="299"/>
      <c r="P30" s="179"/>
      <c r="Q30" s="177"/>
      <c r="R30" s="1"/>
      <c r="S30" s="316"/>
    </row>
    <row r="31" spans="1:20" ht="16.2" thickBot="1" x14ac:dyDescent="0.35">
      <c r="A31" s="96" t="s">
        <v>49</v>
      </c>
      <c r="B31" s="100"/>
      <c r="C31" s="87"/>
      <c r="D31" s="100"/>
      <c r="E31" s="100"/>
      <c r="F31" s="180"/>
      <c r="G31" s="181"/>
      <c r="H31" s="182"/>
      <c r="I31" s="183"/>
      <c r="J31" s="180"/>
      <c r="K31" s="183"/>
      <c r="L31" s="180"/>
      <c r="M31" s="184"/>
      <c r="N31" s="300"/>
      <c r="O31" s="301"/>
      <c r="P31" s="185"/>
      <c r="Q31" s="183"/>
      <c r="R31" s="1"/>
      <c r="S31" s="316"/>
    </row>
    <row r="32" spans="1:20" ht="16.2" thickBot="1" x14ac:dyDescent="0.35">
      <c r="A32" s="121" t="s">
        <v>50</v>
      </c>
      <c r="B32" s="87"/>
      <c r="C32" s="87"/>
      <c r="D32" s="87"/>
      <c r="E32" s="87"/>
      <c r="F32" s="250">
        <v>0.02</v>
      </c>
      <c r="G32" s="302">
        <f>F32*G26</f>
        <v>5.5368362816712466E-2</v>
      </c>
      <c r="H32" s="294">
        <f>F32</f>
        <v>0.02</v>
      </c>
      <c r="I32" s="303">
        <f>H32*I26</f>
        <v>5.5368362816712466E-2</v>
      </c>
      <c r="J32" s="294">
        <f>F32</f>
        <v>0.02</v>
      </c>
      <c r="K32" s="303">
        <f>J32*K26</f>
        <v>5.5368362816712466E-2</v>
      </c>
      <c r="L32" s="294">
        <f>F32</f>
        <v>0.02</v>
      </c>
      <c r="M32" s="304">
        <f>L32*M26</f>
        <v>5.5368362816712466E-2</v>
      </c>
      <c r="N32" s="295">
        <f>F32</f>
        <v>0.02</v>
      </c>
      <c r="O32" s="303">
        <f>N32*O26</f>
        <v>5.5368362816712466E-2</v>
      </c>
      <c r="P32" s="297">
        <f>F32</f>
        <v>0.02</v>
      </c>
      <c r="Q32" s="303">
        <f>P32*Q26</f>
        <v>5.5368362816712466E-2</v>
      </c>
      <c r="R32" s="1"/>
      <c r="S32" s="316"/>
    </row>
    <row r="33" spans="1:20" ht="18" x14ac:dyDescent="0.3">
      <c r="A33" s="92" t="s">
        <v>51</v>
      </c>
      <c r="B33" s="122"/>
      <c r="C33" s="123"/>
      <c r="D33" s="122"/>
      <c r="E33" s="122"/>
      <c r="F33" s="103"/>
      <c r="G33" s="305">
        <f>IF(F8&lt;&gt;"",SUM(G26+G29+G32),0)</f>
        <v>3.51035420257957</v>
      </c>
      <c r="H33" s="306"/>
      <c r="I33" s="305">
        <f>IF(H8&lt;&gt;"",SUM(I26+I29+I32),0)</f>
        <v>3.51035420257957</v>
      </c>
      <c r="J33" s="306"/>
      <c r="K33" s="309">
        <f>IF(J8&lt;&gt;"",SUM(K26+K29+K32),0)</f>
        <v>3.51035420257957</v>
      </c>
      <c r="L33" s="307"/>
      <c r="M33" s="305">
        <f>IF(L8&lt;&gt;"",SUM(M26+M29+M32),0)</f>
        <v>3.51035420257957</v>
      </c>
      <c r="N33" s="308"/>
      <c r="O33" s="309">
        <f>IF(N8&lt;&gt;"",SUM(O26+O29+O32),0)</f>
        <v>3.51035420257957</v>
      </c>
      <c r="P33" s="306"/>
      <c r="Q33" s="309">
        <f>IF(P8&lt;&gt;"",SUM(Q26+Q29+Q32),0)</f>
        <v>3.51035420257957</v>
      </c>
      <c r="R33" s="1"/>
      <c r="S33" s="318"/>
      <c r="T33" s="140"/>
    </row>
    <row r="34" spans="1:20" ht="16.2" thickBot="1" x14ac:dyDescent="0.35">
      <c r="A34" s="96"/>
      <c r="B34" s="87"/>
      <c r="C34" s="125"/>
      <c r="D34" s="87"/>
      <c r="E34" s="87"/>
      <c r="F34" s="87"/>
      <c r="G34" s="114"/>
      <c r="H34" s="116"/>
      <c r="I34" s="114"/>
      <c r="J34" s="116"/>
      <c r="K34" s="324"/>
      <c r="L34" s="87"/>
      <c r="M34" s="87"/>
      <c r="N34" s="141"/>
      <c r="O34" s="186"/>
      <c r="P34" s="116"/>
      <c r="Q34" s="114"/>
      <c r="R34" s="1"/>
      <c r="S34" s="316" t="s">
        <v>52</v>
      </c>
      <c r="T34" s="145"/>
    </row>
    <row r="35" spans="1:20" ht="16.2" thickBot="1" x14ac:dyDescent="0.35">
      <c r="A35" s="22" t="s">
        <v>53</v>
      </c>
      <c r="B35" s="124"/>
      <c r="C35" s="124"/>
      <c r="D35" s="124"/>
      <c r="E35" s="124"/>
      <c r="F35" s="494">
        <v>1</v>
      </c>
      <c r="G35" s="495"/>
      <c r="H35" s="494">
        <v>0</v>
      </c>
      <c r="I35" s="495"/>
      <c r="J35" s="494">
        <v>0</v>
      </c>
      <c r="K35" s="495"/>
      <c r="L35" s="494">
        <v>0</v>
      </c>
      <c r="M35" s="495"/>
      <c r="N35" s="494">
        <v>0</v>
      </c>
      <c r="O35" s="495"/>
      <c r="P35" s="494">
        <v>0</v>
      </c>
      <c r="Q35" s="495"/>
      <c r="R35" s="1"/>
      <c r="S35" s="235">
        <f>SUM(F35:Q35)</f>
        <v>1</v>
      </c>
      <c r="T35" s="140"/>
    </row>
    <row r="36" spans="1:20" ht="17.25" customHeight="1" thickBot="1" x14ac:dyDescent="0.35">
      <c r="A36" s="187" t="s">
        <v>54</v>
      </c>
      <c r="B36" s="188"/>
      <c r="C36" s="188"/>
      <c r="D36" s="188"/>
      <c r="E36" s="188"/>
      <c r="F36" s="20"/>
      <c r="G36" s="20"/>
      <c r="H36" s="20"/>
      <c r="I36" s="20"/>
      <c r="J36" s="20"/>
      <c r="K36" s="20"/>
      <c r="L36" s="20"/>
      <c r="M36" s="194"/>
      <c r="N36" s="20"/>
      <c r="O36" s="189"/>
      <c r="P36" s="190"/>
      <c r="Q36" s="251">
        <f>(F35*G33+H35*I33+J35*K33+L35*M33+N35*O33+P35*Q33)</f>
        <v>3.51035420257957</v>
      </c>
      <c r="R36" s="1"/>
    </row>
    <row r="37" spans="1:20" ht="18" x14ac:dyDescent="0.3">
      <c r="A37" s="9"/>
      <c r="B37" s="155"/>
      <c r="C37" s="155"/>
      <c r="D37" s="155"/>
      <c r="E37" s="155"/>
      <c r="M37" s="13"/>
      <c r="O37" s="191"/>
      <c r="P37" s="192"/>
      <c r="Q37" s="192"/>
    </row>
    <row r="38" spans="1:20" x14ac:dyDescent="0.3">
      <c r="F38" s="201" t="s">
        <v>55</v>
      </c>
      <c r="G38" s="202">
        <v>1878</v>
      </c>
      <c r="M38" s="242"/>
      <c r="P38" s="243"/>
    </row>
    <row r="39" spans="1:20" x14ac:dyDescent="0.3">
      <c r="M39" s="242"/>
      <c r="N39" s="5"/>
      <c r="P39" s="243"/>
    </row>
    <row r="40" spans="1:20" x14ac:dyDescent="0.3">
      <c r="F40" s="201"/>
      <c r="G40" s="202" t="s">
        <v>72</v>
      </c>
      <c r="H40" s="202" t="s">
        <v>73</v>
      </c>
      <c r="I40" s="202" t="s">
        <v>74</v>
      </c>
      <c r="J40" s="202" t="s">
        <v>75</v>
      </c>
      <c r="K40" s="202" t="s">
        <v>76</v>
      </c>
      <c r="L40" s="202" t="s">
        <v>77</v>
      </c>
      <c r="M40" s="5"/>
    </row>
    <row r="41" spans="1:20" x14ac:dyDescent="0.3">
      <c r="F41" s="203"/>
      <c r="G41" s="203"/>
      <c r="H41" s="203"/>
      <c r="I41" s="203"/>
      <c r="J41" s="203"/>
      <c r="K41" s="203"/>
      <c r="L41" s="203"/>
      <c r="M41" s="5"/>
    </row>
    <row r="42" spans="1:20" ht="16.2" thickBot="1" x14ac:dyDescent="0.35">
      <c r="F42" s="253" t="s">
        <v>57</v>
      </c>
      <c r="G42" s="204">
        <f>$G$38*G16</f>
        <v>4150.38</v>
      </c>
      <c r="H42" s="204">
        <f>$G$38*I16</f>
        <v>4150.38</v>
      </c>
      <c r="I42" s="204">
        <f>$G$38*K16</f>
        <v>4150.38</v>
      </c>
      <c r="J42" s="204">
        <f>$G$38*M16</f>
        <v>4150.38</v>
      </c>
      <c r="K42" s="204">
        <f>$G$38*O16</f>
        <v>4150.38</v>
      </c>
      <c r="L42" s="204">
        <f>$G$38*Q16</f>
        <v>4150.38</v>
      </c>
      <c r="M42" s="5"/>
    </row>
    <row r="43" spans="1:20" ht="16.2" thickBot="1" x14ac:dyDescent="0.35">
      <c r="A43" s="197" t="s">
        <v>202</v>
      </c>
      <c r="F43" s="331">
        <f>IF('Algemene kostprijsfactoren'!$F$12&lt;&gt;"",'Algemene kostprijsfactoren'!$F$12,'Algemene kostprijsfactoren'!$C$12)</f>
        <v>0.25800000000000001</v>
      </c>
      <c r="G43" s="252">
        <f>$F$43</f>
        <v>0.25800000000000001</v>
      </c>
      <c r="H43" s="205">
        <f t="shared" ref="H43:L43" si="0">$F$43</f>
        <v>0.25800000000000001</v>
      </c>
      <c r="I43" s="205">
        <f t="shared" si="0"/>
        <v>0.25800000000000001</v>
      </c>
      <c r="J43" s="205">
        <f t="shared" si="0"/>
        <v>0.25800000000000001</v>
      </c>
      <c r="K43" s="205">
        <f t="shared" si="0"/>
        <v>0.25800000000000001</v>
      </c>
      <c r="L43" s="205">
        <f t="shared" si="0"/>
        <v>0.25800000000000001</v>
      </c>
      <c r="M43" s="5"/>
      <c r="N43" s="256" t="s">
        <v>177</v>
      </c>
      <c r="O43" s="209"/>
      <c r="P43" s="209"/>
      <c r="Q43" s="209"/>
    </row>
    <row r="44" spans="1:20" ht="16.2" thickBot="1" x14ac:dyDescent="0.35">
      <c r="A44" s="197" t="s">
        <v>179</v>
      </c>
      <c r="F44" s="332">
        <f>IF('Algemene kostprijsfactoren'!$F$13&lt;&gt;"",'Algemene kostprijsfactoren'!$F$13,'Algemene kostprijsfactoren'!$C$13)</f>
        <v>16655</v>
      </c>
      <c r="G44" s="310">
        <f>$F$44</f>
        <v>16655</v>
      </c>
      <c r="H44" s="311">
        <f t="shared" ref="H44:L44" si="1">$F$44</f>
        <v>16655</v>
      </c>
      <c r="I44" s="311">
        <f t="shared" si="1"/>
        <v>16655</v>
      </c>
      <c r="J44" s="311">
        <f t="shared" si="1"/>
        <v>16655</v>
      </c>
      <c r="K44" s="311">
        <f t="shared" si="1"/>
        <v>16655</v>
      </c>
      <c r="L44" s="311">
        <f t="shared" si="1"/>
        <v>16655</v>
      </c>
      <c r="M44"/>
      <c r="N44" s="256" t="s">
        <v>180</v>
      </c>
      <c r="O44" s="209"/>
      <c r="P44" s="209"/>
      <c r="Q44" s="209"/>
    </row>
    <row r="45" spans="1:20" ht="16.2" thickBot="1" x14ac:dyDescent="0.35">
      <c r="A45" s="197" t="s">
        <v>12</v>
      </c>
      <c r="F45" s="254"/>
      <c r="G45" s="204">
        <f>(G42-G44)*G43</f>
        <v>-3226.1919599999997</v>
      </c>
      <c r="H45" s="204">
        <f>(H42-H44)*H43</f>
        <v>-3226.1919599999997</v>
      </c>
      <c r="I45" s="204">
        <f t="shared" ref="I45:K45" si="2">(I42-I44)*I43</f>
        <v>-3226.1919599999997</v>
      </c>
      <c r="J45" s="204">
        <f t="shared" si="2"/>
        <v>-3226.1919599999997</v>
      </c>
      <c r="K45" s="204">
        <f t="shared" si="2"/>
        <v>-3226.1919599999997</v>
      </c>
      <c r="L45" s="204">
        <f>(L42-L44)*L43</f>
        <v>-3226.1919599999997</v>
      </c>
      <c r="M45" s="5"/>
    </row>
    <row r="46" spans="1:20" ht="16.8" thickTop="1" thickBot="1" x14ac:dyDescent="0.35">
      <c r="A46" s="198" t="s">
        <v>13</v>
      </c>
      <c r="F46" s="331">
        <f>IF('Algemene kostprijsfactoren'!$F$15&lt;&gt;"",'Algemene kostprijsfactoren'!$F$15,'Algemene kostprijsfactoren'!$C$15)</f>
        <v>0.5</v>
      </c>
      <c r="G46" s="206">
        <f>(G45/G42)*$F$46</f>
        <v>-0.38866223815650608</v>
      </c>
      <c r="H46" s="206">
        <f>(H45/H42)*$F$46</f>
        <v>-0.38866223815650608</v>
      </c>
      <c r="I46" s="206">
        <f t="shared" ref="I46:L46" si="3">(I45/I42)*$F$46</f>
        <v>-0.38866223815650608</v>
      </c>
      <c r="J46" s="206">
        <f t="shared" si="3"/>
        <v>-0.38866223815650608</v>
      </c>
      <c r="K46" s="206">
        <f t="shared" si="3"/>
        <v>-0.38866223815650608</v>
      </c>
      <c r="L46" s="206">
        <f t="shared" si="3"/>
        <v>-0.38866223815650608</v>
      </c>
      <c r="M46" s="5"/>
    </row>
    <row r="47" spans="1:20" ht="16.8" thickTop="1" thickBot="1" x14ac:dyDescent="0.35">
      <c r="A47" s="197" t="s">
        <v>203</v>
      </c>
      <c r="F47" s="331">
        <f>IF('Algemene kostprijsfactoren'!$F$16&lt;&gt;"",'Algemene kostprijsfactoren'!$F$16,'Algemene kostprijsfactoren'!$C$16)</f>
        <v>5.0000000000000001E-3</v>
      </c>
      <c r="G47" s="252">
        <f>$F$47</f>
        <v>5.0000000000000001E-3</v>
      </c>
      <c r="H47" s="205">
        <f t="shared" ref="H47:L47" si="4">$F$47</f>
        <v>5.0000000000000001E-3</v>
      </c>
      <c r="I47" s="205">
        <f t="shared" si="4"/>
        <v>5.0000000000000001E-3</v>
      </c>
      <c r="J47" s="205">
        <f t="shared" si="4"/>
        <v>5.0000000000000001E-3</v>
      </c>
      <c r="K47" s="205">
        <f t="shared" si="4"/>
        <v>5.0000000000000001E-3</v>
      </c>
      <c r="L47" s="205">
        <f t="shared" si="4"/>
        <v>5.0000000000000001E-3</v>
      </c>
      <c r="M47" s="5"/>
      <c r="N47" s="256" t="s">
        <v>178</v>
      </c>
      <c r="O47" s="209"/>
      <c r="P47" s="209"/>
      <c r="Q47" s="209"/>
    </row>
    <row r="48" spans="1:20" ht="16.2" thickBot="1" x14ac:dyDescent="0.35">
      <c r="A48" s="197" t="s">
        <v>204</v>
      </c>
      <c r="F48" s="332">
        <f>IF('Algemene kostprijsfactoren'!$F$17&lt;&gt;"",'Algemene kostprijsfactoren'!$F$17,'Algemene kostprijsfactoren'!$C$17)</f>
        <v>28405</v>
      </c>
      <c r="G48" s="310">
        <f>$F48</f>
        <v>28405</v>
      </c>
      <c r="H48" s="311">
        <f t="shared" ref="H48:L48" si="5">$F48</f>
        <v>28405</v>
      </c>
      <c r="I48" s="311">
        <f t="shared" si="5"/>
        <v>28405</v>
      </c>
      <c r="J48" s="311">
        <f t="shared" si="5"/>
        <v>28405</v>
      </c>
      <c r="K48" s="311">
        <f t="shared" si="5"/>
        <v>28405</v>
      </c>
      <c r="L48" s="311">
        <f t="shared" si="5"/>
        <v>28405</v>
      </c>
      <c r="M48"/>
      <c r="N48" s="256" t="s">
        <v>180</v>
      </c>
      <c r="O48" s="209"/>
      <c r="P48" s="209"/>
      <c r="Q48" s="209"/>
    </row>
    <row r="49" spans="1:19" ht="16.2" thickBot="1" x14ac:dyDescent="0.35">
      <c r="A49" s="199" t="s">
        <v>14</v>
      </c>
      <c r="F49" s="255"/>
      <c r="G49" s="207">
        <f>(G42-G48)*G47</f>
        <v>-121.2731</v>
      </c>
      <c r="H49" s="207">
        <f t="shared" ref="H49:L49" si="6">(H42-H48)*H47</f>
        <v>-121.2731</v>
      </c>
      <c r="I49" s="207">
        <f t="shared" si="6"/>
        <v>-121.2731</v>
      </c>
      <c r="J49" s="207">
        <f t="shared" si="6"/>
        <v>-121.2731</v>
      </c>
      <c r="K49" s="207">
        <f>(K42-K48)*K47</f>
        <v>-121.2731</v>
      </c>
      <c r="L49" s="207">
        <f t="shared" si="6"/>
        <v>-121.2731</v>
      </c>
      <c r="M49" s="5"/>
    </row>
    <row r="50" spans="1:19" ht="16.8" thickTop="1" thickBot="1" x14ac:dyDescent="0.35">
      <c r="A50" s="198" t="s">
        <v>15</v>
      </c>
      <c r="F50" s="331">
        <f>IF('Algemene kostprijsfactoren'!$F$19&lt;&gt;"",'Algemene kostprijsfactoren'!$F$19,'Algemene kostprijsfactoren'!$C$19)</f>
        <v>0.5</v>
      </c>
      <c r="G50" s="206">
        <f>(G49/G42)*$F50</f>
        <v>-1.460987909540813E-2</v>
      </c>
      <c r="H50" s="206">
        <f t="shared" ref="H50:L50" si="7">(H49/H42)*$F50</f>
        <v>-1.460987909540813E-2</v>
      </c>
      <c r="I50" s="206">
        <f t="shared" si="7"/>
        <v>-1.460987909540813E-2</v>
      </c>
      <c r="J50" s="206">
        <f t="shared" si="7"/>
        <v>-1.460987909540813E-2</v>
      </c>
      <c r="K50" s="206">
        <f t="shared" si="7"/>
        <v>-1.460987909540813E-2</v>
      </c>
      <c r="L50" s="206">
        <f t="shared" si="7"/>
        <v>-1.460987909540813E-2</v>
      </c>
      <c r="M50" s="5"/>
    </row>
    <row r="51" spans="1:19" ht="16.2" thickTop="1" x14ac:dyDescent="0.3">
      <c r="F51" s="333" t="s">
        <v>58</v>
      </c>
      <c r="G51" s="208">
        <f>G50+G46</f>
        <v>-0.4032721172519142</v>
      </c>
      <c r="H51" s="208">
        <f t="shared" ref="H51:L51" si="8">H50+H46</f>
        <v>-0.4032721172519142</v>
      </c>
      <c r="I51" s="208">
        <f t="shared" si="8"/>
        <v>-0.4032721172519142</v>
      </c>
      <c r="J51" s="208">
        <f t="shared" si="8"/>
        <v>-0.4032721172519142</v>
      </c>
      <c r="K51" s="208">
        <f t="shared" si="8"/>
        <v>-0.4032721172519142</v>
      </c>
      <c r="L51" s="208">
        <f t="shared" si="8"/>
        <v>-0.4032721172519142</v>
      </c>
      <c r="M51" s="5"/>
    </row>
    <row r="53" spans="1:19" x14ac:dyDescent="0.3">
      <c r="A53" s="197" t="s">
        <v>16</v>
      </c>
      <c r="F53" s="330">
        <f>IF('Algemene kostprijsfactoren'!$F$22&lt;&gt;"",'Algemene kostprijsfactoren'!$F$22,'Algemene kostprijsfactoren'!$C$22)</f>
        <v>7.5800000000000006E-2</v>
      </c>
      <c r="G53" s="195"/>
      <c r="H53" s="209">
        <v>7.1099999999999997E-2</v>
      </c>
      <c r="I53" s="496" t="s">
        <v>193</v>
      </c>
      <c r="J53" s="497"/>
      <c r="K53" s="497"/>
      <c r="L53" s="497"/>
      <c r="M53" s="497"/>
      <c r="N53" s="497"/>
      <c r="O53" s="497"/>
      <c r="P53" s="497"/>
      <c r="Q53" s="497"/>
      <c r="R53" s="497"/>
      <c r="S53" s="498"/>
    </row>
    <row r="54" spans="1:19" ht="15.6" customHeight="1" x14ac:dyDescent="0.3">
      <c r="A54" s="197" t="s">
        <v>17</v>
      </c>
      <c r="F54" s="330">
        <f>IF('Algemene kostprijsfactoren'!$F$23&lt;&gt;"",'Algemene kostprijsfactoren'!$F$23,'Algemene kostprijsfactoren'!$C$23)</f>
        <v>3.49E-2</v>
      </c>
      <c r="G54" s="195"/>
      <c r="H54" s="499" t="s">
        <v>181</v>
      </c>
      <c r="I54" s="500"/>
      <c r="J54" s="500" t="s">
        <v>181</v>
      </c>
      <c r="K54" s="500"/>
      <c r="L54" s="500" t="s">
        <v>181</v>
      </c>
      <c r="M54" s="500"/>
      <c r="N54" s="500" t="s">
        <v>181</v>
      </c>
      <c r="O54" s="500"/>
      <c r="P54" s="500" t="s">
        <v>181</v>
      </c>
      <c r="Q54" s="500"/>
      <c r="R54" s="500" t="s">
        <v>181</v>
      </c>
      <c r="S54" s="501"/>
    </row>
    <row r="55" spans="1:19" x14ac:dyDescent="0.3">
      <c r="A55" s="197" t="s">
        <v>18</v>
      </c>
      <c r="F55" s="330">
        <f>IF('Algemene kostprijsfactoren'!$F$24&lt;&gt;"",'Algemene kostprijsfactoren'!$F$24,'Algemene kostprijsfactoren'!$C$24)</f>
        <v>6.5100000000000005E-2</v>
      </c>
      <c r="G55" s="195"/>
      <c r="H55" s="209">
        <v>6.6799999999999998E-2</v>
      </c>
      <c r="I55" s="496" t="s">
        <v>182</v>
      </c>
      <c r="J55" s="497"/>
      <c r="K55" s="497"/>
      <c r="L55" s="497"/>
      <c r="M55" s="497"/>
      <c r="N55" s="497"/>
      <c r="O55" s="497"/>
      <c r="P55" s="497"/>
      <c r="Q55" s="497"/>
      <c r="R55" s="497"/>
      <c r="S55" s="498"/>
    </row>
    <row r="56" spans="1:19" x14ac:dyDescent="0.3">
      <c r="A56" s="197" t="s">
        <v>19</v>
      </c>
      <c r="F56" s="330">
        <f>IF('Algemene kostprijsfactoren'!$F$25&lt;&gt;"",'Algemene kostprijsfactoren'!$F$25,'Algemene kostprijsfactoren'!$C$25)</f>
        <v>1.3299999999999999E-2</v>
      </c>
      <c r="G56" s="195"/>
      <c r="H56" s="496" t="s">
        <v>20</v>
      </c>
      <c r="I56" s="497"/>
      <c r="J56" s="497"/>
      <c r="K56" s="497"/>
      <c r="L56" s="497"/>
      <c r="M56" s="497"/>
      <c r="N56" s="497"/>
      <c r="O56" s="497"/>
      <c r="P56" s="497"/>
      <c r="Q56" s="497"/>
      <c r="R56" s="497"/>
      <c r="S56" s="498"/>
    </row>
    <row r="57" spans="1:19" ht="16.2" thickBot="1" x14ac:dyDescent="0.35">
      <c r="A57" s="199" t="s">
        <v>21</v>
      </c>
      <c r="F57" s="330">
        <f>IF('Algemene kostprijsfactoren'!$F$26&lt;&gt;"",'Algemene kostprijsfactoren'!$F$26,'Algemene kostprijsfactoren'!$C$26)</f>
        <v>3.5000000000000001E-3</v>
      </c>
      <c r="G57" s="195"/>
      <c r="H57" s="496" t="s">
        <v>22</v>
      </c>
      <c r="I57" s="497"/>
      <c r="J57" s="497"/>
      <c r="K57" s="497"/>
      <c r="L57" s="497"/>
      <c r="M57" s="497"/>
      <c r="N57" s="497"/>
      <c r="O57" s="497"/>
      <c r="P57" s="497"/>
      <c r="Q57" s="497"/>
      <c r="R57" s="497"/>
      <c r="S57" s="498"/>
    </row>
    <row r="58" spans="1:19" ht="16.2" thickTop="1" x14ac:dyDescent="0.3">
      <c r="A58" s="200" t="s">
        <v>23</v>
      </c>
      <c r="F58" s="328">
        <f>SUM(F53:F57)</f>
        <v>0.19260000000000002</v>
      </c>
      <c r="G58" s="195"/>
      <c r="H58" s="196"/>
      <c r="I58" s="196"/>
    </row>
    <row r="60" spans="1:19" x14ac:dyDescent="0.3">
      <c r="F60" s="6" t="s">
        <v>59</v>
      </c>
      <c r="G60" s="6" t="s">
        <v>60</v>
      </c>
      <c r="H60" s="6" t="s">
        <v>61</v>
      </c>
    </row>
    <row r="61" spans="1:19" ht="16.2" thickBot="1" x14ac:dyDescent="0.35">
      <c r="A61" s="215" t="s">
        <v>62</v>
      </c>
      <c r="F61" s="218"/>
      <c r="G61" s="219">
        <v>1878</v>
      </c>
      <c r="H61" s="220"/>
      <c r="I61" s="211"/>
      <c r="J61" s="478" t="s">
        <v>63</v>
      </c>
      <c r="K61" s="479"/>
      <c r="L61" s="479"/>
      <c r="M61" s="479"/>
      <c r="N61" s="479"/>
      <c r="O61" s="479"/>
      <c r="P61" s="479"/>
      <c r="Q61" s="479"/>
      <c r="R61" s="479"/>
      <c r="S61" s="480"/>
    </row>
    <row r="62" spans="1:19" ht="16.2" thickTop="1" x14ac:dyDescent="0.3">
      <c r="A62" s="197" t="s">
        <v>11</v>
      </c>
      <c r="F62" s="234" t="s">
        <v>31</v>
      </c>
      <c r="G62" s="336">
        <f>$G$61*H62</f>
        <v>150.42780000000002</v>
      </c>
      <c r="H62" s="323">
        <f>IF('Algemene kostprijsfactoren'!F8&lt;&gt;"",'Algemene kostprijsfactoren'!F8,'Algemene kostprijsfactoren'!C8)</f>
        <v>8.0100000000000005E-2</v>
      </c>
      <c r="I62" s="211"/>
      <c r="J62" s="230">
        <f>'Algemene kostprijsfactoren'!C8</f>
        <v>8.0100000000000005E-2</v>
      </c>
      <c r="K62" s="257" t="s">
        <v>195</v>
      </c>
      <c r="L62" s="258"/>
      <c r="M62" s="258"/>
      <c r="N62" s="258"/>
      <c r="O62" s="258"/>
      <c r="P62" s="258"/>
      <c r="Q62" s="258"/>
      <c r="R62" s="259"/>
      <c r="S62" s="260"/>
    </row>
    <row r="63" spans="1:19" x14ac:dyDescent="0.3">
      <c r="A63" s="197" t="s">
        <v>64</v>
      </c>
      <c r="F63" s="234" t="s">
        <v>31</v>
      </c>
      <c r="G63" s="337">
        <f>(144+58.4+35)</f>
        <v>237.4</v>
      </c>
      <c r="H63" s="339"/>
      <c r="I63" s="211"/>
      <c r="J63" s="312" t="s">
        <v>65</v>
      </c>
      <c r="K63" s="261"/>
      <c r="L63" s="261"/>
      <c r="M63" s="261"/>
      <c r="N63" s="261"/>
      <c r="O63" s="261"/>
      <c r="P63" s="261"/>
      <c r="Q63" s="261"/>
      <c r="R63" s="226"/>
      <c r="S63" s="262"/>
    </row>
    <row r="64" spans="1:19" x14ac:dyDescent="0.3">
      <c r="A64" s="197" t="s">
        <v>66</v>
      </c>
      <c r="F64" s="234" t="s">
        <v>31</v>
      </c>
      <c r="G64" s="336">
        <f>G61*H64</f>
        <v>37.56</v>
      </c>
      <c r="H64" s="227">
        <v>0.02</v>
      </c>
      <c r="I64" s="211"/>
      <c r="J64" s="263" t="s">
        <v>78</v>
      </c>
      <c r="K64" s="264"/>
      <c r="L64" s="264"/>
      <c r="M64" s="264"/>
      <c r="N64" s="264"/>
      <c r="O64" s="264"/>
      <c r="P64" s="264"/>
      <c r="Q64" s="264"/>
      <c r="R64" s="265"/>
      <c r="S64" s="266"/>
    </row>
    <row r="65" spans="1:19" x14ac:dyDescent="0.3">
      <c r="A65" s="197" t="s">
        <v>215</v>
      </c>
      <c r="F65" s="234" t="s">
        <v>31</v>
      </c>
      <c r="G65" s="336">
        <f>G61*H65</f>
        <v>150.24</v>
      </c>
      <c r="H65" s="228">
        <v>0.08</v>
      </c>
      <c r="I65" s="211"/>
      <c r="J65" s="313" t="s">
        <v>81</v>
      </c>
      <c r="K65" s="267"/>
      <c r="L65" s="267"/>
      <c r="M65" s="267"/>
      <c r="N65" s="267"/>
      <c r="O65" s="267"/>
      <c r="P65" s="267"/>
      <c r="Q65" s="267"/>
      <c r="R65" s="268"/>
      <c r="S65" s="269"/>
    </row>
    <row r="66" spans="1:19" ht="16.2" thickBot="1" x14ac:dyDescent="0.35">
      <c r="A66" s="197" t="s">
        <v>67</v>
      </c>
      <c r="F66" s="234" t="s">
        <v>31</v>
      </c>
      <c r="G66" s="338">
        <f>H66*G61</f>
        <v>0</v>
      </c>
      <c r="H66" s="229">
        <v>0</v>
      </c>
      <c r="I66" s="211"/>
      <c r="J66" s="312" t="s">
        <v>80</v>
      </c>
      <c r="K66" s="270"/>
      <c r="L66" s="270"/>
      <c r="M66" s="270"/>
      <c r="N66" s="270"/>
      <c r="O66" s="270"/>
      <c r="P66" s="270"/>
      <c r="Q66" s="270"/>
      <c r="R66" s="225"/>
      <c r="S66" s="217"/>
    </row>
    <row r="67" spans="1:19" ht="16.2" thickTop="1" x14ac:dyDescent="0.3">
      <c r="A67" s="231" t="s">
        <v>68</v>
      </c>
      <c r="F67" s="223"/>
      <c r="G67" s="314">
        <f>G61-SUMIFS(G62:G66,F62:F66,"Ja")</f>
        <v>1302.3722</v>
      </c>
      <c r="H67" s="224"/>
      <c r="I67" s="212"/>
      <c r="J67" s="213"/>
    </row>
    <row r="68" spans="1:19" x14ac:dyDescent="0.3">
      <c r="A68" s="214"/>
      <c r="F68" s="225"/>
      <c r="G68" s="226"/>
      <c r="H68" s="226"/>
      <c r="I68" s="213"/>
      <c r="J68" s="213"/>
    </row>
    <row r="69" spans="1:19" x14ac:dyDescent="0.3">
      <c r="A69" s="216" t="s">
        <v>69</v>
      </c>
      <c r="F69" s="217"/>
      <c r="G69" s="481">
        <f>G67/G61</f>
        <v>0.69348892438764642</v>
      </c>
      <c r="H69" s="482"/>
      <c r="I69" s="213"/>
      <c r="J69" s="213"/>
    </row>
    <row r="72" spans="1:19" x14ac:dyDescent="0.3">
      <c r="A72" s="5" t="s">
        <v>70</v>
      </c>
    </row>
    <row r="73" spans="1:19" x14ac:dyDescent="0.3">
      <c r="A73" s="483"/>
      <c r="B73" s="484"/>
      <c r="C73" s="484"/>
      <c r="D73" s="484"/>
      <c r="E73" s="484"/>
      <c r="F73" s="484"/>
      <c r="G73" s="484"/>
      <c r="H73" s="484"/>
      <c r="I73" s="484"/>
      <c r="J73" s="484"/>
      <c r="K73" s="484"/>
      <c r="L73" s="484"/>
      <c r="M73" s="484"/>
      <c r="N73" s="484"/>
      <c r="O73" s="484"/>
      <c r="P73" s="484"/>
      <c r="Q73" s="484"/>
      <c r="R73" s="484"/>
      <c r="S73" s="485"/>
    </row>
    <row r="74" spans="1:19" x14ac:dyDescent="0.3">
      <c r="A74" s="486"/>
      <c r="B74" s="487"/>
      <c r="C74" s="487"/>
      <c r="D74" s="487"/>
      <c r="E74" s="487"/>
      <c r="F74" s="487"/>
      <c r="G74" s="487"/>
      <c r="H74" s="487"/>
      <c r="I74" s="487"/>
      <c r="J74" s="487"/>
      <c r="K74" s="487"/>
      <c r="L74" s="487"/>
      <c r="M74" s="487"/>
      <c r="N74" s="487"/>
      <c r="O74" s="487"/>
      <c r="P74" s="487"/>
      <c r="Q74" s="487"/>
      <c r="R74" s="487"/>
      <c r="S74" s="488"/>
    </row>
    <row r="75" spans="1:19" x14ac:dyDescent="0.3">
      <c r="A75" s="486"/>
      <c r="B75" s="487"/>
      <c r="C75" s="487"/>
      <c r="D75" s="487"/>
      <c r="E75" s="487"/>
      <c r="F75" s="487"/>
      <c r="G75" s="487"/>
      <c r="H75" s="487"/>
      <c r="I75" s="487"/>
      <c r="J75" s="487"/>
      <c r="K75" s="487"/>
      <c r="L75" s="487"/>
      <c r="M75" s="487"/>
      <c r="N75" s="487"/>
      <c r="O75" s="487"/>
      <c r="P75" s="487"/>
      <c r="Q75" s="487"/>
      <c r="R75" s="487"/>
      <c r="S75" s="488"/>
    </row>
    <row r="76" spans="1:19" x14ac:dyDescent="0.3">
      <c r="A76" s="486"/>
      <c r="B76" s="487"/>
      <c r="C76" s="487"/>
      <c r="D76" s="487"/>
      <c r="E76" s="487"/>
      <c r="F76" s="487"/>
      <c r="G76" s="487"/>
      <c r="H76" s="487"/>
      <c r="I76" s="487"/>
      <c r="J76" s="487"/>
      <c r="K76" s="487"/>
      <c r="L76" s="487"/>
      <c r="M76" s="487"/>
      <c r="N76" s="487"/>
      <c r="O76" s="487"/>
      <c r="P76" s="487"/>
      <c r="Q76" s="487"/>
      <c r="R76" s="487"/>
      <c r="S76" s="488"/>
    </row>
    <row r="77" spans="1:19" x14ac:dyDescent="0.3">
      <c r="A77" s="486"/>
      <c r="B77" s="487"/>
      <c r="C77" s="487"/>
      <c r="D77" s="487"/>
      <c r="E77" s="487"/>
      <c r="F77" s="487"/>
      <c r="G77" s="487"/>
      <c r="H77" s="487"/>
      <c r="I77" s="487"/>
      <c r="J77" s="487"/>
      <c r="K77" s="487"/>
      <c r="L77" s="487"/>
      <c r="M77" s="487"/>
      <c r="N77" s="487"/>
      <c r="O77" s="487"/>
      <c r="P77" s="487"/>
      <c r="Q77" s="487"/>
      <c r="R77" s="487"/>
      <c r="S77" s="488"/>
    </row>
    <row r="78" spans="1:19" x14ac:dyDescent="0.3">
      <c r="A78" s="489"/>
      <c r="B78" s="490"/>
      <c r="C78" s="490"/>
      <c r="D78" s="490"/>
      <c r="E78" s="490"/>
      <c r="F78" s="490"/>
      <c r="G78" s="490"/>
      <c r="H78" s="490"/>
      <c r="I78" s="490"/>
      <c r="J78" s="490"/>
      <c r="K78" s="490"/>
      <c r="L78" s="490"/>
      <c r="M78" s="490"/>
      <c r="N78" s="490"/>
      <c r="O78" s="490"/>
      <c r="P78" s="490"/>
      <c r="Q78" s="490"/>
      <c r="R78" s="490"/>
      <c r="S78" s="491"/>
    </row>
  </sheetData>
  <sheetProtection algorithmName="SHA-512" hashValue="+bSwzcoOurt4unU5S+gCyeJZKk2gm9rsW0XaQHGJ3GE9UsvCib6tInhS0u9IbdDSb/cuxLX4Bas6dK6W64ndHQ==" saltValue="f+/B2oZ8Y1PeJLl0WeVqdA==" spinCount="100000" sheet="1" objects="1" scenarios="1"/>
  <protectedRanges>
    <protectedRange algorithmName="SHA-512" hashValue="zrr1YC170iD4z5ngO6i+dvye2WxwMuZwyCItKXOM0Fb0EC895yDhie8vErJXeoL6fSMcx6aoO1sn5XcoWfI8lg==" saltValue="T/jZUAo6mJPMXMKTIHv+sw==" spinCount="100000" sqref="H62 F62:F66 H64:H66" name="Inputcellen_3"/>
  </protectedRanges>
  <mergeCells count="21">
    <mergeCell ref="F5:M5"/>
    <mergeCell ref="F35:G35"/>
    <mergeCell ref="H35:I35"/>
    <mergeCell ref="J35:K35"/>
    <mergeCell ref="L35:M35"/>
    <mergeCell ref="J61:S61"/>
    <mergeCell ref="G69:H69"/>
    <mergeCell ref="A73:S78"/>
    <mergeCell ref="F8:G8"/>
    <mergeCell ref="H8:I8"/>
    <mergeCell ref="J8:K8"/>
    <mergeCell ref="L8:M8"/>
    <mergeCell ref="N8:O8"/>
    <mergeCell ref="P8:Q8"/>
    <mergeCell ref="P35:Q35"/>
    <mergeCell ref="I53:S53"/>
    <mergeCell ref="H54:S54"/>
    <mergeCell ref="I55:S55"/>
    <mergeCell ref="H56:S56"/>
    <mergeCell ref="H57:S57"/>
    <mergeCell ref="N35:O35"/>
  </mergeCells>
  <conditionalFormatting sqref="F43:F44 F50 F53:F57">
    <cfRule type="expression" dxfId="52" priority="1">
      <formula>$C$75="Opslag"</formula>
    </cfRule>
  </conditionalFormatting>
  <conditionalFormatting sqref="F46:F48">
    <cfRule type="expression" dxfId="51" priority="2">
      <formula>$C$75="Opslag"</formula>
    </cfRule>
  </conditionalFormatting>
  <conditionalFormatting sqref="F58">
    <cfRule type="expression" dxfId="50" priority="5">
      <formula>$C$74="Opslag"</formula>
    </cfRule>
  </conditionalFormatting>
  <conditionalFormatting sqref="S35">
    <cfRule type="expression" dxfId="49" priority="3">
      <formula>$S$35=1</formula>
    </cfRule>
    <cfRule type="expression" dxfId="48" priority="4">
      <formula>$S$35&lt;&gt;1</formula>
    </cfRule>
  </conditionalFormatting>
  <conditionalFormatting sqref="T34">
    <cfRule type="cellIs" dxfId="47" priority="8" operator="equal">
      <formula>1</formula>
    </cfRule>
  </conditionalFormatting>
  <pageMargins left="0.7" right="0.7" top="0.75" bottom="0.75" header="0.3" footer="0.3"/>
  <pageSetup paperSize="9" scale="4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B0CCA-4CBF-46EA-A601-F96D1CCC4DFF}">
  <sheetPr codeName="Sheet4">
    <tabColor rgb="FF00B0F0"/>
    <pageSetUpPr fitToPage="1"/>
  </sheetPr>
  <dimension ref="A2:U77"/>
  <sheetViews>
    <sheetView zoomScale="80" zoomScaleNormal="80" workbookViewId="0">
      <pane ySplit="5" topLeftCell="A6" activePane="bottomLeft" state="frozen"/>
      <selection activeCell="F16" sqref="F16"/>
      <selection pane="bottomLeft" activeCell="F16" sqref="F16"/>
    </sheetView>
  </sheetViews>
  <sheetFormatPr defaultColWidth="10.5" defaultRowHeight="15.6" x14ac:dyDescent="0.3"/>
  <cols>
    <col min="1" max="1" width="66.3984375" style="5" customWidth="1"/>
    <col min="2" max="2" width="0.5" style="6" customWidth="1"/>
    <col min="3" max="3" width="5.8984375" style="6" hidden="1" customWidth="1"/>
    <col min="4"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customWidth="1"/>
    <col min="13" max="13" width="13.09765625" style="6" customWidth="1"/>
    <col min="14" max="14" width="13.59765625" style="6" customWidth="1"/>
    <col min="15" max="15" width="14.8984375" style="6" customWidth="1"/>
    <col min="16" max="16" width="13.5" style="6" customWidth="1"/>
    <col min="17" max="17" width="13" style="6" customWidth="1"/>
    <col min="18" max="18" width="1.3984375" style="5" customWidth="1"/>
    <col min="19" max="19" width="33" style="5" customWidth="1"/>
    <col min="20" max="20" width="4.5" style="5"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ht="18" x14ac:dyDescent="0.35">
      <c r="A4" s="354" t="s">
        <v>187</v>
      </c>
      <c r="B4" s="374"/>
      <c r="C4" s="374"/>
      <c r="D4" s="375"/>
      <c r="E4" s="375"/>
      <c r="F4" s="353"/>
    </row>
    <row r="5" spans="1:21" s="18" customFormat="1" ht="18" x14ac:dyDescent="0.35">
      <c r="A5" s="352" t="s">
        <v>186</v>
      </c>
      <c r="B5" s="376"/>
      <c r="C5" s="376"/>
      <c r="D5" s="377"/>
      <c r="E5" s="377"/>
      <c r="F5" s="502"/>
      <c r="G5" s="502"/>
      <c r="H5" s="502"/>
      <c r="I5" s="502"/>
      <c r="J5" s="502"/>
      <c r="K5" s="502"/>
      <c r="L5" s="502"/>
      <c r="M5" s="502"/>
      <c r="N5" s="119"/>
      <c r="O5" s="119"/>
      <c r="P5" s="92"/>
      <c r="Q5" s="92"/>
      <c r="R5" s="39"/>
    </row>
    <row r="6" spans="1:21" ht="16.2" thickBot="1" x14ac:dyDescent="0.35">
      <c r="A6" s="106"/>
      <c r="B6" s="107"/>
      <c r="C6" s="107"/>
      <c r="D6" s="107"/>
      <c r="E6" s="107"/>
      <c r="F6" s="139"/>
      <c r="G6" s="319"/>
      <c r="H6" s="132"/>
      <c r="I6" s="132"/>
      <c r="J6" s="132"/>
      <c r="K6" s="132"/>
      <c r="L6" s="132"/>
      <c r="M6" s="132"/>
      <c r="N6" s="132"/>
      <c r="O6" s="132"/>
      <c r="P6" s="132"/>
      <c r="Q6" s="132"/>
      <c r="R6" s="83"/>
    </row>
    <row r="7" spans="1:21" ht="24.9" customHeight="1" thickBot="1" x14ac:dyDescent="0.35">
      <c r="A7" s="95" t="s">
        <v>28</v>
      </c>
      <c r="B7" s="88"/>
      <c r="C7" s="86" t="s">
        <v>29</v>
      </c>
      <c r="D7" s="88"/>
      <c r="E7" s="88"/>
      <c r="F7" s="492" t="str">
        <f>'Algemene kostprijsfactoren'!C4</f>
        <v>Cao_GGZ</v>
      </c>
      <c r="G7" s="493"/>
      <c r="H7" s="492" t="str">
        <f>F7</f>
        <v>Cao_GGZ</v>
      </c>
      <c r="I7" s="493"/>
      <c r="J7" s="492" t="str">
        <f>F7</f>
        <v>Cao_GGZ</v>
      </c>
      <c r="K7" s="493"/>
      <c r="L7" s="492" t="str">
        <f>F7</f>
        <v>Cao_GGZ</v>
      </c>
      <c r="M7" s="493"/>
      <c r="N7" s="492" t="str">
        <f>F7</f>
        <v>Cao_GGZ</v>
      </c>
      <c r="O7" s="493"/>
      <c r="P7" s="492" t="str">
        <f>F7</f>
        <v>Cao_GGZ</v>
      </c>
      <c r="Q7" s="493"/>
      <c r="R7" s="89"/>
      <c r="U7"/>
    </row>
    <row r="8" spans="1:21" ht="16.2" thickBot="1" x14ac:dyDescent="0.35">
      <c r="A8" s="96" t="s">
        <v>30</v>
      </c>
      <c r="B8" s="87"/>
      <c r="C8" s="87"/>
      <c r="D8" s="87"/>
      <c r="E8" s="87"/>
      <c r="F8" s="87"/>
      <c r="G8" s="114"/>
      <c r="H8" s="116"/>
      <c r="I8" s="114"/>
      <c r="J8" s="116"/>
      <c r="K8" s="114"/>
      <c r="L8" s="87"/>
      <c r="M8" s="87"/>
      <c r="N8" s="116"/>
      <c r="O8" s="114"/>
      <c r="P8" s="116"/>
      <c r="Q8" s="114"/>
      <c r="R8" s="1"/>
      <c r="S8" s="193" t="s">
        <v>8</v>
      </c>
    </row>
    <row r="9" spans="1:21" ht="15.9" customHeight="1" thickBot="1" x14ac:dyDescent="0.35">
      <c r="A9" s="97" t="s">
        <v>201</v>
      </c>
      <c r="B9" s="156"/>
      <c r="C9" s="99"/>
      <c r="D9" s="156"/>
      <c r="E9" s="156"/>
      <c r="F9" s="334" t="s">
        <v>210</v>
      </c>
      <c r="G9" s="335"/>
      <c r="H9" s="334" t="s">
        <v>210</v>
      </c>
      <c r="I9" s="335"/>
      <c r="J9" s="334" t="s">
        <v>210</v>
      </c>
      <c r="K9" s="335"/>
      <c r="L9" s="334" t="s">
        <v>210</v>
      </c>
      <c r="M9" s="335"/>
      <c r="N9" s="334" t="s">
        <v>210</v>
      </c>
      <c r="O9" s="335"/>
      <c r="P9" s="334" t="s">
        <v>210</v>
      </c>
      <c r="Q9" s="335"/>
      <c r="R9" s="82"/>
      <c r="S9" s="325"/>
      <c r="T9" s="133"/>
    </row>
    <row r="10" spans="1:21" ht="15.9" customHeight="1" x14ac:dyDescent="0.3">
      <c r="A10" s="97" t="s">
        <v>71</v>
      </c>
      <c r="B10" s="156"/>
      <c r="C10" s="99"/>
      <c r="D10" s="156"/>
      <c r="E10" s="156"/>
      <c r="F10" s="158"/>
      <c r="G10" s="160">
        <f>G9/156.5</f>
        <v>0</v>
      </c>
      <c r="H10" s="158"/>
      <c r="I10" s="160">
        <f>I9/156.5</f>
        <v>0</v>
      </c>
      <c r="J10" s="158"/>
      <c r="K10" s="160">
        <f>K9/156.5</f>
        <v>0</v>
      </c>
      <c r="L10" s="158"/>
      <c r="M10" s="160">
        <f>M9/156.5</f>
        <v>0</v>
      </c>
      <c r="N10" s="158"/>
      <c r="O10" s="160">
        <f>O9/156.5</f>
        <v>0</v>
      </c>
      <c r="P10" s="158"/>
      <c r="Q10" s="160">
        <f>Q9/156.5</f>
        <v>0</v>
      </c>
      <c r="R10" s="82"/>
      <c r="S10" s="133"/>
      <c r="T10" s="133"/>
    </row>
    <row r="11" spans="1:21" ht="15.9" customHeight="1" x14ac:dyDescent="0.3">
      <c r="A11" s="94" t="s">
        <v>4</v>
      </c>
      <c r="B11" s="156"/>
      <c r="C11" s="99" t="s">
        <v>31</v>
      </c>
      <c r="D11" s="156"/>
      <c r="E11" s="156"/>
      <c r="F11" s="158">
        <f>IF(F7&lt;&gt;"",8%,"")</f>
        <v>0.08</v>
      </c>
      <c r="G11" s="157">
        <f>MAX(1.07,F11*G10)</f>
        <v>1.07</v>
      </c>
      <c r="H11" s="158">
        <f>IF(H7&lt;&gt;"",8%,"")</f>
        <v>0.08</v>
      </c>
      <c r="I11" s="157">
        <f>MAX(1.07,H11*I10)</f>
        <v>1.07</v>
      </c>
      <c r="J11" s="158">
        <f>IF(J7&lt;&gt;"",8%,"")</f>
        <v>0.08</v>
      </c>
      <c r="K11" s="157">
        <f>MAX(1.07,J11*K10)</f>
        <v>1.07</v>
      </c>
      <c r="L11" s="158">
        <f>IF(L7&lt;&gt;"",8%,"")</f>
        <v>0.08</v>
      </c>
      <c r="M11" s="157">
        <f>MAX(1.07,L11*M10)</f>
        <v>1.07</v>
      </c>
      <c r="N11" s="158">
        <f>IF(N7&lt;&gt;"",8%,"")</f>
        <v>0.08</v>
      </c>
      <c r="O11" s="157">
        <f>MAX(1.07,N11*O10)</f>
        <v>1.07</v>
      </c>
      <c r="P11" s="158">
        <f>IF(P7&lt;&gt;"",8%,"")</f>
        <v>0.08</v>
      </c>
      <c r="Q11" s="157">
        <f>MAX(1.07,P11*Q10)</f>
        <v>1.07</v>
      </c>
      <c r="R11" s="83"/>
      <c r="S11" s="315"/>
      <c r="T11" s="134"/>
    </row>
    <row r="12" spans="1:21" ht="15.9" customHeight="1" x14ac:dyDescent="0.3">
      <c r="A12" s="111" t="s">
        <v>32</v>
      </c>
      <c r="B12" s="156"/>
      <c r="C12" s="99"/>
      <c r="D12" s="156"/>
      <c r="E12" s="156"/>
      <c r="F12" s="158"/>
      <c r="G12" s="160">
        <f>G10+G11</f>
        <v>1.07</v>
      </c>
      <c r="H12" s="158"/>
      <c r="I12" s="160">
        <f>I10+I11</f>
        <v>1.07</v>
      </c>
      <c r="J12" s="158"/>
      <c r="K12" s="160">
        <f>K10+K11</f>
        <v>1.07</v>
      </c>
      <c r="L12" s="158"/>
      <c r="M12" s="160">
        <f>M10+M11</f>
        <v>1.07</v>
      </c>
      <c r="N12" s="158"/>
      <c r="O12" s="160">
        <f>O10+O11</f>
        <v>1.07</v>
      </c>
      <c r="P12" s="158"/>
      <c r="Q12" s="160">
        <f>Q10+Q11</f>
        <v>1.07</v>
      </c>
      <c r="R12" s="83"/>
      <c r="S12" s="315"/>
      <c r="T12" s="134"/>
    </row>
    <row r="13" spans="1:21" ht="15.9" customHeight="1" thickBot="1" x14ac:dyDescent="0.35">
      <c r="A13" s="94" t="s">
        <v>33</v>
      </c>
      <c r="B13" s="156"/>
      <c r="C13" s="99" t="s">
        <v>31</v>
      </c>
      <c r="D13" s="156"/>
      <c r="E13" s="156"/>
      <c r="F13" s="161">
        <f>VLOOKUP(F$7,Toelichting!$A$28:$B$31,2,TRUE)</f>
        <v>8.3299999999999999E-2</v>
      </c>
      <c r="G13" s="159">
        <f>MAX(1.14,F13*G10)</f>
        <v>1.1399999999999999</v>
      </c>
      <c r="H13" s="161">
        <f>VLOOKUP(H$7,Toelichting!$A$28:$B$31,2,TRUE)</f>
        <v>8.3299999999999999E-2</v>
      </c>
      <c r="I13" s="159">
        <f>MAX(1.14,H13*I10)</f>
        <v>1.1399999999999999</v>
      </c>
      <c r="J13" s="161">
        <f>VLOOKUP(J$7,Toelichting!$A$28:$B$31,2,TRUE)</f>
        <v>8.3299999999999999E-2</v>
      </c>
      <c r="K13" s="159">
        <f>MAX(1.14,J13*K10)</f>
        <v>1.1399999999999999</v>
      </c>
      <c r="L13" s="161">
        <f>VLOOKUP(L$7,Toelichting!$A$28:$B$31,2,TRUE)</f>
        <v>8.3299999999999999E-2</v>
      </c>
      <c r="M13" s="159">
        <f>MAX(1.14,L13*M10)</f>
        <v>1.1399999999999999</v>
      </c>
      <c r="N13" s="161">
        <f>VLOOKUP(N$7,Toelichting!$A$28:$B$31,2,TRUE)</f>
        <v>8.3299999999999999E-2</v>
      </c>
      <c r="O13" s="159">
        <f>MAX(1.14,N13*O10)</f>
        <v>1.1399999999999999</v>
      </c>
      <c r="P13" s="161">
        <f>VLOOKUP(P$7,Toelichting!$A$28:$B$31,2,TRUE)</f>
        <v>8.3299999999999999E-2</v>
      </c>
      <c r="Q13" s="159">
        <f>MAX(1.14,P13*Q10)</f>
        <v>1.1399999999999999</v>
      </c>
      <c r="R13" s="83"/>
      <c r="S13" s="315"/>
      <c r="T13" s="134"/>
    </row>
    <row r="14" spans="1:21" ht="16.2" thickBot="1" x14ac:dyDescent="0.35">
      <c r="A14" s="97" t="s">
        <v>217</v>
      </c>
      <c r="B14" s="156"/>
      <c r="C14" s="99"/>
      <c r="D14" s="156"/>
      <c r="E14" s="156"/>
      <c r="F14" s="345">
        <v>0</v>
      </c>
      <c r="G14" s="378">
        <f>F14*G10</f>
        <v>0</v>
      </c>
      <c r="H14" s="345">
        <v>0</v>
      </c>
      <c r="I14" s="378">
        <f>H14*I10</f>
        <v>0</v>
      </c>
      <c r="J14" s="345">
        <v>0</v>
      </c>
      <c r="K14" s="378">
        <f>J14*K10</f>
        <v>0</v>
      </c>
      <c r="L14" s="345">
        <v>0</v>
      </c>
      <c r="M14" s="378">
        <f>L14*M10</f>
        <v>0</v>
      </c>
      <c r="N14" s="345">
        <v>0</v>
      </c>
      <c r="O14" s="378">
        <f>N14*O10</f>
        <v>0</v>
      </c>
      <c r="P14" s="345">
        <v>0</v>
      </c>
      <c r="Q14" s="320">
        <f>P14*Q10</f>
        <v>0</v>
      </c>
      <c r="R14" s="82"/>
      <c r="S14" s="316"/>
    </row>
    <row r="15" spans="1:21" x14ac:dyDescent="0.3">
      <c r="A15" s="108" t="s">
        <v>35</v>
      </c>
      <c r="B15" s="126"/>
      <c r="C15" s="98"/>
      <c r="D15" s="126"/>
      <c r="E15" s="135">
        <f>SUM(E$11:E$13)</f>
        <v>0</v>
      </c>
      <c r="F15" s="271"/>
      <c r="G15" s="272">
        <f>SUM(G$12:G$14)</f>
        <v>2.21</v>
      </c>
      <c r="H15" s="273"/>
      <c r="I15" s="272">
        <f>SUM(I$12:I$14)</f>
        <v>2.21</v>
      </c>
      <c r="J15" s="273"/>
      <c r="K15" s="272">
        <f>SUM(K$12:K$14)</f>
        <v>2.21</v>
      </c>
      <c r="L15" s="274"/>
      <c r="M15" s="272">
        <f>SUM(M$12:M$14)</f>
        <v>2.21</v>
      </c>
      <c r="N15" s="275"/>
      <c r="O15" s="272">
        <f>SUM(O$12:O$14)</f>
        <v>2.21</v>
      </c>
      <c r="P15" s="274"/>
      <c r="Q15" s="272">
        <f>SUM(Q$12:Q$14)</f>
        <v>2.21</v>
      </c>
      <c r="R15" s="136"/>
      <c r="S15" s="317"/>
      <c r="T15" s="133"/>
    </row>
    <row r="16" spans="1:21" x14ac:dyDescent="0.3">
      <c r="A16" s="144" t="s">
        <v>36</v>
      </c>
      <c r="B16" s="126"/>
      <c r="C16" s="98"/>
      <c r="D16" s="126"/>
      <c r="E16" s="135"/>
      <c r="F16" s="276">
        <f>$F$57</f>
        <v>0.19260000000000002</v>
      </c>
      <c r="G16" s="277"/>
      <c r="H16" s="276">
        <f>$F$57</f>
        <v>0.19260000000000002</v>
      </c>
      <c r="I16" s="277"/>
      <c r="J16" s="276">
        <f>$F$57</f>
        <v>0.19260000000000002</v>
      </c>
      <c r="K16" s="277"/>
      <c r="L16" s="276">
        <f>$F$57</f>
        <v>0.19260000000000002</v>
      </c>
      <c r="M16" s="277"/>
      <c r="N16" s="276">
        <f>$F$57</f>
        <v>0.19260000000000002</v>
      </c>
      <c r="O16" s="163"/>
      <c r="P16" s="276">
        <f>$F$57</f>
        <v>0.19260000000000002</v>
      </c>
      <c r="Q16" s="277"/>
      <c r="R16" s="143"/>
      <c r="S16" s="327" t="s">
        <v>37</v>
      </c>
      <c r="T16" s="133"/>
    </row>
    <row r="17" spans="1:20" x14ac:dyDescent="0.3">
      <c r="A17" s="144" t="s">
        <v>38</v>
      </c>
      <c r="B17" s="126"/>
      <c r="C17" s="98"/>
      <c r="D17" s="126"/>
      <c r="E17" s="135"/>
      <c r="F17" s="276">
        <f>G45</f>
        <v>-0.38866223815650608</v>
      </c>
      <c r="G17" s="277"/>
      <c r="H17" s="276">
        <f>H45</f>
        <v>-0.38866223815650608</v>
      </c>
      <c r="I17" s="277"/>
      <c r="J17" s="276">
        <f>I45</f>
        <v>-0.38866223815650608</v>
      </c>
      <c r="K17" s="277"/>
      <c r="L17" s="276">
        <f>J45</f>
        <v>-0.38866223815650608</v>
      </c>
      <c r="M17" s="277"/>
      <c r="N17" s="276">
        <f>K45</f>
        <v>-0.38866223815650608</v>
      </c>
      <c r="O17" s="163"/>
      <c r="P17" s="276">
        <f>L45</f>
        <v>-0.38866223815650608</v>
      </c>
      <c r="Q17" s="277"/>
      <c r="R17" s="143"/>
      <c r="S17" s="317"/>
      <c r="T17" s="133"/>
    </row>
    <row r="18" spans="1:20" x14ac:dyDescent="0.3">
      <c r="A18" s="144" t="s">
        <v>39</v>
      </c>
      <c r="B18" s="126"/>
      <c r="C18" s="98"/>
      <c r="D18" s="126"/>
      <c r="E18" s="135"/>
      <c r="F18" s="276">
        <f>G49</f>
        <v>-1.460987909540813E-2</v>
      </c>
      <c r="G18" s="277"/>
      <c r="H18" s="276">
        <f>H49</f>
        <v>-1.460987909540813E-2</v>
      </c>
      <c r="I18" s="277"/>
      <c r="J18" s="276">
        <f>I49</f>
        <v>-1.460987909540813E-2</v>
      </c>
      <c r="K18" s="277"/>
      <c r="L18" s="276">
        <f>J49</f>
        <v>-1.460987909540813E-2</v>
      </c>
      <c r="M18" s="277"/>
      <c r="N18" s="276">
        <f>K49</f>
        <v>-1.460987909540813E-2</v>
      </c>
      <c r="O18" s="163"/>
      <c r="P18" s="276">
        <f>L49</f>
        <v>-1.460987909540813E-2</v>
      </c>
      <c r="Q18" s="277"/>
      <c r="R18" s="143"/>
      <c r="S18" s="317"/>
      <c r="T18" s="133"/>
    </row>
    <row r="19" spans="1:20" x14ac:dyDescent="0.3">
      <c r="A19" s="109" t="s">
        <v>40</v>
      </c>
      <c r="B19" s="126"/>
      <c r="C19" s="98"/>
      <c r="D19" s="126"/>
      <c r="E19" s="126"/>
      <c r="F19" s="278">
        <f>F16+F17+F18</f>
        <v>-0.21067211725191418</v>
      </c>
      <c r="G19" s="279">
        <f>F19*G15</f>
        <v>-0.46558537912673031</v>
      </c>
      <c r="H19" s="278">
        <f>H16+H17+H18</f>
        <v>-0.21067211725191418</v>
      </c>
      <c r="I19" s="279">
        <f>H19*I15</f>
        <v>-0.46558537912673031</v>
      </c>
      <c r="J19" s="278">
        <f>J16+J17+J18</f>
        <v>-0.21067211725191418</v>
      </c>
      <c r="K19" s="279">
        <f>J19*K15</f>
        <v>-0.46558537912673031</v>
      </c>
      <c r="L19" s="278">
        <f>L16+L17+L18</f>
        <v>-0.21067211725191418</v>
      </c>
      <c r="M19" s="279">
        <f>L19*M15</f>
        <v>-0.46558537912673031</v>
      </c>
      <c r="N19" s="280">
        <f>N16+N17+N18</f>
        <v>-0.21067211725191418</v>
      </c>
      <c r="O19" s="281">
        <f>N19*O15</f>
        <v>-0.46558537912673031</v>
      </c>
      <c r="P19" s="278">
        <f>P16+P17+P18</f>
        <v>-0.21067211725191418</v>
      </c>
      <c r="Q19" s="279">
        <f>P19*Q15</f>
        <v>-0.46558537912673031</v>
      </c>
      <c r="R19" s="137"/>
      <c r="S19" s="327" t="s">
        <v>37</v>
      </c>
      <c r="T19" s="133"/>
    </row>
    <row r="20" spans="1:20" x14ac:dyDescent="0.3">
      <c r="A20" s="110" t="s">
        <v>41</v>
      </c>
      <c r="B20" s="126"/>
      <c r="C20" s="98"/>
      <c r="D20" s="126"/>
      <c r="E20" s="126"/>
      <c r="F20" s="282"/>
      <c r="G20" s="283">
        <f>G15+G19</f>
        <v>1.7444146208732696</v>
      </c>
      <c r="H20" s="284"/>
      <c r="I20" s="283">
        <f>I15+I19</f>
        <v>1.7444146208732696</v>
      </c>
      <c r="J20" s="284"/>
      <c r="K20" s="283">
        <f>K15+K19</f>
        <v>1.7444146208732696</v>
      </c>
      <c r="L20" s="285"/>
      <c r="M20" s="283">
        <f>M15+M19</f>
        <v>1.7444146208732696</v>
      </c>
      <c r="N20" s="286"/>
      <c r="O20" s="287">
        <f>O15+O19</f>
        <v>1.7444146208732696</v>
      </c>
      <c r="P20" s="285"/>
      <c r="Q20" s="283">
        <f>Q15+Q19</f>
        <v>1.7444146208732696</v>
      </c>
      <c r="R20" s="346"/>
      <c r="S20" s="316"/>
    </row>
    <row r="21" spans="1:20" ht="16.2" thickBot="1" x14ac:dyDescent="0.35">
      <c r="A21" s="96" t="s">
        <v>42</v>
      </c>
      <c r="B21" s="87"/>
      <c r="C21" s="125"/>
      <c r="D21" s="87"/>
      <c r="E21" s="87"/>
      <c r="F21" s="87"/>
      <c r="G21" s="114"/>
      <c r="H21" s="116"/>
      <c r="I21" s="114"/>
      <c r="J21" s="116"/>
      <c r="K21" s="114"/>
      <c r="L21" s="87"/>
      <c r="M21" s="87"/>
      <c r="N21" s="116"/>
      <c r="O21" s="114"/>
      <c r="P21" s="116"/>
      <c r="Q21" s="114"/>
      <c r="R21" s="1"/>
      <c r="S21" s="316"/>
    </row>
    <row r="22" spans="1:20" ht="16.2" thickBot="1" x14ac:dyDescent="0.35">
      <c r="A22" s="105" t="s">
        <v>43</v>
      </c>
      <c r="B22" s="156"/>
      <c r="C22" s="99"/>
      <c r="D22" s="156"/>
      <c r="E22" s="156"/>
      <c r="F22" s="244">
        <f>G68</f>
        <v>0.6734889243876464</v>
      </c>
      <c r="G22" s="247">
        <f>G20/F22</f>
        <v>2.5901162702257303</v>
      </c>
      <c r="H22" s="164">
        <f>F22</f>
        <v>0.6734889243876464</v>
      </c>
      <c r="I22" s="165">
        <f>I20/H22</f>
        <v>2.5901162702257303</v>
      </c>
      <c r="J22" s="164">
        <f>F22</f>
        <v>0.6734889243876464</v>
      </c>
      <c r="K22" s="165">
        <f>K20/J22</f>
        <v>2.5901162702257303</v>
      </c>
      <c r="L22" s="164">
        <f>F22</f>
        <v>0.6734889243876464</v>
      </c>
      <c r="M22" s="165">
        <f>M20/L22</f>
        <v>2.5901162702257303</v>
      </c>
      <c r="N22" s="166">
        <f>F22</f>
        <v>0.6734889243876464</v>
      </c>
      <c r="O22" s="165">
        <f>O20/N22</f>
        <v>2.5901162702257303</v>
      </c>
      <c r="P22" s="166">
        <f>F22</f>
        <v>0.6734889243876464</v>
      </c>
      <c r="Q22" s="165">
        <f>Q20/P22</f>
        <v>2.5901162702257303</v>
      </c>
      <c r="R22" s="82"/>
      <c r="S22" s="316" t="s">
        <v>44</v>
      </c>
    </row>
    <row r="23" spans="1:20" ht="16.2" thickBot="1" x14ac:dyDescent="0.35">
      <c r="A23" s="94" t="s">
        <v>45</v>
      </c>
      <c r="B23" s="156"/>
      <c r="C23" s="99"/>
      <c r="D23" s="156"/>
      <c r="E23" s="156"/>
      <c r="F23" s="164"/>
      <c r="G23" s="373">
        <f>IF('Algemene kostprijsfactoren'!$F$34&lt;&gt;"",'Algemene kostprijsfactoren'!$F$34,'Algemene kostprijsfactoren'!$D$34)</f>
        <v>0.253</v>
      </c>
      <c r="H23" s="164"/>
      <c r="I23" s="288">
        <f>G23</f>
        <v>0.253</v>
      </c>
      <c r="J23" s="232"/>
      <c r="K23" s="288">
        <f>G23</f>
        <v>0.253</v>
      </c>
      <c r="L23" s="232"/>
      <c r="M23" s="288">
        <f>G23</f>
        <v>0.253</v>
      </c>
      <c r="N23" s="233"/>
      <c r="O23" s="288">
        <f>G23</f>
        <v>0.253</v>
      </c>
      <c r="P23" s="233"/>
      <c r="Q23" s="288">
        <f>G23</f>
        <v>0.253</v>
      </c>
      <c r="R23" s="82"/>
      <c r="S23" s="316"/>
    </row>
    <row r="24" spans="1:20" x14ac:dyDescent="0.3">
      <c r="A24" s="105"/>
      <c r="B24" s="167"/>
      <c r="C24" s="98"/>
      <c r="D24" s="167"/>
      <c r="E24" s="167"/>
      <c r="F24" s="168"/>
      <c r="G24" s="248"/>
      <c r="H24" s="170"/>
      <c r="I24" s="169"/>
      <c r="J24" s="170"/>
      <c r="K24" s="169"/>
      <c r="L24" s="171"/>
      <c r="M24" s="169"/>
      <c r="N24" s="170"/>
      <c r="O24" s="169"/>
      <c r="P24" s="170"/>
      <c r="Q24" s="169"/>
      <c r="R24" s="1"/>
      <c r="S24" s="316"/>
    </row>
    <row r="25" spans="1:20" ht="18.899999999999999" customHeight="1" x14ac:dyDescent="0.3">
      <c r="A25" s="129" t="s">
        <v>46</v>
      </c>
      <c r="B25" s="130"/>
      <c r="C25" s="131"/>
      <c r="D25" s="130"/>
      <c r="E25" s="130"/>
      <c r="F25" s="138"/>
      <c r="G25" s="290">
        <f>G22+G23</f>
        <v>2.8431162702257304</v>
      </c>
      <c r="H25" s="289"/>
      <c r="I25" s="290">
        <f>I22+I23</f>
        <v>2.8431162702257304</v>
      </c>
      <c r="J25" s="289"/>
      <c r="K25" s="290">
        <f>K22+K23</f>
        <v>2.8431162702257304</v>
      </c>
      <c r="L25" s="291"/>
      <c r="M25" s="290">
        <f>M22+M23</f>
        <v>2.8431162702257304</v>
      </c>
      <c r="N25" s="292"/>
      <c r="O25" s="290">
        <f>O22+O23</f>
        <v>2.8431162702257304</v>
      </c>
      <c r="P25" s="289"/>
      <c r="Q25" s="290">
        <f>Q22+Q23</f>
        <v>2.8431162702257304</v>
      </c>
      <c r="R25" s="1"/>
      <c r="S25" s="316"/>
    </row>
    <row r="26" spans="1:20" ht="18" customHeight="1" x14ac:dyDescent="0.3">
      <c r="A26" s="104"/>
      <c r="B26" s="87"/>
      <c r="C26" s="99"/>
      <c r="D26" s="87"/>
      <c r="E26" s="87"/>
      <c r="F26" s="139"/>
      <c r="G26" s="115"/>
      <c r="H26" s="117"/>
      <c r="I26" s="118"/>
      <c r="J26" s="117"/>
      <c r="K26" s="118"/>
      <c r="L26" s="112"/>
      <c r="M26" s="113"/>
      <c r="N26" s="117"/>
      <c r="O26" s="118"/>
      <c r="P26" s="117"/>
      <c r="Q26" s="118"/>
      <c r="R26" s="1"/>
      <c r="S26" s="316"/>
    </row>
    <row r="27" spans="1:20" ht="16.2" thickBot="1" x14ac:dyDescent="0.35">
      <c r="A27" s="96" t="s">
        <v>47</v>
      </c>
      <c r="B27" s="87"/>
      <c r="C27" s="125"/>
      <c r="D27" s="87"/>
      <c r="E27" s="87"/>
      <c r="F27" s="87"/>
      <c r="G27" s="114"/>
      <c r="H27" s="116"/>
      <c r="I27" s="114"/>
      <c r="J27" s="116"/>
      <c r="K27" s="114"/>
      <c r="L27" s="87"/>
      <c r="M27" s="87"/>
      <c r="N27" s="116"/>
      <c r="O27" s="114"/>
      <c r="P27" s="116"/>
      <c r="Q27" s="114"/>
      <c r="R27" s="1"/>
      <c r="S27" s="316"/>
    </row>
    <row r="28" spans="1:20" ht="16.2" thickBot="1" x14ac:dyDescent="0.35">
      <c r="A28" s="111" t="s">
        <v>214</v>
      </c>
      <c r="B28" s="100"/>
      <c r="C28" s="99"/>
      <c r="D28" s="100"/>
      <c r="E28" s="100"/>
      <c r="F28" s="244">
        <f>IF('Algemene kostprijsfactoren'!$F$33&lt;&gt;"",'Algemene kostprijsfactoren'!$F$33,'Algemene kostprijsfactoren'!$D$33)</f>
        <v>0.248</v>
      </c>
      <c r="G28" s="245">
        <f>F28*G25</f>
        <v>0.70509283501598119</v>
      </c>
      <c r="H28" s="293">
        <f>F28</f>
        <v>0.248</v>
      </c>
      <c r="I28" s="172">
        <f>H28*I25</f>
        <v>0.70509283501598119</v>
      </c>
      <c r="J28" s="294">
        <f>F28</f>
        <v>0.248</v>
      </c>
      <c r="K28" s="172">
        <f>J28*K25</f>
        <v>0.70509283501598119</v>
      </c>
      <c r="L28" s="294">
        <f>F28</f>
        <v>0.248</v>
      </c>
      <c r="M28" s="173">
        <f>L28*M25</f>
        <v>0.70509283501598119</v>
      </c>
      <c r="N28" s="295">
        <f>F28</f>
        <v>0.248</v>
      </c>
      <c r="O28" s="296">
        <f>N28*O25</f>
        <v>0.70509283501598119</v>
      </c>
      <c r="P28" s="297">
        <f>F28</f>
        <v>0.248</v>
      </c>
      <c r="Q28" s="172">
        <f>P28*Q25</f>
        <v>0.70509283501598119</v>
      </c>
      <c r="R28" s="1"/>
      <c r="S28" s="316" t="s">
        <v>48</v>
      </c>
    </row>
    <row r="29" spans="1:20" x14ac:dyDescent="0.3">
      <c r="A29" s="127"/>
      <c r="B29" s="100"/>
      <c r="C29" s="99"/>
      <c r="D29" s="100"/>
      <c r="E29" s="100"/>
      <c r="F29" s="246"/>
      <c r="G29" s="175"/>
      <c r="H29" s="176"/>
      <c r="I29" s="177"/>
      <c r="J29" s="174"/>
      <c r="K29" s="177"/>
      <c r="L29" s="174"/>
      <c r="M29" s="178"/>
      <c r="N29" s="298"/>
      <c r="O29" s="299"/>
      <c r="P29" s="179"/>
      <c r="Q29" s="177"/>
      <c r="R29" s="1"/>
      <c r="S29" s="316"/>
    </row>
    <row r="30" spans="1:20" ht="16.2" thickBot="1" x14ac:dyDescent="0.35">
      <c r="A30" s="96" t="s">
        <v>49</v>
      </c>
      <c r="B30" s="100"/>
      <c r="C30" s="87"/>
      <c r="D30" s="100"/>
      <c r="E30" s="100"/>
      <c r="F30" s="180"/>
      <c r="G30" s="181"/>
      <c r="H30" s="182"/>
      <c r="I30" s="183"/>
      <c r="J30" s="180"/>
      <c r="K30" s="183"/>
      <c r="L30" s="180"/>
      <c r="M30" s="184"/>
      <c r="N30" s="300"/>
      <c r="O30" s="301"/>
      <c r="P30" s="185"/>
      <c r="Q30" s="183"/>
      <c r="R30" s="1"/>
      <c r="S30" s="316"/>
    </row>
    <row r="31" spans="1:20" ht="16.2" thickBot="1" x14ac:dyDescent="0.35">
      <c r="A31" s="121" t="s">
        <v>50</v>
      </c>
      <c r="B31" s="87"/>
      <c r="C31" s="87"/>
      <c r="D31" s="87"/>
      <c r="E31" s="87"/>
      <c r="F31" s="250">
        <v>0.02</v>
      </c>
      <c r="G31" s="302">
        <f>F31*G25</f>
        <v>5.6862325404514608E-2</v>
      </c>
      <c r="H31" s="294">
        <f>F31</f>
        <v>0.02</v>
      </c>
      <c r="I31" s="303">
        <f>H31*I25</f>
        <v>5.6862325404514608E-2</v>
      </c>
      <c r="J31" s="294">
        <f>F31</f>
        <v>0.02</v>
      </c>
      <c r="K31" s="303">
        <f>J31*K25</f>
        <v>5.6862325404514608E-2</v>
      </c>
      <c r="L31" s="294">
        <f>F31</f>
        <v>0.02</v>
      </c>
      <c r="M31" s="304">
        <f>L31*M25</f>
        <v>5.6862325404514608E-2</v>
      </c>
      <c r="N31" s="295">
        <f>F31</f>
        <v>0.02</v>
      </c>
      <c r="O31" s="303">
        <f>N31*O25</f>
        <v>5.6862325404514608E-2</v>
      </c>
      <c r="P31" s="297">
        <f>F31</f>
        <v>0.02</v>
      </c>
      <c r="Q31" s="303">
        <f>P31*Q25</f>
        <v>5.6862325404514608E-2</v>
      </c>
      <c r="R31" s="1"/>
      <c r="S31" s="316"/>
    </row>
    <row r="32" spans="1:20" ht="18" x14ac:dyDescent="0.3">
      <c r="A32" s="92" t="s">
        <v>51</v>
      </c>
      <c r="B32" s="122"/>
      <c r="C32" s="123"/>
      <c r="D32" s="122"/>
      <c r="E32" s="122"/>
      <c r="F32" s="103"/>
      <c r="G32" s="305">
        <f>IF(F7&lt;&gt;"",SUM(G25+G28+G31),0)</f>
        <v>3.6050714306462264</v>
      </c>
      <c r="H32" s="306"/>
      <c r="I32" s="305">
        <f>IF(H7&lt;&gt;"",SUM(I25+I28+I31),0)</f>
        <v>3.6050714306462264</v>
      </c>
      <c r="J32" s="306"/>
      <c r="K32" s="309">
        <f>IF(J7&lt;&gt;"",SUM(K25+K28+K31),0)</f>
        <v>3.6050714306462264</v>
      </c>
      <c r="L32" s="307"/>
      <c r="M32" s="305">
        <f>IF(L7&lt;&gt;"",SUM(M25+M28+M31),0)</f>
        <v>3.6050714306462264</v>
      </c>
      <c r="N32" s="308"/>
      <c r="O32" s="309">
        <f>IF(N7&lt;&gt;"",SUM(O25+O28+O31),0)</f>
        <v>3.6050714306462264</v>
      </c>
      <c r="P32" s="306"/>
      <c r="Q32" s="309">
        <f>IF(P7&lt;&gt;"",SUM(Q25+Q28+Q31),0)</f>
        <v>3.6050714306462264</v>
      </c>
      <c r="R32" s="1"/>
      <c r="S32" s="318"/>
      <c r="T32" s="140"/>
    </row>
    <row r="33" spans="1:20" ht="16.2" thickBot="1" x14ac:dyDescent="0.35">
      <c r="A33" s="96"/>
      <c r="B33" s="87"/>
      <c r="C33" s="125"/>
      <c r="D33" s="87"/>
      <c r="E33" s="87"/>
      <c r="F33" s="87"/>
      <c r="G33" s="114"/>
      <c r="H33" s="116"/>
      <c r="I33" s="114"/>
      <c r="J33" s="116"/>
      <c r="K33" s="114"/>
      <c r="L33" s="87"/>
      <c r="M33" s="87"/>
      <c r="N33" s="141"/>
      <c r="O33" s="186"/>
      <c r="P33" s="116"/>
      <c r="Q33" s="114"/>
      <c r="R33" s="1"/>
      <c r="S33" s="316" t="s">
        <v>52</v>
      </c>
      <c r="T33" s="145"/>
    </row>
    <row r="34" spans="1:20" ht="16.2" thickBot="1" x14ac:dyDescent="0.35">
      <c r="A34" s="22" t="s">
        <v>53</v>
      </c>
      <c r="B34" s="124"/>
      <c r="C34" s="124"/>
      <c r="D34" s="124"/>
      <c r="E34" s="124"/>
      <c r="F34" s="494">
        <v>1</v>
      </c>
      <c r="G34" s="495"/>
      <c r="H34" s="494">
        <v>0</v>
      </c>
      <c r="I34" s="495"/>
      <c r="J34" s="494">
        <v>0</v>
      </c>
      <c r="K34" s="495"/>
      <c r="L34" s="494">
        <v>0</v>
      </c>
      <c r="M34" s="495"/>
      <c r="N34" s="494">
        <v>0</v>
      </c>
      <c r="O34" s="495"/>
      <c r="P34" s="494">
        <v>0</v>
      </c>
      <c r="Q34" s="495"/>
      <c r="R34" s="1"/>
      <c r="S34" s="235">
        <f>SUM(F34:Q34)</f>
        <v>1</v>
      </c>
      <c r="T34" s="140"/>
    </row>
    <row r="35" spans="1:20" ht="17.25" customHeight="1" thickBot="1" x14ac:dyDescent="0.35">
      <c r="A35" s="187" t="s">
        <v>54</v>
      </c>
      <c r="B35" s="188"/>
      <c r="C35" s="188"/>
      <c r="D35" s="188"/>
      <c r="E35" s="188"/>
      <c r="F35" s="20"/>
      <c r="G35" s="20"/>
      <c r="H35" s="20"/>
      <c r="I35" s="20"/>
      <c r="J35" s="20"/>
      <c r="K35" s="20"/>
      <c r="L35" s="20"/>
      <c r="M35" s="194"/>
      <c r="N35" s="20"/>
      <c r="O35" s="189"/>
      <c r="P35" s="190"/>
      <c r="Q35" s="251">
        <f>(F34*G32+H34*I32+J34*K32+L34*M32+N34*O32+P34*Q32)</f>
        <v>3.6050714306462264</v>
      </c>
      <c r="R35" s="1"/>
    </row>
    <row r="36" spans="1:20" ht="18" x14ac:dyDescent="0.3">
      <c r="A36" s="9"/>
      <c r="B36" s="155"/>
      <c r="C36" s="155"/>
      <c r="D36" s="155"/>
      <c r="E36" s="155"/>
      <c r="M36" s="13"/>
      <c r="O36" s="191"/>
      <c r="P36" s="192"/>
      <c r="Q36" s="192"/>
    </row>
    <row r="37" spans="1:20" x14ac:dyDescent="0.3">
      <c r="F37" s="201" t="s">
        <v>55</v>
      </c>
      <c r="G37" s="202">
        <v>1878</v>
      </c>
      <c r="M37" s="242"/>
      <c r="P37" s="243">
        <f>F34*G10+H34*I10+J34*K10+L34*M10+N34*O10+P34*Q10</f>
        <v>0</v>
      </c>
    </row>
    <row r="38" spans="1:20" x14ac:dyDescent="0.3">
      <c r="M38" s="242"/>
      <c r="N38" s="5"/>
      <c r="P38" s="243">
        <f>G20*F34+H34*I20+J34*K20+L34*M20+N34*O20+P34*Q20</f>
        <v>1.7444146208732696</v>
      </c>
    </row>
    <row r="39" spans="1:20" x14ac:dyDescent="0.3">
      <c r="F39" s="201"/>
      <c r="G39" s="202" t="s">
        <v>72</v>
      </c>
      <c r="H39" s="202" t="s">
        <v>73</v>
      </c>
      <c r="I39" s="202" t="s">
        <v>74</v>
      </c>
      <c r="J39" s="202" t="s">
        <v>75</v>
      </c>
      <c r="K39" s="202" t="s">
        <v>76</v>
      </c>
      <c r="L39" s="202" t="s">
        <v>77</v>
      </c>
      <c r="M39" s="5"/>
    </row>
    <row r="40" spans="1:20" x14ac:dyDescent="0.3">
      <c r="F40" s="203"/>
      <c r="G40" s="203"/>
      <c r="H40" s="203"/>
      <c r="I40" s="203"/>
      <c r="J40" s="203"/>
      <c r="K40" s="203"/>
      <c r="L40" s="203"/>
      <c r="M40" s="5"/>
    </row>
    <row r="41" spans="1:20" ht="16.2" thickBot="1" x14ac:dyDescent="0.35">
      <c r="F41" s="253" t="s">
        <v>57</v>
      </c>
      <c r="G41" s="204">
        <f>$G$37*G15</f>
        <v>4150.38</v>
      </c>
      <c r="H41" s="204">
        <f>$G$37*I15</f>
        <v>4150.38</v>
      </c>
      <c r="I41" s="204">
        <f>$G$37*K15</f>
        <v>4150.38</v>
      </c>
      <c r="J41" s="204">
        <f>$G$37*M15</f>
        <v>4150.38</v>
      </c>
      <c r="K41" s="204">
        <f>$G$37*O15</f>
        <v>4150.38</v>
      </c>
      <c r="L41" s="204">
        <f>$G$37*Q15</f>
        <v>4150.38</v>
      </c>
      <c r="M41" s="5"/>
    </row>
    <row r="42" spans="1:20" ht="16.2" thickBot="1" x14ac:dyDescent="0.35">
      <c r="A42" s="197" t="s">
        <v>202</v>
      </c>
      <c r="F42" s="331">
        <f>IF('Algemene kostprijsfactoren'!$F$12&lt;&gt;"",'Algemene kostprijsfactoren'!$F$12,'Algemene kostprijsfactoren'!$C$12)</f>
        <v>0.25800000000000001</v>
      </c>
      <c r="G42" s="252">
        <f>$F$42</f>
        <v>0.25800000000000001</v>
      </c>
      <c r="H42" s="205">
        <f t="shared" ref="H42:L42" si="0">$F$42</f>
        <v>0.25800000000000001</v>
      </c>
      <c r="I42" s="205">
        <f t="shared" si="0"/>
        <v>0.25800000000000001</v>
      </c>
      <c r="J42" s="205">
        <f t="shared" si="0"/>
        <v>0.25800000000000001</v>
      </c>
      <c r="K42" s="205">
        <f t="shared" si="0"/>
        <v>0.25800000000000001</v>
      </c>
      <c r="L42" s="205">
        <f t="shared" si="0"/>
        <v>0.25800000000000001</v>
      </c>
      <c r="M42" s="5"/>
      <c r="N42" s="256" t="s">
        <v>177</v>
      </c>
      <c r="O42" s="209"/>
      <c r="P42" s="209"/>
      <c r="Q42" s="209"/>
    </row>
    <row r="43" spans="1:20" ht="16.2" thickBot="1" x14ac:dyDescent="0.35">
      <c r="A43" s="197" t="s">
        <v>179</v>
      </c>
      <c r="F43" s="332">
        <f>IF('Algemene kostprijsfactoren'!$F$13&lt;&gt;"",'Algemene kostprijsfactoren'!$F$13,'Algemene kostprijsfactoren'!$C$13)</f>
        <v>16655</v>
      </c>
      <c r="G43" s="310">
        <f>$F$43</f>
        <v>16655</v>
      </c>
      <c r="H43" s="311">
        <f t="shared" ref="H43:L43" si="1">$F$43</f>
        <v>16655</v>
      </c>
      <c r="I43" s="311">
        <f t="shared" si="1"/>
        <v>16655</v>
      </c>
      <c r="J43" s="311">
        <f t="shared" si="1"/>
        <v>16655</v>
      </c>
      <c r="K43" s="311">
        <f t="shared" si="1"/>
        <v>16655</v>
      </c>
      <c r="L43" s="311">
        <f t="shared" si="1"/>
        <v>16655</v>
      </c>
      <c r="M43"/>
      <c r="N43" s="256" t="s">
        <v>180</v>
      </c>
      <c r="O43" s="209"/>
      <c r="P43" s="209"/>
      <c r="Q43" s="209"/>
    </row>
    <row r="44" spans="1:20" ht="16.2" thickBot="1" x14ac:dyDescent="0.35">
      <c r="A44" s="197" t="s">
        <v>12</v>
      </c>
      <c r="F44" s="254"/>
      <c r="G44" s="204">
        <f>(G41-G43)*G42</f>
        <v>-3226.1919599999997</v>
      </c>
      <c r="H44" s="204">
        <f t="shared" ref="H44:K44" si="2">(H41-H43)*H42</f>
        <v>-3226.1919599999997</v>
      </c>
      <c r="I44" s="204">
        <f t="shared" si="2"/>
        <v>-3226.1919599999997</v>
      </c>
      <c r="J44" s="204">
        <f t="shared" si="2"/>
        <v>-3226.1919599999997</v>
      </c>
      <c r="K44" s="204">
        <f t="shared" si="2"/>
        <v>-3226.1919599999997</v>
      </c>
      <c r="L44" s="204">
        <f>(L41-L43)*L42</f>
        <v>-3226.1919599999997</v>
      </c>
      <c r="M44" s="5"/>
    </row>
    <row r="45" spans="1:20" ht="16.8" thickTop="1" thickBot="1" x14ac:dyDescent="0.35">
      <c r="A45" s="198" t="s">
        <v>13</v>
      </c>
      <c r="F45" s="331">
        <f>IF('Algemene kostprijsfactoren'!$F$15&lt;&gt;"",'Algemene kostprijsfactoren'!$F$15,'Algemene kostprijsfactoren'!$C$15)</f>
        <v>0.5</v>
      </c>
      <c r="G45" s="206">
        <f>(G44/G41)*$F$45</f>
        <v>-0.38866223815650608</v>
      </c>
      <c r="H45" s="206">
        <f t="shared" ref="H45:L45" si="3">(H44/H41)*$F$45</f>
        <v>-0.38866223815650608</v>
      </c>
      <c r="I45" s="206">
        <f t="shared" si="3"/>
        <v>-0.38866223815650608</v>
      </c>
      <c r="J45" s="206">
        <f t="shared" si="3"/>
        <v>-0.38866223815650608</v>
      </c>
      <c r="K45" s="206">
        <f t="shared" si="3"/>
        <v>-0.38866223815650608</v>
      </c>
      <c r="L45" s="206">
        <f t="shared" si="3"/>
        <v>-0.38866223815650608</v>
      </c>
      <c r="M45" s="5"/>
    </row>
    <row r="46" spans="1:20" ht="16.8" thickTop="1" thickBot="1" x14ac:dyDescent="0.35">
      <c r="A46" s="197" t="s">
        <v>203</v>
      </c>
      <c r="F46" s="331">
        <f>IF('Algemene kostprijsfactoren'!$F$16&lt;&gt;"",'Algemene kostprijsfactoren'!$F$16,'Algemene kostprijsfactoren'!$C$16)</f>
        <v>5.0000000000000001E-3</v>
      </c>
      <c r="G46" s="252">
        <f>$F$46</f>
        <v>5.0000000000000001E-3</v>
      </c>
      <c r="H46" s="205">
        <f t="shared" ref="H46:L46" si="4">$F$46</f>
        <v>5.0000000000000001E-3</v>
      </c>
      <c r="I46" s="205">
        <f t="shared" si="4"/>
        <v>5.0000000000000001E-3</v>
      </c>
      <c r="J46" s="205">
        <f t="shared" si="4"/>
        <v>5.0000000000000001E-3</v>
      </c>
      <c r="K46" s="205">
        <f t="shared" si="4"/>
        <v>5.0000000000000001E-3</v>
      </c>
      <c r="L46" s="205">
        <f t="shared" si="4"/>
        <v>5.0000000000000001E-3</v>
      </c>
      <c r="M46" s="5"/>
      <c r="N46" s="256" t="s">
        <v>178</v>
      </c>
      <c r="O46" s="209"/>
      <c r="P46" s="209"/>
      <c r="Q46" s="209"/>
    </row>
    <row r="47" spans="1:20" ht="16.2" thickBot="1" x14ac:dyDescent="0.35">
      <c r="A47" s="197" t="s">
        <v>204</v>
      </c>
      <c r="F47" s="332">
        <f>IF('Algemene kostprijsfactoren'!$F$17&lt;&gt;"",'Algemene kostprijsfactoren'!$F$17,'Algemene kostprijsfactoren'!$C$17)</f>
        <v>28405</v>
      </c>
      <c r="G47" s="310">
        <f>$F47</f>
        <v>28405</v>
      </c>
      <c r="H47" s="311">
        <f t="shared" ref="H47:L47" si="5">$F47</f>
        <v>28405</v>
      </c>
      <c r="I47" s="311">
        <f t="shared" si="5"/>
        <v>28405</v>
      </c>
      <c r="J47" s="311">
        <f t="shared" si="5"/>
        <v>28405</v>
      </c>
      <c r="K47" s="311">
        <f t="shared" si="5"/>
        <v>28405</v>
      </c>
      <c r="L47" s="311">
        <f t="shared" si="5"/>
        <v>28405</v>
      </c>
      <c r="M47"/>
      <c r="N47" s="256" t="s">
        <v>180</v>
      </c>
      <c r="O47" s="209"/>
      <c r="P47" s="209"/>
      <c r="Q47" s="209"/>
    </row>
    <row r="48" spans="1:20" ht="16.2" thickBot="1" x14ac:dyDescent="0.35">
      <c r="A48" s="199" t="s">
        <v>14</v>
      </c>
      <c r="F48" s="255"/>
      <c r="G48" s="207">
        <f>(G41-G47)*G46</f>
        <v>-121.2731</v>
      </c>
      <c r="H48" s="207">
        <f t="shared" ref="H48:L48" si="6">(H41-H47)*H46</f>
        <v>-121.2731</v>
      </c>
      <c r="I48" s="207">
        <f t="shared" si="6"/>
        <v>-121.2731</v>
      </c>
      <c r="J48" s="207">
        <f t="shared" si="6"/>
        <v>-121.2731</v>
      </c>
      <c r="K48" s="207">
        <f>(K41-K47)*K46</f>
        <v>-121.2731</v>
      </c>
      <c r="L48" s="207">
        <f t="shared" si="6"/>
        <v>-121.2731</v>
      </c>
      <c r="M48" s="5"/>
    </row>
    <row r="49" spans="1:19" ht="16.8" thickTop="1" thickBot="1" x14ac:dyDescent="0.35">
      <c r="A49" s="198" t="s">
        <v>15</v>
      </c>
      <c r="F49" s="331">
        <f>IF('Algemene kostprijsfactoren'!$F$19&lt;&gt;"",'Algemene kostprijsfactoren'!$F$19,'Algemene kostprijsfactoren'!$C$19)</f>
        <v>0.5</v>
      </c>
      <c r="G49" s="206">
        <f>(G48/G41)*$F49</f>
        <v>-1.460987909540813E-2</v>
      </c>
      <c r="H49" s="206">
        <f t="shared" ref="H49:L49" si="7">(H48/H41)*$F49</f>
        <v>-1.460987909540813E-2</v>
      </c>
      <c r="I49" s="206">
        <f t="shared" si="7"/>
        <v>-1.460987909540813E-2</v>
      </c>
      <c r="J49" s="206">
        <f t="shared" si="7"/>
        <v>-1.460987909540813E-2</v>
      </c>
      <c r="K49" s="206">
        <f t="shared" si="7"/>
        <v>-1.460987909540813E-2</v>
      </c>
      <c r="L49" s="206">
        <f t="shared" si="7"/>
        <v>-1.460987909540813E-2</v>
      </c>
      <c r="M49" s="5"/>
    </row>
    <row r="50" spans="1:19" ht="16.2" thickTop="1" x14ac:dyDescent="0.3">
      <c r="F50" s="333" t="s">
        <v>58</v>
      </c>
      <c r="G50" s="208">
        <f>G49+G45</f>
        <v>-0.4032721172519142</v>
      </c>
      <c r="H50" s="208">
        <f t="shared" ref="H50:L50" si="8">H49+H45</f>
        <v>-0.4032721172519142</v>
      </c>
      <c r="I50" s="208">
        <f t="shared" si="8"/>
        <v>-0.4032721172519142</v>
      </c>
      <c r="J50" s="208">
        <f t="shared" si="8"/>
        <v>-0.4032721172519142</v>
      </c>
      <c r="K50" s="208">
        <f t="shared" si="8"/>
        <v>-0.4032721172519142</v>
      </c>
      <c r="L50" s="208">
        <f t="shared" si="8"/>
        <v>-0.4032721172519142</v>
      </c>
      <c r="M50" s="5"/>
    </row>
    <row r="52" spans="1:19" x14ac:dyDescent="0.3">
      <c r="A52" s="197" t="s">
        <v>16</v>
      </c>
      <c r="F52" s="330">
        <f>IF('Algemene kostprijsfactoren'!$F$22&lt;&gt;"",'Algemene kostprijsfactoren'!$F$22,'Algemene kostprijsfactoren'!$C$22)</f>
        <v>7.5800000000000006E-2</v>
      </c>
      <c r="G52" s="195"/>
      <c r="H52" s="209">
        <v>7.1099999999999997E-2</v>
      </c>
      <c r="I52" s="496" t="s">
        <v>193</v>
      </c>
      <c r="J52" s="497"/>
      <c r="K52" s="497"/>
      <c r="L52" s="497"/>
      <c r="M52" s="497"/>
      <c r="N52" s="497"/>
      <c r="O52" s="497"/>
      <c r="P52" s="497"/>
      <c r="Q52" s="497"/>
      <c r="R52" s="497"/>
      <c r="S52" s="498"/>
    </row>
    <row r="53" spans="1:19" x14ac:dyDescent="0.3">
      <c r="A53" s="197" t="s">
        <v>17</v>
      </c>
      <c r="F53" s="330">
        <f>IF('Algemene kostprijsfactoren'!$F$23&lt;&gt;"",'Algemene kostprijsfactoren'!$F$23,'Algemene kostprijsfactoren'!$C$23)</f>
        <v>3.49E-2</v>
      </c>
      <c r="G53" s="195"/>
      <c r="H53" s="499" t="s">
        <v>181</v>
      </c>
      <c r="I53" s="500"/>
      <c r="J53" s="500" t="s">
        <v>181</v>
      </c>
      <c r="K53" s="500"/>
      <c r="L53" s="500" t="s">
        <v>181</v>
      </c>
      <c r="M53" s="500"/>
      <c r="N53" s="500" t="s">
        <v>181</v>
      </c>
      <c r="O53" s="500"/>
      <c r="P53" s="500" t="s">
        <v>181</v>
      </c>
      <c r="Q53" s="500"/>
      <c r="R53" s="500" t="s">
        <v>181</v>
      </c>
      <c r="S53" s="501"/>
    </row>
    <row r="54" spans="1:19" x14ac:dyDescent="0.3">
      <c r="A54" s="197" t="s">
        <v>18</v>
      </c>
      <c r="F54" s="330">
        <f>IF('Algemene kostprijsfactoren'!$F$24&lt;&gt;"",'Algemene kostprijsfactoren'!$F$24,'Algemene kostprijsfactoren'!$C$24)</f>
        <v>6.5100000000000005E-2</v>
      </c>
      <c r="G54" s="195"/>
      <c r="H54" s="209">
        <v>6.6799999999999998E-2</v>
      </c>
      <c r="I54" s="496" t="s">
        <v>182</v>
      </c>
      <c r="J54" s="497"/>
      <c r="K54" s="497"/>
      <c r="L54" s="497"/>
      <c r="M54" s="497"/>
      <c r="N54" s="497"/>
      <c r="O54" s="497"/>
      <c r="P54" s="497"/>
      <c r="Q54" s="497"/>
      <c r="R54" s="497"/>
      <c r="S54" s="498"/>
    </row>
    <row r="55" spans="1:19" x14ac:dyDescent="0.3">
      <c r="A55" s="197" t="s">
        <v>19</v>
      </c>
      <c r="F55" s="330">
        <f>IF('Algemene kostprijsfactoren'!$F$25&lt;&gt;"",'Algemene kostprijsfactoren'!$F$25,'Algemene kostprijsfactoren'!$C$25)</f>
        <v>1.3299999999999999E-2</v>
      </c>
      <c r="G55" s="195"/>
      <c r="H55" s="496" t="s">
        <v>20</v>
      </c>
      <c r="I55" s="497"/>
      <c r="J55" s="497"/>
      <c r="K55" s="497"/>
      <c r="L55" s="497"/>
      <c r="M55" s="497"/>
      <c r="N55" s="497"/>
      <c r="O55" s="497"/>
      <c r="P55" s="497"/>
      <c r="Q55" s="497"/>
      <c r="R55" s="497"/>
      <c r="S55" s="498"/>
    </row>
    <row r="56" spans="1:19" ht="16.2" thickBot="1" x14ac:dyDescent="0.35">
      <c r="A56" s="199" t="s">
        <v>21</v>
      </c>
      <c r="F56" s="330">
        <f>IF('Algemene kostprijsfactoren'!$F$26&lt;&gt;"",'Algemene kostprijsfactoren'!$F$26,'Algemene kostprijsfactoren'!$C$26)</f>
        <v>3.5000000000000001E-3</v>
      </c>
      <c r="G56" s="195"/>
      <c r="H56" s="496" t="s">
        <v>22</v>
      </c>
      <c r="I56" s="497"/>
      <c r="J56" s="497"/>
      <c r="K56" s="497"/>
      <c r="L56" s="497"/>
      <c r="M56" s="497"/>
      <c r="N56" s="497"/>
      <c r="O56" s="497"/>
      <c r="P56" s="497"/>
      <c r="Q56" s="497"/>
      <c r="R56" s="497"/>
      <c r="S56" s="498"/>
    </row>
    <row r="57" spans="1:19" ht="16.2" thickTop="1" x14ac:dyDescent="0.3">
      <c r="A57" s="200" t="s">
        <v>23</v>
      </c>
      <c r="F57" s="210">
        <f>SUM(F52:F56)</f>
        <v>0.19260000000000002</v>
      </c>
      <c r="G57" s="195"/>
      <c r="H57" s="196"/>
      <c r="I57" s="196"/>
    </row>
    <row r="59" spans="1:19" x14ac:dyDescent="0.3">
      <c r="F59" s="6" t="s">
        <v>59</v>
      </c>
      <c r="G59" s="6" t="s">
        <v>60</v>
      </c>
      <c r="H59" s="6" t="s">
        <v>61</v>
      </c>
    </row>
    <row r="60" spans="1:19" ht="16.2" thickBot="1" x14ac:dyDescent="0.35">
      <c r="A60" s="215" t="s">
        <v>62</v>
      </c>
      <c r="F60" s="218"/>
      <c r="G60" s="219">
        <v>1878</v>
      </c>
      <c r="H60" s="220"/>
      <c r="I60" s="211"/>
      <c r="J60" s="478" t="s">
        <v>63</v>
      </c>
      <c r="K60" s="479"/>
      <c r="L60" s="479"/>
      <c r="M60" s="479"/>
      <c r="N60" s="479"/>
      <c r="O60" s="479"/>
      <c r="P60" s="479"/>
      <c r="Q60" s="479"/>
      <c r="R60" s="479"/>
      <c r="S60" s="480"/>
    </row>
    <row r="61" spans="1:19" ht="16.2" thickTop="1" x14ac:dyDescent="0.3">
      <c r="A61" s="197" t="s">
        <v>11</v>
      </c>
      <c r="F61" s="234" t="s">
        <v>31</v>
      </c>
      <c r="G61" s="221">
        <f>$G$60*H61</f>
        <v>150.42780000000002</v>
      </c>
      <c r="H61" s="329">
        <f>IF('Algemene kostprijsfactoren'!F8&lt;&gt;"",'Algemene kostprijsfactoren'!F8,'Algemene kostprijsfactoren'!C8)</f>
        <v>8.0100000000000005E-2</v>
      </c>
      <c r="I61" s="211"/>
      <c r="J61" s="230">
        <f>'Algemene kostprijsfactoren'!C8</f>
        <v>8.0100000000000005E-2</v>
      </c>
      <c r="K61" s="257" t="s">
        <v>195</v>
      </c>
      <c r="L61" s="258"/>
      <c r="M61" s="258"/>
      <c r="N61" s="258"/>
      <c r="O61" s="258"/>
      <c r="P61" s="258"/>
      <c r="Q61" s="258"/>
      <c r="R61" s="259"/>
      <c r="S61" s="260"/>
    </row>
    <row r="62" spans="1:19" x14ac:dyDescent="0.3">
      <c r="A62" s="197" t="s">
        <v>64</v>
      </c>
      <c r="F62" s="234" t="s">
        <v>31</v>
      </c>
      <c r="G62" s="337">
        <f>(144+58.4+35)</f>
        <v>237.4</v>
      </c>
      <c r="H62" s="339"/>
      <c r="I62" s="211"/>
      <c r="J62" s="312" t="s">
        <v>65</v>
      </c>
      <c r="K62" s="261"/>
      <c r="L62" s="261"/>
      <c r="M62" s="261"/>
      <c r="N62" s="261"/>
      <c r="O62" s="261"/>
      <c r="P62" s="261"/>
      <c r="Q62" s="261"/>
      <c r="R62" s="226"/>
      <c r="S62" s="262"/>
    </row>
    <row r="63" spans="1:19" x14ac:dyDescent="0.3">
      <c r="A63" s="197" t="s">
        <v>66</v>
      </c>
      <c r="F63" s="234" t="s">
        <v>31</v>
      </c>
      <c r="G63" s="336">
        <f>G60*H63</f>
        <v>37.56</v>
      </c>
      <c r="H63" s="227">
        <v>0.02</v>
      </c>
      <c r="I63" s="211"/>
      <c r="J63" s="263" t="s">
        <v>78</v>
      </c>
      <c r="K63" s="264"/>
      <c r="L63" s="264"/>
      <c r="M63" s="264"/>
      <c r="N63" s="264"/>
      <c r="O63" s="264"/>
      <c r="P63" s="264"/>
      <c r="Q63" s="264"/>
      <c r="R63" s="265"/>
      <c r="S63" s="266"/>
    </row>
    <row r="64" spans="1:19" x14ac:dyDescent="0.3">
      <c r="A64" s="197" t="s">
        <v>215</v>
      </c>
      <c r="F64" s="234" t="s">
        <v>31</v>
      </c>
      <c r="G64" s="336">
        <f>G60*H64</f>
        <v>187.8</v>
      </c>
      <c r="H64" s="228">
        <v>0.1</v>
      </c>
      <c r="I64" s="211"/>
      <c r="J64" s="313" t="s">
        <v>81</v>
      </c>
      <c r="K64" s="267"/>
      <c r="L64" s="267"/>
      <c r="M64" s="267"/>
      <c r="N64" s="267"/>
      <c r="O64" s="267"/>
      <c r="P64" s="267"/>
      <c r="Q64" s="267"/>
      <c r="R64" s="268"/>
      <c r="S64" s="269"/>
    </row>
    <row r="65" spans="1:19" ht="16.2" thickBot="1" x14ac:dyDescent="0.35">
      <c r="A65" s="197" t="s">
        <v>67</v>
      </c>
      <c r="F65" s="234" t="s">
        <v>31</v>
      </c>
      <c r="G65" s="338">
        <f>G60*H65</f>
        <v>0</v>
      </c>
      <c r="H65" s="229">
        <v>0</v>
      </c>
      <c r="I65" s="211"/>
      <c r="J65" s="312" t="s">
        <v>80</v>
      </c>
      <c r="K65" s="270"/>
      <c r="L65" s="270"/>
      <c r="M65" s="270"/>
      <c r="N65" s="270"/>
      <c r="O65" s="270"/>
      <c r="P65" s="270"/>
      <c r="Q65" s="270"/>
      <c r="R65" s="225"/>
      <c r="S65" s="217"/>
    </row>
    <row r="66" spans="1:19" ht="16.2" thickTop="1" x14ac:dyDescent="0.3">
      <c r="A66" s="231" t="s">
        <v>68</v>
      </c>
      <c r="F66" s="223"/>
      <c r="G66" s="314">
        <f>G60-SUMIFS(G61:G65,F61:F65,"Ja")</f>
        <v>1264.8121999999998</v>
      </c>
      <c r="H66" s="224"/>
      <c r="I66" s="212"/>
      <c r="J66" s="213"/>
    </row>
    <row r="67" spans="1:19" x14ac:dyDescent="0.3">
      <c r="A67" s="214"/>
      <c r="F67" s="225"/>
      <c r="G67" s="226"/>
      <c r="H67" s="226"/>
      <c r="I67" s="213"/>
      <c r="J67" s="213"/>
    </row>
    <row r="68" spans="1:19" x14ac:dyDescent="0.3">
      <c r="A68" s="216" t="s">
        <v>69</v>
      </c>
      <c r="F68" s="217"/>
      <c r="G68" s="481">
        <f>G66/G60</f>
        <v>0.6734889243876464</v>
      </c>
      <c r="H68" s="482"/>
      <c r="I68" s="213"/>
      <c r="J68" s="213"/>
    </row>
    <row r="71" spans="1:19" x14ac:dyDescent="0.3">
      <c r="A71" s="5" t="s">
        <v>70</v>
      </c>
    </row>
    <row r="72" spans="1:19" x14ac:dyDescent="0.3">
      <c r="A72" s="483"/>
      <c r="B72" s="484"/>
      <c r="C72" s="484"/>
      <c r="D72" s="484"/>
      <c r="E72" s="484"/>
      <c r="F72" s="484"/>
      <c r="G72" s="484"/>
      <c r="H72" s="484"/>
      <c r="I72" s="484"/>
      <c r="J72" s="484"/>
      <c r="K72" s="484"/>
      <c r="L72" s="484"/>
      <c r="M72" s="484"/>
      <c r="N72" s="484"/>
      <c r="O72" s="484"/>
      <c r="P72" s="484"/>
      <c r="Q72" s="484"/>
      <c r="R72" s="484"/>
      <c r="S72" s="485"/>
    </row>
    <row r="73" spans="1:19" x14ac:dyDescent="0.3">
      <c r="A73" s="486"/>
      <c r="B73" s="487"/>
      <c r="C73" s="487"/>
      <c r="D73" s="487"/>
      <c r="E73" s="487"/>
      <c r="F73" s="487"/>
      <c r="G73" s="487"/>
      <c r="H73" s="487"/>
      <c r="I73" s="487"/>
      <c r="J73" s="487"/>
      <c r="K73" s="487"/>
      <c r="L73" s="487"/>
      <c r="M73" s="487"/>
      <c r="N73" s="487"/>
      <c r="O73" s="487"/>
      <c r="P73" s="487"/>
      <c r="Q73" s="487"/>
      <c r="R73" s="487"/>
      <c r="S73" s="488"/>
    </row>
    <row r="74" spans="1:19" x14ac:dyDescent="0.3">
      <c r="A74" s="486"/>
      <c r="B74" s="487"/>
      <c r="C74" s="487"/>
      <c r="D74" s="487"/>
      <c r="E74" s="487"/>
      <c r="F74" s="487"/>
      <c r="G74" s="487"/>
      <c r="H74" s="487"/>
      <c r="I74" s="487"/>
      <c r="J74" s="487"/>
      <c r="K74" s="487"/>
      <c r="L74" s="487"/>
      <c r="M74" s="487"/>
      <c r="N74" s="487"/>
      <c r="O74" s="487"/>
      <c r="P74" s="487"/>
      <c r="Q74" s="487"/>
      <c r="R74" s="487"/>
      <c r="S74" s="488"/>
    </row>
    <row r="75" spans="1:19" x14ac:dyDescent="0.3">
      <c r="A75" s="486"/>
      <c r="B75" s="487"/>
      <c r="C75" s="487"/>
      <c r="D75" s="487"/>
      <c r="E75" s="487"/>
      <c r="F75" s="487"/>
      <c r="G75" s="487"/>
      <c r="H75" s="487"/>
      <c r="I75" s="487"/>
      <c r="J75" s="487"/>
      <c r="K75" s="487"/>
      <c r="L75" s="487"/>
      <c r="M75" s="487"/>
      <c r="N75" s="487"/>
      <c r="O75" s="487"/>
      <c r="P75" s="487"/>
      <c r="Q75" s="487"/>
      <c r="R75" s="487"/>
      <c r="S75" s="488"/>
    </row>
    <row r="76" spans="1:19" x14ac:dyDescent="0.3">
      <c r="A76" s="486"/>
      <c r="B76" s="487"/>
      <c r="C76" s="487"/>
      <c r="D76" s="487"/>
      <c r="E76" s="487"/>
      <c r="F76" s="487"/>
      <c r="G76" s="487"/>
      <c r="H76" s="487"/>
      <c r="I76" s="487"/>
      <c r="J76" s="487"/>
      <c r="K76" s="487"/>
      <c r="L76" s="487"/>
      <c r="M76" s="487"/>
      <c r="N76" s="487"/>
      <c r="O76" s="487"/>
      <c r="P76" s="487"/>
      <c r="Q76" s="487"/>
      <c r="R76" s="487"/>
      <c r="S76" s="488"/>
    </row>
    <row r="77" spans="1:19" x14ac:dyDescent="0.3">
      <c r="A77" s="489"/>
      <c r="B77" s="490"/>
      <c r="C77" s="490"/>
      <c r="D77" s="490"/>
      <c r="E77" s="490"/>
      <c r="F77" s="490"/>
      <c r="G77" s="490"/>
      <c r="H77" s="490"/>
      <c r="I77" s="490"/>
      <c r="J77" s="490"/>
      <c r="K77" s="490"/>
      <c r="L77" s="490"/>
      <c r="M77" s="490"/>
      <c r="N77" s="490"/>
      <c r="O77" s="490"/>
      <c r="P77" s="490"/>
      <c r="Q77" s="490"/>
      <c r="R77" s="490"/>
      <c r="S77" s="491"/>
    </row>
  </sheetData>
  <sheetProtection algorithmName="SHA-512" hashValue="3f/KbsdUOse1p9yItz+JmVbhYJ062IwwUOsmp+IxfhfbMzpgKWve3lDrP8LI66nG2VV+PIM62RJIERxBT74R7g==" saltValue="EGOtIcbaIY85jV0QH9bbXQ==" spinCount="100000" sheet="1" objects="1" scenarios="1"/>
  <protectedRanges>
    <protectedRange algorithmName="SHA-512" hashValue="zrr1YC170iD4z5ngO6i+dvye2WxwMuZwyCItKXOM0Fb0EC895yDhie8vErJXeoL6fSMcx6aoO1sn5XcoWfI8lg==" saltValue="T/jZUAo6mJPMXMKTIHv+sw==" spinCount="100000" sqref="H61 F61:F65 H63:H65" name="Inputcellen_3"/>
  </protectedRanges>
  <mergeCells count="21">
    <mergeCell ref="F5:M5"/>
    <mergeCell ref="F7:G7"/>
    <mergeCell ref="H7:I7"/>
    <mergeCell ref="J7:K7"/>
    <mergeCell ref="L7:M7"/>
    <mergeCell ref="P7:Q7"/>
    <mergeCell ref="F34:G34"/>
    <mergeCell ref="H34:I34"/>
    <mergeCell ref="J34:K34"/>
    <mergeCell ref="L34:M34"/>
    <mergeCell ref="N34:O34"/>
    <mergeCell ref="P34:Q34"/>
    <mergeCell ref="N7:O7"/>
    <mergeCell ref="G68:H68"/>
    <mergeCell ref="A72:S77"/>
    <mergeCell ref="I52:S52"/>
    <mergeCell ref="H53:S53"/>
    <mergeCell ref="I54:S54"/>
    <mergeCell ref="H55:S55"/>
    <mergeCell ref="H56:S56"/>
    <mergeCell ref="J60:S60"/>
  </mergeCells>
  <conditionalFormatting sqref="F42:F43 F49 F52:F56">
    <cfRule type="expression" dxfId="46" priority="1">
      <formula>$C$74="Opslag"</formula>
    </cfRule>
  </conditionalFormatting>
  <conditionalFormatting sqref="F45:F47">
    <cfRule type="expression" dxfId="45" priority="2">
      <formula>$C$74="Opslag"</formula>
    </cfRule>
  </conditionalFormatting>
  <conditionalFormatting sqref="F57">
    <cfRule type="expression" dxfId="44" priority="5">
      <formula>$C$73="Opslag"</formula>
    </cfRule>
  </conditionalFormatting>
  <conditionalFormatting sqref="S34">
    <cfRule type="expression" dxfId="43" priority="3">
      <formula>$S$34=1</formula>
    </cfRule>
    <cfRule type="expression" dxfId="42" priority="4">
      <formula>$S$34&lt;&gt;1</formula>
    </cfRule>
  </conditionalFormatting>
  <conditionalFormatting sqref="T33">
    <cfRule type="cellIs" dxfId="41" priority="8" operator="equal">
      <formula>1</formula>
    </cfRule>
  </conditionalFormatting>
  <pageMargins left="0.7" right="0.7" top="0.75" bottom="0.75" header="0.3" footer="0.3"/>
  <pageSetup paperSize="9" scale="41"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55C7-CB5D-4AEC-92F6-C289A08D6424}">
  <sheetPr codeName="Sheet5">
    <tabColor rgb="FF00B0F0"/>
    <pageSetUpPr fitToPage="1"/>
  </sheetPr>
  <dimension ref="A2:U77"/>
  <sheetViews>
    <sheetView zoomScale="80" zoomScaleNormal="80" workbookViewId="0">
      <pane ySplit="5" topLeftCell="A6" activePane="bottomLeft" state="frozen"/>
      <selection activeCell="F16" sqref="F16"/>
      <selection pane="bottomLeft" activeCell="F16" sqref="F16"/>
    </sheetView>
  </sheetViews>
  <sheetFormatPr defaultColWidth="10.5" defaultRowHeight="15.6" x14ac:dyDescent="0.3"/>
  <cols>
    <col min="1" max="1" width="67.69921875" style="5" customWidth="1"/>
    <col min="2" max="2" width="0.5" style="6" customWidth="1"/>
    <col min="3" max="3" width="14" style="6" hidden="1" customWidth="1"/>
    <col min="4"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customWidth="1"/>
    <col min="13" max="13" width="13.09765625" style="6" customWidth="1"/>
    <col min="14" max="14" width="13.59765625" style="6" customWidth="1"/>
    <col min="15" max="15" width="14.8984375" style="6" customWidth="1"/>
    <col min="16" max="16" width="13.5" style="6" customWidth="1"/>
    <col min="17" max="17" width="13" style="6" customWidth="1"/>
    <col min="18" max="18" width="1.3984375" style="5" customWidth="1"/>
    <col min="19" max="19" width="33" style="5" customWidth="1"/>
    <col min="20" max="20" width="4.5" style="5"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ht="18" x14ac:dyDescent="0.3">
      <c r="A4" s="350" t="s">
        <v>188</v>
      </c>
      <c r="B4" s="353"/>
      <c r="C4" s="353"/>
      <c r="D4" s="353"/>
      <c r="E4" s="353"/>
      <c r="F4" s="353"/>
    </row>
    <row r="5" spans="1:21" s="18" customFormat="1" ht="18" x14ac:dyDescent="0.35">
      <c r="A5" s="350" t="s">
        <v>189</v>
      </c>
      <c r="B5" s="93"/>
      <c r="C5" s="93"/>
      <c r="D5" s="93"/>
      <c r="E5" s="93"/>
      <c r="F5" s="502"/>
      <c r="G5" s="502"/>
      <c r="H5" s="502"/>
      <c r="I5" s="502"/>
      <c r="J5" s="502"/>
      <c r="K5" s="502"/>
      <c r="L5" s="502"/>
      <c r="M5" s="502"/>
      <c r="N5" s="119"/>
      <c r="O5" s="119"/>
      <c r="P5" s="92"/>
      <c r="Q5" s="92"/>
      <c r="R5" s="39"/>
    </row>
    <row r="6" spans="1:21" ht="16.2" thickBot="1" x14ac:dyDescent="0.35">
      <c r="A6" s="106"/>
      <c r="B6" s="107"/>
      <c r="C6" s="107"/>
      <c r="D6" s="107"/>
      <c r="E6" s="107"/>
      <c r="F6" s="139"/>
      <c r="G6" s="319"/>
      <c r="H6" s="132"/>
      <c r="I6" s="132"/>
      <c r="J6" s="132"/>
      <c r="K6" s="132"/>
      <c r="L6" s="132"/>
      <c r="M6" s="132"/>
      <c r="N6" s="132"/>
      <c r="O6" s="132"/>
      <c r="P6" s="132"/>
      <c r="Q6" s="132"/>
      <c r="R6" s="83"/>
    </row>
    <row r="7" spans="1:21" ht="24.9" customHeight="1" thickBot="1" x14ac:dyDescent="0.35">
      <c r="A7" s="95" t="s">
        <v>28</v>
      </c>
      <c r="B7" s="88"/>
      <c r="C7" s="86" t="s">
        <v>29</v>
      </c>
      <c r="D7" s="88"/>
      <c r="E7" s="88"/>
      <c r="F7" s="492" t="str">
        <f>'Algemene kostprijsfactoren'!C4</f>
        <v>Cao_GGZ</v>
      </c>
      <c r="G7" s="493"/>
      <c r="H7" s="492" t="str">
        <f>F7</f>
        <v>Cao_GGZ</v>
      </c>
      <c r="I7" s="493"/>
      <c r="J7" s="492" t="str">
        <f>F7</f>
        <v>Cao_GGZ</v>
      </c>
      <c r="K7" s="493"/>
      <c r="L7" s="492" t="str">
        <f>F7</f>
        <v>Cao_GGZ</v>
      </c>
      <c r="M7" s="493"/>
      <c r="N7" s="492" t="str">
        <f>F7</f>
        <v>Cao_GGZ</v>
      </c>
      <c r="O7" s="493"/>
      <c r="P7" s="492" t="str">
        <f>F7</f>
        <v>Cao_GGZ</v>
      </c>
      <c r="Q7" s="493"/>
      <c r="R7" s="89"/>
      <c r="U7"/>
    </row>
    <row r="8" spans="1:21" ht="16.2" thickBot="1" x14ac:dyDescent="0.35">
      <c r="A8" s="96" t="s">
        <v>30</v>
      </c>
      <c r="B8" s="87"/>
      <c r="C8" s="87"/>
      <c r="D8" s="87"/>
      <c r="E8" s="87"/>
      <c r="F8" s="87"/>
      <c r="G8" s="114"/>
      <c r="H8" s="116"/>
      <c r="I8" s="114"/>
      <c r="J8" s="116"/>
      <c r="K8" s="114"/>
      <c r="L8" s="87"/>
      <c r="M8" s="87"/>
      <c r="N8" s="116"/>
      <c r="O8" s="114"/>
      <c r="P8" s="116"/>
      <c r="Q8" s="114"/>
      <c r="R8" s="1"/>
      <c r="S8" s="193" t="s">
        <v>8</v>
      </c>
    </row>
    <row r="9" spans="1:21" ht="15.9" customHeight="1" thickBot="1" x14ac:dyDescent="0.35">
      <c r="A9" s="97" t="s">
        <v>201</v>
      </c>
      <c r="B9" s="156"/>
      <c r="C9" s="99"/>
      <c r="D9" s="156"/>
      <c r="E9" s="156"/>
      <c r="F9" s="334" t="s">
        <v>211</v>
      </c>
      <c r="G9" s="335"/>
      <c r="H9" s="334" t="s">
        <v>211</v>
      </c>
      <c r="I9" s="335"/>
      <c r="J9" s="334" t="s">
        <v>210</v>
      </c>
      <c r="K9" s="335"/>
      <c r="L9" s="334" t="s">
        <v>210</v>
      </c>
      <c r="M9" s="335"/>
      <c r="N9" s="334" t="s">
        <v>210</v>
      </c>
      <c r="O9" s="335"/>
      <c r="P9" s="334" t="s">
        <v>210</v>
      </c>
      <c r="Q9" s="335"/>
      <c r="R9" s="82"/>
      <c r="S9" s="325"/>
      <c r="T9" s="133"/>
    </row>
    <row r="10" spans="1:21" ht="15.9" customHeight="1" x14ac:dyDescent="0.3">
      <c r="A10" s="97" t="s">
        <v>71</v>
      </c>
      <c r="B10" s="156"/>
      <c r="C10" s="99"/>
      <c r="D10" s="156"/>
      <c r="E10" s="156"/>
      <c r="F10" s="158"/>
      <c r="G10" s="160">
        <f>G9/156.5</f>
        <v>0</v>
      </c>
      <c r="H10" s="158"/>
      <c r="I10" s="160">
        <f>I9/156.5</f>
        <v>0</v>
      </c>
      <c r="J10" s="158"/>
      <c r="K10" s="160">
        <f>K9/156.5</f>
        <v>0</v>
      </c>
      <c r="L10" s="158"/>
      <c r="M10" s="160">
        <f>M9/156.5</f>
        <v>0</v>
      </c>
      <c r="N10" s="158"/>
      <c r="O10" s="160">
        <f>O9/156.5</f>
        <v>0</v>
      </c>
      <c r="P10" s="158"/>
      <c r="Q10" s="160">
        <f>Q9/156.5</f>
        <v>0</v>
      </c>
      <c r="R10" s="82"/>
      <c r="S10" s="133"/>
      <c r="T10" s="133"/>
    </row>
    <row r="11" spans="1:21" ht="15.9" customHeight="1" x14ac:dyDescent="0.3">
      <c r="A11" s="94" t="s">
        <v>4</v>
      </c>
      <c r="B11" s="156"/>
      <c r="C11" s="99" t="s">
        <v>31</v>
      </c>
      <c r="D11" s="156"/>
      <c r="E11" s="156"/>
      <c r="F11" s="158">
        <f>IF(F7&lt;&gt;"",8%,"")</f>
        <v>0.08</v>
      </c>
      <c r="G11" s="157">
        <f>MAX(1.07,F11*G10)</f>
        <v>1.07</v>
      </c>
      <c r="H11" s="158">
        <f>IF(H7&lt;&gt;"",8%,"")</f>
        <v>0.08</v>
      </c>
      <c r="I11" s="157">
        <f>MAX(1.07,H11*I10)</f>
        <v>1.07</v>
      </c>
      <c r="J11" s="158">
        <f>IF(J7&lt;&gt;"",8%,"")</f>
        <v>0.08</v>
      </c>
      <c r="K11" s="157">
        <f>MAX(1.07,J11*K10)</f>
        <v>1.07</v>
      </c>
      <c r="L11" s="158">
        <f>IF(L7&lt;&gt;"",8%,"")</f>
        <v>0.08</v>
      </c>
      <c r="M11" s="157">
        <f>MAX(1.07,L11*M10)</f>
        <v>1.07</v>
      </c>
      <c r="N11" s="158">
        <f>IF(N7&lt;&gt;"",8%,"")</f>
        <v>0.08</v>
      </c>
      <c r="O11" s="157">
        <f>MAX(1.07,N11*O10)</f>
        <v>1.07</v>
      </c>
      <c r="P11" s="158">
        <f>IF(P7&lt;&gt;"",8%,"")</f>
        <v>0.08</v>
      </c>
      <c r="Q11" s="157">
        <f>MAX(1.07,P11*Q10)</f>
        <v>1.07</v>
      </c>
      <c r="R11" s="83"/>
      <c r="S11" s="315"/>
      <c r="T11" s="134"/>
    </row>
    <row r="12" spans="1:21" ht="15.9" customHeight="1" x14ac:dyDescent="0.3">
      <c r="A12" s="111" t="s">
        <v>32</v>
      </c>
      <c r="B12" s="156"/>
      <c r="C12" s="99"/>
      <c r="D12" s="156"/>
      <c r="E12" s="156"/>
      <c r="F12" s="158"/>
      <c r="G12" s="160">
        <f>G10+G11</f>
        <v>1.07</v>
      </c>
      <c r="H12" s="158"/>
      <c r="I12" s="160">
        <f>I10+I11</f>
        <v>1.07</v>
      </c>
      <c r="J12" s="158"/>
      <c r="K12" s="160">
        <f>K10+K11</f>
        <v>1.07</v>
      </c>
      <c r="L12" s="158"/>
      <c r="M12" s="160">
        <f>M10+M11</f>
        <v>1.07</v>
      </c>
      <c r="N12" s="158"/>
      <c r="O12" s="160">
        <f>O10+O11</f>
        <v>1.07</v>
      </c>
      <c r="P12" s="158"/>
      <c r="Q12" s="160">
        <f>Q10+Q11</f>
        <v>1.07</v>
      </c>
      <c r="R12" s="83"/>
      <c r="S12" s="315"/>
      <c r="T12" s="134"/>
    </row>
    <row r="13" spans="1:21" ht="15.9" customHeight="1" thickBot="1" x14ac:dyDescent="0.35">
      <c r="A13" s="94" t="s">
        <v>33</v>
      </c>
      <c r="B13" s="156"/>
      <c r="C13" s="99" t="s">
        <v>31</v>
      </c>
      <c r="D13" s="156"/>
      <c r="E13" s="156"/>
      <c r="F13" s="161">
        <f>VLOOKUP(F$7,Toelichting!$A$28:$B$31,2,TRUE)</f>
        <v>8.3299999999999999E-2</v>
      </c>
      <c r="G13" s="159">
        <f>MAX(1.14,F13*G10)</f>
        <v>1.1399999999999999</v>
      </c>
      <c r="H13" s="161">
        <f>VLOOKUP(H$7,Toelichting!$A$28:$B$31,2,TRUE)</f>
        <v>8.3299999999999999E-2</v>
      </c>
      <c r="I13" s="159">
        <f>MAX(1.14,H13*I10)</f>
        <v>1.1399999999999999</v>
      </c>
      <c r="J13" s="161">
        <f>VLOOKUP(J$7,Toelichting!$A$28:$B$31,2,TRUE)</f>
        <v>8.3299999999999999E-2</v>
      </c>
      <c r="K13" s="159">
        <f>MAX(1.14,J13*K10)</f>
        <v>1.1399999999999999</v>
      </c>
      <c r="L13" s="161">
        <f>VLOOKUP(L$7,Toelichting!$A$28:$B$31,2,TRUE)</f>
        <v>8.3299999999999999E-2</v>
      </c>
      <c r="M13" s="159">
        <f>MAX(1.14,L13*M10)</f>
        <v>1.1399999999999999</v>
      </c>
      <c r="N13" s="161">
        <f>VLOOKUP(N$7,Toelichting!$A$28:$B$31,2,TRUE)</f>
        <v>8.3299999999999999E-2</v>
      </c>
      <c r="O13" s="159">
        <f>MAX(1.14,N13*O10)</f>
        <v>1.1399999999999999</v>
      </c>
      <c r="P13" s="161">
        <f>VLOOKUP(P$7,Toelichting!$A$28:$B$31,2,TRUE)</f>
        <v>8.3299999999999999E-2</v>
      </c>
      <c r="Q13" s="159">
        <f>MAX(1.14,P13*Q10)</f>
        <v>1.1399999999999999</v>
      </c>
      <c r="R13" s="83"/>
      <c r="S13" s="315"/>
      <c r="T13" s="134"/>
    </row>
    <row r="14" spans="1:21" ht="16.2" thickBot="1" x14ac:dyDescent="0.35">
      <c r="A14" s="97" t="s">
        <v>216</v>
      </c>
      <c r="B14" s="156"/>
      <c r="C14" s="99"/>
      <c r="D14" s="156"/>
      <c r="E14" s="156"/>
      <c r="F14" s="345">
        <v>0</v>
      </c>
      <c r="G14" s="378">
        <f>F14*G10</f>
        <v>0</v>
      </c>
      <c r="H14" s="345">
        <v>0</v>
      </c>
      <c r="I14" s="378">
        <f>H14*I10</f>
        <v>0</v>
      </c>
      <c r="J14" s="345">
        <v>0</v>
      </c>
      <c r="K14" s="378">
        <f>J14*K10</f>
        <v>0</v>
      </c>
      <c r="L14" s="345">
        <v>0</v>
      </c>
      <c r="M14" s="378">
        <f>L14*M10</f>
        <v>0</v>
      </c>
      <c r="N14" s="345">
        <v>0</v>
      </c>
      <c r="O14" s="378">
        <f>N14*O10</f>
        <v>0</v>
      </c>
      <c r="P14" s="345">
        <v>0</v>
      </c>
      <c r="Q14" s="320">
        <f>P14*Q10</f>
        <v>0</v>
      </c>
      <c r="R14" s="82"/>
      <c r="S14" s="316"/>
    </row>
    <row r="15" spans="1:21" x14ac:dyDescent="0.3">
      <c r="A15" s="108" t="s">
        <v>35</v>
      </c>
      <c r="B15" s="126"/>
      <c r="C15" s="98"/>
      <c r="D15" s="126"/>
      <c r="E15" s="135">
        <f>SUM(E$11:E$13)</f>
        <v>0</v>
      </c>
      <c r="F15" s="271"/>
      <c r="G15" s="272">
        <f>SUM(G$12:G$14)</f>
        <v>2.21</v>
      </c>
      <c r="H15" s="273"/>
      <c r="I15" s="272">
        <f>SUM(I$12:I$14)</f>
        <v>2.21</v>
      </c>
      <c r="J15" s="273"/>
      <c r="K15" s="272">
        <f>SUM(K$12:K$14)</f>
        <v>2.21</v>
      </c>
      <c r="L15" s="274"/>
      <c r="M15" s="272">
        <f>SUM(M$12:M$14)</f>
        <v>2.21</v>
      </c>
      <c r="N15" s="275"/>
      <c r="O15" s="272">
        <f>SUM(O$12:O$14)</f>
        <v>2.21</v>
      </c>
      <c r="P15" s="274"/>
      <c r="Q15" s="272">
        <f>SUM(Q$12:Q$14)</f>
        <v>2.21</v>
      </c>
      <c r="R15" s="136"/>
      <c r="S15" s="317"/>
      <c r="T15" s="133"/>
    </row>
    <row r="16" spans="1:21" x14ac:dyDescent="0.3">
      <c r="A16" s="144" t="s">
        <v>36</v>
      </c>
      <c r="B16" s="126"/>
      <c r="C16" s="98"/>
      <c r="D16" s="126"/>
      <c r="E16" s="135"/>
      <c r="F16" s="276">
        <f>$F$57</f>
        <v>0.19260000000000002</v>
      </c>
      <c r="G16" s="277"/>
      <c r="H16" s="276">
        <f>$F$57</f>
        <v>0.19260000000000002</v>
      </c>
      <c r="I16" s="277"/>
      <c r="J16" s="276">
        <f>$F$57</f>
        <v>0.19260000000000002</v>
      </c>
      <c r="K16" s="277"/>
      <c r="L16" s="276">
        <f>$F$57</f>
        <v>0.19260000000000002</v>
      </c>
      <c r="M16" s="277"/>
      <c r="N16" s="276">
        <f>$F$57</f>
        <v>0.19260000000000002</v>
      </c>
      <c r="O16" s="163"/>
      <c r="P16" s="276">
        <f>$F$57</f>
        <v>0.19260000000000002</v>
      </c>
      <c r="Q16" s="277"/>
      <c r="R16" s="143"/>
      <c r="S16" s="327" t="s">
        <v>37</v>
      </c>
      <c r="T16" s="133"/>
    </row>
    <row r="17" spans="1:20" x14ac:dyDescent="0.3">
      <c r="A17" s="144" t="s">
        <v>38</v>
      </c>
      <c r="B17" s="126"/>
      <c r="C17" s="98"/>
      <c r="D17" s="126"/>
      <c r="E17" s="135"/>
      <c r="F17" s="276">
        <f>G45</f>
        <v>-0.38866223815650608</v>
      </c>
      <c r="G17" s="277"/>
      <c r="H17" s="276">
        <f>H45</f>
        <v>-0.38866223815650608</v>
      </c>
      <c r="I17" s="277"/>
      <c r="J17" s="276">
        <f>I45</f>
        <v>-0.38866223815650608</v>
      </c>
      <c r="K17" s="277"/>
      <c r="L17" s="276">
        <f>J45</f>
        <v>-0.38866223815650608</v>
      </c>
      <c r="M17" s="277"/>
      <c r="N17" s="276">
        <f>K45</f>
        <v>-0.38866223815650608</v>
      </c>
      <c r="O17" s="163"/>
      <c r="P17" s="276">
        <f>L45</f>
        <v>-0.38866223815650608</v>
      </c>
      <c r="Q17" s="277"/>
      <c r="R17" s="143"/>
      <c r="S17" s="317"/>
      <c r="T17" s="133"/>
    </row>
    <row r="18" spans="1:20" x14ac:dyDescent="0.3">
      <c r="A18" s="144" t="s">
        <v>39</v>
      </c>
      <c r="B18" s="126"/>
      <c r="C18" s="98"/>
      <c r="D18" s="126"/>
      <c r="E18" s="135"/>
      <c r="F18" s="276">
        <f>G49</f>
        <v>-1.460987909540813E-2</v>
      </c>
      <c r="G18" s="277"/>
      <c r="H18" s="276">
        <f>H49</f>
        <v>-1.460987909540813E-2</v>
      </c>
      <c r="I18" s="277"/>
      <c r="J18" s="276">
        <f>I49</f>
        <v>-1.460987909540813E-2</v>
      </c>
      <c r="K18" s="277"/>
      <c r="L18" s="276">
        <f>J49</f>
        <v>-1.460987909540813E-2</v>
      </c>
      <c r="M18" s="277"/>
      <c r="N18" s="276">
        <f>K49</f>
        <v>-1.460987909540813E-2</v>
      </c>
      <c r="O18" s="163"/>
      <c r="P18" s="276">
        <f>L49</f>
        <v>-1.460987909540813E-2</v>
      </c>
      <c r="Q18" s="277"/>
      <c r="R18" s="143"/>
      <c r="S18" s="317"/>
      <c r="T18" s="133"/>
    </row>
    <row r="19" spans="1:20" x14ac:dyDescent="0.3">
      <c r="A19" s="109" t="s">
        <v>40</v>
      </c>
      <c r="B19" s="126"/>
      <c r="C19" s="98"/>
      <c r="D19" s="126"/>
      <c r="E19" s="126"/>
      <c r="F19" s="278">
        <f>F16+F17+F18</f>
        <v>-0.21067211725191418</v>
      </c>
      <c r="G19" s="279">
        <f>F19*G15</f>
        <v>-0.46558537912673031</v>
      </c>
      <c r="H19" s="278">
        <f>H16+H17+H18</f>
        <v>-0.21067211725191418</v>
      </c>
      <c r="I19" s="279">
        <f>H19*I15</f>
        <v>-0.46558537912673031</v>
      </c>
      <c r="J19" s="278">
        <f>J16+J17+J18</f>
        <v>-0.21067211725191418</v>
      </c>
      <c r="K19" s="279">
        <f>J19*K15</f>
        <v>-0.46558537912673031</v>
      </c>
      <c r="L19" s="278">
        <f>L16+L17+L18</f>
        <v>-0.21067211725191418</v>
      </c>
      <c r="M19" s="279">
        <f>L19*M15</f>
        <v>-0.46558537912673031</v>
      </c>
      <c r="N19" s="280">
        <f>N16+N17+N18</f>
        <v>-0.21067211725191418</v>
      </c>
      <c r="O19" s="281">
        <f>N19*O15</f>
        <v>-0.46558537912673031</v>
      </c>
      <c r="P19" s="278">
        <f>P16+P17+P18</f>
        <v>-0.21067211725191418</v>
      </c>
      <c r="Q19" s="279">
        <f>P19*Q15</f>
        <v>-0.46558537912673031</v>
      </c>
      <c r="R19" s="137"/>
      <c r="S19" s="327" t="s">
        <v>37</v>
      </c>
      <c r="T19" s="133"/>
    </row>
    <row r="20" spans="1:20" x14ac:dyDescent="0.3">
      <c r="A20" s="110" t="s">
        <v>41</v>
      </c>
      <c r="B20" s="126"/>
      <c r="C20" s="98"/>
      <c r="D20" s="126"/>
      <c r="E20" s="126"/>
      <c r="F20" s="282"/>
      <c r="G20" s="283">
        <f>G15+G19</f>
        <v>1.7444146208732696</v>
      </c>
      <c r="H20" s="284"/>
      <c r="I20" s="283">
        <f>I15+I19</f>
        <v>1.7444146208732696</v>
      </c>
      <c r="J20" s="284"/>
      <c r="K20" s="283">
        <f>K15+K19</f>
        <v>1.7444146208732696</v>
      </c>
      <c r="L20" s="285"/>
      <c r="M20" s="283">
        <f>M15+M19</f>
        <v>1.7444146208732696</v>
      </c>
      <c r="N20" s="286"/>
      <c r="O20" s="287">
        <f>O15+O19</f>
        <v>1.7444146208732696</v>
      </c>
      <c r="P20" s="285"/>
      <c r="Q20" s="283">
        <f>Q15+Q19</f>
        <v>1.7444146208732696</v>
      </c>
      <c r="R20" s="346"/>
      <c r="S20" s="316"/>
    </row>
    <row r="21" spans="1:20" ht="16.2" thickBot="1" x14ac:dyDescent="0.35">
      <c r="A21" s="96" t="s">
        <v>42</v>
      </c>
      <c r="B21" s="87"/>
      <c r="C21" s="125"/>
      <c r="D21" s="87"/>
      <c r="E21" s="87"/>
      <c r="F21" s="87"/>
      <c r="G21" s="114"/>
      <c r="H21" s="116"/>
      <c r="I21" s="114"/>
      <c r="J21" s="116"/>
      <c r="K21" s="114"/>
      <c r="L21" s="87"/>
      <c r="M21" s="87"/>
      <c r="N21" s="116"/>
      <c r="O21" s="114"/>
      <c r="P21" s="116"/>
      <c r="Q21" s="114"/>
      <c r="R21" s="1"/>
      <c r="S21" s="316"/>
    </row>
    <row r="22" spans="1:20" ht="16.2" thickBot="1" x14ac:dyDescent="0.35">
      <c r="A22" s="105" t="s">
        <v>43</v>
      </c>
      <c r="B22" s="156"/>
      <c r="C22" s="99"/>
      <c r="D22" s="156"/>
      <c r="E22" s="156"/>
      <c r="F22" s="244">
        <f>G68</f>
        <v>0.65348892438764639</v>
      </c>
      <c r="G22" s="247">
        <f>G20/F22</f>
        <v>2.6693866655932665</v>
      </c>
      <c r="H22" s="164">
        <f>F22</f>
        <v>0.65348892438764639</v>
      </c>
      <c r="I22" s="165">
        <f>I20/H22</f>
        <v>2.6693866655932665</v>
      </c>
      <c r="J22" s="164">
        <f>F22</f>
        <v>0.65348892438764639</v>
      </c>
      <c r="K22" s="165">
        <f>K20/J22</f>
        <v>2.6693866655932665</v>
      </c>
      <c r="L22" s="164">
        <f>F22</f>
        <v>0.65348892438764639</v>
      </c>
      <c r="M22" s="165">
        <f>M20/L22</f>
        <v>2.6693866655932665</v>
      </c>
      <c r="N22" s="166">
        <f>F22</f>
        <v>0.65348892438764639</v>
      </c>
      <c r="O22" s="165">
        <f>O20/N22</f>
        <v>2.6693866655932665</v>
      </c>
      <c r="P22" s="166">
        <f>F22</f>
        <v>0.65348892438764639</v>
      </c>
      <c r="Q22" s="165">
        <f>Q20/P22</f>
        <v>2.6693866655932665</v>
      </c>
      <c r="R22" s="82"/>
      <c r="S22" s="316" t="s">
        <v>44</v>
      </c>
    </row>
    <row r="23" spans="1:20" ht="16.2" thickBot="1" x14ac:dyDescent="0.35">
      <c r="A23" s="94" t="s">
        <v>45</v>
      </c>
      <c r="B23" s="156"/>
      <c r="C23" s="99"/>
      <c r="D23" s="156"/>
      <c r="E23" s="156"/>
      <c r="F23" s="164"/>
      <c r="G23" s="373">
        <f>IF('Algemene kostprijsfactoren'!$F$34&lt;&gt;"",'Algemene kostprijsfactoren'!$F$34,'Algemene kostprijsfactoren'!$D$34)</f>
        <v>0.253</v>
      </c>
      <c r="H23" s="164"/>
      <c r="I23" s="288">
        <f>G23</f>
        <v>0.253</v>
      </c>
      <c r="J23" s="232"/>
      <c r="K23" s="288">
        <f>G23</f>
        <v>0.253</v>
      </c>
      <c r="L23" s="232"/>
      <c r="M23" s="288">
        <f>G23</f>
        <v>0.253</v>
      </c>
      <c r="N23" s="233"/>
      <c r="O23" s="288">
        <f>G23</f>
        <v>0.253</v>
      </c>
      <c r="P23" s="233"/>
      <c r="Q23" s="288">
        <f>G23</f>
        <v>0.253</v>
      </c>
      <c r="R23" s="82"/>
      <c r="S23" s="316"/>
    </row>
    <row r="24" spans="1:20" x14ac:dyDescent="0.3">
      <c r="A24" s="105"/>
      <c r="B24" s="167"/>
      <c r="C24" s="98"/>
      <c r="D24" s="167"/>
      <c r="E24" s="167"/>
      <c r="F24" s="168"/>
      <c r="G24" s="248"/>
      <c r="H24" s="170"/>
      <c r="I24" s="169"/>
      <c r="J24" s="170"/>
      <c r="K24" s="169"/>
      <c r="L24" s="171"/>
      <c r="M24" s="169"/>
      <c r="N24" s="170"/>
      <c r="O24" s="169"/>
      <c r="P24" s="170"/>
      <c r="Q24" s="169"/>
      <c r="R24" s="1"/>
      <c r="S24" s="316"/>
    </row>
    <row r="25" spans="1:20" ht="18.899999999999999" customHeight="1" x14ac:dyDescent="0.3">
      <c r="A25" s="129" t="s">
        <v>46</v>
      </c>
      <c r="B25" s="130"/>
      <c r="C25" s="131"/>
      <c r="D25" s="130"/>
      <c r="E25" s="130"/>
      <c r="F25" s="138"/>
      <c r="G25" s="290">
        <f>G22+G23</f>
        <v>2.9223866655932667</v>
      </c>
      <c r="H25" s="289"/>
      <c r="I25" s="290">
        <f>I22+I23</f>
        <v>2.9223866655932667</v>
      </c>
      <c r="J25" s="289"/>
      <c r="K25" s="290">
        <f>K22+K23</f>
        <v>2.9223866655932667</v>
      </c>
      <c r="L25" s="291"/>
      <c r="M25" s="290">
        <f>M22+M23</f>
        <v>2.9223866655932667</v>
      </c>
      <c r="N25" s="292"/>
      <c r="O25" s="290">
        <f>O22+O23</f>
        <v>2.9223866655932667</v>
      </c>
      <c r="P25" s="289"/>
      <c r="Q25" s="290">
        <f>Q22+Q23</f>
        <v>2.9223866655932667</v>
      </c>
      <c r="R25" s="1"/>
      <c r="S25" s="316"/>
    </row>
    <row r="26" spans="1:20" ht="18" customHeight="1" x14ac:dyDescent="0.3">
      <c r="A26" s="104"/>
      <c r="B26" s="87"/>
      <c r="C26" s="99"/>
      <c r="D26" s="87"/>
      <c r="E26" s="87"/>
      <c r="F26" s="139"/>
      <c r="G26" s="115"/>
      <c r="H26" s="117"/>
      <c r="I26" s="118"/>
      <c r="J26" s="117"/>
      <c r="K26" s="118"/>
      <c r="L26" s="112"/>
      <c r="M26" s="113"/>
      <c r="N26" s="117"/>
      <c r="O26" s="118"/>
      <c r="P26" s="117"/>
      <c r="Q26" s="118"/>
      <c r="R26" s="1"/>
      <c r="S26" s="316"/>
    </row>
    <row r="27" spans="1:20" ht="16.2" thickBot="1" x14ac:dyDescent="0.35">
      <c r="A27" s="96" t="s">
        <v>47</v>
      </c>
      <c r="B27" s="87"/>
      <c r="C27" s="125"/>
      <c r="D27" s="87"/>
      <c r="E27" s="87"/>
      <c r="F27" s="87"/>
      <c r="G27" s="114"/>
      <c r="H27" s="116"/>
      <c r="I27" s="114"/>
      <c r="J27" s="116"/>
      <c r="K27" s="114"/>
      <c r="L27" s="87"/>
      <c r="M27" s="87"/>
      <c r="N27" s="116"/>
      <c r="O27" s="114"/>
      <c r="P27" s="116"/>
      <c r="Q27" s="114"/>
      <c r="R27" s="1"/>
      <c r="S27" s="316"/>
    </row>
    <row r="28" spans="1:20" ht="16.2" thickBot="1" x14ac:dyDescent="0.35">
      <c r="A28" s="111" t="s">
        <v>214</v>
      </c>
      <c r="B28" s="100"/>
      <c r="C28" s="99"/>
      <c r="D28" s="100"/>
      <c r="E28" s="100"/>
      <c r="F28" s="244">
        <f>IF('Algemene kostprijsfactoren'!$F$33&lt;&gt;"",'Algemene kostprijsfactoren'!$F$33,'Algemene kostprijsfactoren'!$D$33)</f>
        <v>0.248</v>
      </c>
      <c r="G28" s="245">
        <f>F28*G25</f>
        <v>0.72475189306713017</v>
      </c>
      <c r="H28" s="293">
        <f>F28</f>
        <v>0.248</v>
      </c>
      <c r="I28" s="172">
        <f>H28*I25</f>
        <v>0.72475189306713017</v>
      </c>
      <c r="J28" s="294">
        <f>F28</f>
        <v>0.248</v>
      </c>
      <c r="K28" s="172">
        <f>J28*K25</f>
        <v>0.72475189306713017</v>
      </c>
      <c r="L28" s="294">
        <f>F28</f>
        <v>0.248</v>
      </c>
      <c r="M28" s="173">
        <f>L28*M25</f>
        <v>0.72475189306713017</v>
      </c>
      <c r="N28" s="295">
        <f>F28</f>
        <v>0.248</v>
      </c>
      <c r="O28" s="296">
        <f>N28*O25</f>
        <v>0.72475189306713017</v>
      </c>
      <c r="P28" s="297">
        <f>F28</f>
        <v>0.248</v>
      </c>
      <c r="Q28" s="172">
        <f>P28*Q25</f>
        <v>0.72475189306713017</v>
      </c>
      <c r="R28" s="1"/>
      <c r="S28" s="316" t="s">
        <v>48</v>
      </c>
    </row>
    <row r="29" spans="1:20" x14ac:dyDescent="0.3">
      <c r="A29" s="127"/>
      <c r="B29" s="100"/>
      <c r="C29" s="99"/>
      <c r="D29" s="100"/>
      <c r="E29" s="100"/>
      <c r="F29" s="246"/>
      <c r="G29" s="175"/>
      <c r="H29" s="176"/>
      <c r="I29" s="177"/>
      <c r="J29" s="174"/>
      <c r="K29" s="177"/>
      <c r="L29" s="174"/>
      <c r="M29" s="178"/>
      <c r="N29" s="298"/>
      <c r="O29" s="299"/>
      <c r="P29" s="179"/>
      <c r="Q29" s="177"/>
      <c r="R29" s="1"/>
      <c r="S29" s="316"/>
    </row>
    <row r="30" spans="1:20" ht="16.2" thickBot="1" x14ac:dyDescent="0.35">
      <c r="A30" s="96" t="s">
        <v>49</v>
      </c>
      <c r="B30" s="100"/>
      <c r="C30" s="87"/>
      <c r="D30" s="100"/>
      <c r="E30" s="100"/>
      <c r="F30" s="180"/>
      <c r="G30" s="181"/>
      <c r="H30" s="182"/>
      <c r="I30" s="183"/>
      <c r="J30" s="180"/>
      <c r="K30" s="183"/>
      <c r="L30" s="180"/>
      <c r="M30" s="184"/>
      <c r="N30" s="300"/>
      <c r="O30" s="301"/>
      <c r="P30" s="185"/>
      <c r="Q30" s="183"/>
      <c r="R30" s="1"/>
      <c r="S30" s="316"/>
    </row>
    <row r="31" spans="1:20" ht="16.2" thickBot="1" x14ac:dyDescent="0.35">
      <c r="A31" s="121" t="s">
        <v>50</v>
      </c>
      <c r="B31" s="87"/>
      <c r="C31" s="87"/>
      <c r="D31" s="87"/>
      <c r="E31" s="87"/>
      <c r="F31" s="250">
        <v>0.02</v>
      </c>
      <c r="G31" s="302">
        <f>F31*G25</f>
        <v>5.8447733311865334E-2</v>
      </c>
      <c r="H31" s="294">
        <f>F31</f>
        <v>0.02</v>
      </c>
      <c r="I31" s="303">
        <f>H31*I25</f>
        <v>5.8447733311865334E-2</v>
      </c>
      <c r="J31" s="294">
        <f>F31</f>
        <v>0.02</v>
      </c>
      <c r="K31" s="303">
        <f>J31*K25</f>
        <v>5.8447733311865334E-2</v>
      </c>
      <c r="L31" s="294">
        <f>F31</f>
        <v>0.02</v>
      </c>
      <c r="M31" s="304">
        <f>L31*M25</f>
        <v>5.8447733311865334E-2</v>
      </c>
      <c r="N31" s="295">
        <f>F31</f>
        <v>0.02</v>
      </c>
      <c r="O31" s="303">
        <f>N31*O25</f>
        <v>5.8447733311865334E-2</v>
      </c>
      <c r="P31" s="297">
        <f>F31</f>
        <v>0.02</v>
      </c>
      <c r="Q31" s="303">
        <f>P31*Q25</f>
        <v>5.8447733311865334E-2</v>
      </c>
      <c r="R31" s="1"/>
      <c r="S31" s="316"/>
    </row>
    <row r="32" spans="1:20" ht="18" x14ac:dyDescent="0.3">
      <c r="A32" s="92" t="s">
        <v>51</v>
      </c>
      <c r="B32" s="122"/>
      <c r="C32" s="123"/>
      <c r="D32" s="122"/>
      <c r="E32" s="122"/>
      <c r="F32" s="103"/>
      <c r="G32" s="305">
        <f>IF(F7&lt;&gt;"",SUM(G25+G28+G31),0)</f>
        <v>3.7055862919722622</v>
      </c>
      <c r="H32" s="306"/>
      <c r="I32" s="305">
        <f>IF(H7&lt;&gt;"",SUM(I25+I28+I31),0)</f>
        <v>3.7055862919722622</v>
      </c>
      <c r="J32" s="306"/>
      <c r="K32" s="309">
        <f>IF(J7&lt;&gt;"",SUM(K25+K28+K31),0)</f>
        <v>3.7055862919722622</v>
      </c>
      <c r="L32" s="307"/>
      <c r="M32" s="305">
        <f>IF(L7&lt;&gt;"",SUM(M25+M28+M31),0)</f>
        <v>3.7055862919722622</v>
      </c>
      <c r="N32" s="308"/>
      <c r="O32" s="309">
        <f>IF(N7&lt;&gt;"",SUM(O25+O28+O31),0)</f>
        <v>3.7055862919722622</v>
      </c>
      <c r="P32" s="306"/>
      <c r="Q32" s="309">
        <f>IF(P7&lt;&gt;"",SUM(Q25+Q28+Q31),0)</f>
        <v>3.7055862919722622</v>
      </c>
      <c r="R32" s="1"/>
      <c r="S32" s="318"/>
      <c r="T32" s="140"/>
    </row>
    <row r="33" spans="1:20" ht="16.2" thickBot="1" x14ac:dyDescent="0.35">
      <c r="A33" s="96"/>
      <c r="B33" s="87"/>
      <c r="C33" s="125"/>
      <c r="D33" s="87"/>
      <c r="E33" s="87"/>
      <c r="F33" s="87"/>
      <c r="G33" s="114"/>
      <c r="H33" s="116"/>
      <c r="I33" s="114"/>
      <c r="J33" s="116"/>
      <c r="K33" s="114"/>
      <c r="L33" s="87"/>
      <c r="M33" s="87"/>
      <c r="N33" s="141"/>
      <c r="O33" s="186"/>
      <c r="P33" s="116"/>
      <c r="Q33" s="114"/>
      <c r="R33" s="1"/>
      <c r="S33" s="316" t="s">
        <v>52</v>
      </c>
      <c r="T33" s="145"/>
    </row>
    <row r="34" spans="1:20" ht="16.2" thickBot="1" x14ac:dyDescent="0.35">
      <c r="A34" s="22" t="s">
        <v>53</v>
      </c>
      <c r="B34" s="124"/>
      <c r="C34" s="124"/>
      <c r="D34" s="124"/>
      <c r="E34" s="124"/>
      <c r="F34" s="494">
        <v>0.8</v>
      </c>
      <c r="G34" s="495"/>
      <c r="H34" s="494">
        <v>0.2</v>
      </c>
      <c r="I34" s="495"/>
      <c r="J34" s="494">
        <v>0</v>
      </c>
      <c r="K34" s="495"/>
      <c r="L34" s="494">
        <v>0</v>
      </c>
      <c r="M34" s="495"/>
      <c r="N34" s="494">
        <v>0</v>
      </c>
      <c r="O34" s="495"/>
      <c r="P34" s="494">
        <v>0</v>
      </c>
      <c r="Q34" s="495"/>
      <c r="R34" s="1"/>
      <c r="S34" s="235">
        <f>SUM(F34:Q34)</f>
        <v>1</v>
      </c>
      <c r="T34" s="140"/>
    </row>
    <row r="35" spans="1:20" ht="17.25" customHeight="1" thickBot="1" x14ac:dyDescent="0.35">
      <c r="A35" s="187" t="s">
        <v>54</v>
      </c>
      <c r="B35" s="188"/>
      <c r="C35" s="188"/>
      <c r="D35" s="188"/>
      <c r="E35" s="188"/>
      <c r="F35" s="20"/>
      <c r="G35" s="20"/>
      <c r="H35" s="20"/>
      <c r="I35" s="20"/>
      <c r="J35" s="20"/>
      <c r="K35" s="20"/>
      <c r="L35" s="20"/>
      <c r="M35" s="194"/>
      <c r="N35" s="20"/>
      <c r="O35" s="189"/>
      <c r="P35" s="190"/>
      <c r="Q35" s="340">
        <f>(F34*G32+H34*I32+J34*K32+L34*M32+N34*O32+P34*Q32)</f>
        <v>3.7055862919722626</v>
      </c>
      <c r="R35" s="1"/>
    </row>
    <row r="36" spans="1:20" ht="18" x14ac:dyDescent="0.3">
      <c r="A36" s="9"/>
      <c r="B36" s="155"/>
      <c r="C36" s="155"/>
      <c r="D36" s="155"/>
      <c r="E36" s="155"/>
      <c r="M36" s="13"/>
      <c r="O36" s="191"/>
      <c r="P36" s="192"/>
      <c r="Q36" s="192"/>
    </row>
    <row r="37" spans="1:20" x14ac:dyDescent="0.3">
      <c r="F37" s="201" t="s">
        <v>55</v>
      </c>
      <c r="G37" s="202">
        <v>1878</v>
      </c>
      <c r="M37" s="242"/>
      <c r="P37" s="243"/>
    </row>
    <row r="38" spans="1:20" x14ac:dyDescent="0.3">
      <c r="M38" s="242"/>
      <c r="N38" s="5"/>
      <c r="P38" s="243"/>
    </row>
    <row r="39" spans="1:20" x14ac:dyDescent="0.3">
      <c r="F39" s="201"/>
      <c r="G39" s="202" t="s">
        <v>72</v>
      </c>
      <c r="H39" s="202" t="s">
        <v>73</v>
      </c>
      <c r="I39" s="202" t="s">
        <v>74</v>
      </c>
      <c r="J39" s="202" t="s">
        <v>75</v>
      </c>
      <c r="K39" s="202" t="s">
        <v>76</v>
      </c>
      <c r="L39" s="202" t="s">
        <v>77</v>
      </c>
      <c r="M39" s="5"/>
    </row>
    <row r="40" spans="1:20" x14ac:dyDescent="0.3">
      <c r="F40" s="203"/>
      <c r="G40" s="203"/>
      <c r="H40" s="203"/>
      <c r="I40" s="203"/>
      <c r="J40" s="203"/>
      <c r="K40" s="203"/>
      <c r="L40" s="203"/>
      <c r="M40" s="5"/>
    </row>
    <row r="41" spans="1:20" ht="16.2" thickBot="1" x14ac:dyDescent="0.35">
      <c r="F41" s="253" t="s">
        <v>57</v>
      </c>
      <c r="G41" s="204">
        <f>$G$37*G15</f>
        <v>4150.38</v>
      </c>
      <c r="H41" s="204">
        <f>$G$37*I15</f>
        <v>4150.38</v>
      </c>
      <c r="I41" s="204">
        <f>$G$37*K15</f>
        <v>4150.38</v>
      </c>
      <c r="J41" s="204">
        <f>$G$37*M15</f>
        <v>4150.38</v>
      </c>
      <c r="K41" s="204">
        <f>$G$37*O15</f>
        <v>4150.38</v>
      </c>
      <c r="L41" s="204">
        <f>$G$37*Q15</f>
        <v>4150.38</v>
      </c>
      <c r="M41" s="5"/>
    </row>
    <row r="42" spans="1:20" ht="16.2" thickBot="1" x14ac:dyDescent="0.35">
      <c r="A42" s="197" t="s">
        <v>202</v>
      </c>
      <c r="F42" s="331">
        <f>IF('Algemene kostprijsfactoren'!$F$12&lt;&gt;"",'Algemene kostprijsfactoren'!$F$12,'Algemene kostprijsfactoren'!$C$12)</f>
        <v>0.25800000000000001</v>
      </c>
      <c r="G42" s="252">
        <f>$F$42</f>
        <v>0.25800000000000001</v>
      </c>
      <c r="H42" s="205">
        <f t="shared" ref="H42:L42" si="0">$F$42</f>
        <v>0.25800000000000001</v>
      </c>
      <c r="I42" s="205">
        <f t="shared" si="0"/>
        <v>0.25800000000000001</v>
      </c>
      <c r="J42" s="205">
        <f t="shared" si="0"/>
        <v>0.25800000000000001</v>
      </c>
      <c r="K42" s="205">
        <f t="shared" si="0"/>
        <v>0.25800000000000001</v>
      </c>
      <c r="L42" s="205">
        <f t="shared" si="0"/>
        <v>0.25800000000000001</v>
      </c>
      <c r="M42" s="5"/>
      <c r="N42" s="256" t="s">
        <v>177</v>
      </c>
      <c r="O42" s="209"/>
      <c r="P42" s="209"/>
      <c r="Q42" s="209"/>
    </row>
    <row r="43" spans="1:20" ht="16.2" thickBot="1" x14ac:dyDescent="0.35">
      <c r="A43" s="197" t="s">
        <v>179</v>
      </c>
      <c r="F43" s="332">
        <f>IF('Algemene kostprijsfactoren'!$F$13&lt;&gt;"",'Algemene kostprijsfactoren'!$F$13,'Algemene kostprijsfactoren'!$C$13)</f>
        <v>16655</v>
      </c>
      <c r="G43" s="310">
        <f>$F$43</f>
        <v>16655</v>
      </c>
      <c r="H43" s="311">
        <f t="shared" ref="H43:L43" si="1">$F$43</f>
        <v>16655</v>
      </c>
      <c r="I43" s="311">
        <f t="shared" si="1"/>
        <v>16655</v>
      </c>
      <c r="J43" s="311">
        <f t="shared" si="1"/>
        <v>16655</v>
      </c>
      <c r="K43" s="311">
        <f t="shared" si="1"/>
        <v>16655</v>
      </c>
      <c r="L43" s="311">
        <f t="shared" si="1"/>
        <v>16655</v>
      </c>
      <c r="M43"/>
      <c r="N43" s="256" t="s">
        <v>180</v>
      </c>
      <c r="O43" s="209"/>
      <c r="P43" s="209"/>
      <c r="Q43" s="209"/>
    </row>
    <row r="44" spans="1:20" ht="16.2" thickBot="1" x14ac:dyDescent="0.35">
      <c r="A44" s="197" t="s">
        <v>12</v>
      </c>
      <c r="F44" s="254"/>
      <c r="G44" s="204">
        <f>(G41-G43)*G42</f>
        <v>-3226.1919599999997</v>
      </c>
      <c r="H44" s="204">
        <f t="shared" ref="H44:K44" si="2">(H41-H43)*H42</f>
        <v>-3226.1919599999997</v>
      </c>
      <c r="I44" s="204">
        <f t="shared" si="2"/>
        <v>-3226.1919599999997</v>
      </c>
      <c r="J44" s="204">
        <f t="shared" si="2"/>
        <v>-3226.1919599999997</v>
      </c>
      <c r="K44" s="204">
        <f t="shared" si="2"/>
        <v>-3226.1919599999997</v>
      </c>
      <c r="L44" s="204">
        <f>(L41-L43)*L42</f>
        <v>-3226.1919599999997</v>
      </c>
      <c r="M44" s="5"/>
    </row>
    <row r="45" spans="1:20" ht="16.8" thickTop="1" thickBot="1" x14ac:dyDescent="0.35">
      <c r="A45" s="198" t="s">
        <v>13</v>
      </c>
      <c r="F45" s="331">
        <f>IF('Algemene kostprijsfactoren'!$F$15&lt;&gt;"",'Algemene kostprijsfactoren'!$F$15,'Algemene kostprijsfactoren'!$C$15)</f>
        <v>0.5</v>
      </c>
      <c r="G45" s="206">
        <f>(G44/G41)*$F$45</f>
        <v>-0.38866223815650608</v>
      </c>
      <c r="H45" s="206">
        <f t="shared" ref="H45:L45" si="3">(H44/H41)*$F$45</f>
        <v>-0.38866223815650608</v>
      </c>
      <c r="I45" s="206">
        <f t="shared" si="3"/>
        <v>-0.38866223815650608</v>
      </c>
      <c r="J45" s="206">
        <f t="shared" si="3"/>
        <v>-0.38866223815650608</v>
      </c>
      <c r="K45" s="206">
        <f t="shared" si="3"/>
        <v>-0.38866223815650608</v>
      </c>
      <c r="L45" s="206">
        <f t="shared" si="3"/>
        <v>-0.38866223815650608</v>
      </c>
      <c r="M45" s="5"/>
    </row>
    <row r="46" spans="1:20" ht="16.8" thickTop="1" thickBot="1" x14ac:dyDescent="0.35">
      <c r="A46" s="197" t="s">
        <v>203</v>
      </c>
      <c r="F46" s="331">
        <f>IF('Algemene kostprijsfactoren'!$F$16&lt;&gt;"",'Algemene kostprijsfactoren'!$F$16,'Algemene kostprijsfactoren'!$C$16)</f>
        <v>5.0000000000000001E-3</v>
      </c>
      <c r="G46" s="252">
        <f>$F$46</f>
        <v>5.0000000000000001E-3</v>
      </c>
      <c r="H46" s="205">
        <f t="shared" ref="H46:L46" si="4">$F$46</f>
        <v>5.0000000000000001E-3</v>
      </c>
      <c r="I46" s="205">
        <f t="shared" si="4"/>
        <v>5.0000000000000001E-3</v>
      </c>
      <c r="J46" s="205">
        <f t="shared" si="4"/>
        <v>5.0000000000000001E-3</v>
      </c>
      <c r="K46" s="205">
        <f t="shared" si="4"/>
        <v>5.0000000000000001E-3</v>
      </c>
      <c r="L46" s="205">
        <f t="shared" si="4"/>
        <v>5.0000000000000001E-3</v>
      </c>
      <c r="M46" s="5"/>
      <c r="N46" s="256" t="s">
        <v>178</v>
      </c>
      <c r="O46" s="209"/>
      <c r="P46" s="209"/>
      <c r="Q46" s="209"/>
    </row>
    <row r="47" spans="1:20" ht="16.2" thickBot="1" x14ac:dyDescent="0.35">
      <c r="A47" s="197" t="s">
        <v>204</v>
      </c>
      <c r="F47" s="332">
        <f>IF('Algemene kostprijsfactoren'!$F$17&lt;&gt;"",'Algemene kostprijsfactoren'!$F$17,'Algemene kostprijsfactoren'!$C$17)</f>
        <v>28405</v>
      </c>
      <c r="G47" s="310">
        <f>$F47</f>
        <v>28405</v>
      </c>
      <c r="H47" s="311">
        <f t="shared" ref="H47:L47" si="5">$F47</f>
        <v>28405</v>
      </c>
      <c r="I47" s="311">
        <f t="shared" si="5"/>
        <v>28405</v>
      </c>
      <c r="J47" s="311">
        <f t="shared" si="5"/>
        <v>28405</v>
      </c>
      <c r="K47" s="311">
        <f t="shared" si="5"/>
        <v>28405</v>
      </c>
      <c r="L47" s="311">
        <f t="shared" si="5"/>
        <v>28405</v>
      </c>
      <c r="M47"/>
      <c r="N47" s="256" t="s">
        <v>180</v>
      </c>
      <c r="O47" s="209"/>
      <c r="P47" s="209"/>
      <c r="Q47" s="209"/>
    </row>
    <row r="48" spans="1:20" ht="16.2" thickBot="1" x14ac:dyDescent="0.35">
      <c r="A48" s="199" t="s">
        <v>14</v>
      </c>
      <c r="F48" s="255"/>
      <c r="G48" s="207">
        <f>(G41-G47)*G46</f>
        <v>-121.2731</v>
      </c>
      <c r="H48" s="207">
        <f t="shared" ref="H48:L48" si="6">(H41-H47)*H46</f>
        <v>-121.2731</v>
      </c>
      <c r="I48" s="207">
        <f t="shared" si="6"/>
        <v>-121.2731</v>
      </c>
      <c r="J48" s="207">
        <f t="shared" si="6"/>
        <v>-121.2731</v>
      </c>
      <c r="K48" s="207">
        <f>(K41-K47)*K46</f>
        <v>-121.2731</v>
      </c>
      <c r="L48" s="207">
        <f t="shared" si="6"/>
        <v>-121.2731</v>
      </c>
      <c r="M48" s="5"/>
    </row>
    <row r="49" spans="1:19" ht="16.8" thickTop="1" thickBot="1" x14ac:dyDescent="0.35">
      <c r="A49" s="198" t="s">
        <v>15</v>
      </c>
      <c r="F49" s="331">
        <f>IF('Algemene kostprijsfactoren'!$F$19&lt;&gt;"",'Algemene kostprijsfactoren'!$F$19,'Algemene kostprijsfactoren'!$C$19)</f>
        <v>0.5</v>
      </c>
      <c r="G49" s="206">
        <f>(G48/G41)*$F49</f>
        <v>-1.460987909540813E-2</v>
      </c>
      <c r="H49" s="206">
        <f t="shared" ref="H49:L49" si="7">(H48/H41)*$F49</f>
        <v>-1.460987909540813E-2</v>
      </c>
      <c r="I49" s="206">
        <f t="shared" si="7"/>
        <v>-1.460987909540813E-2</v>
      </c>
      <c r="J49" s="206">
        <f t="shared" si="7"/>
        <v>-1.460987909540813E-2</v>
      </c>
      <c r="K49" s="206">
        <f t="shared" si="7"/>
        <v>-1.460987909540813E-2</v>
      </c>
      <c r="L49" s="206">
        <f t="shared" si="7"/>
        <v>-1.460987909540813E-2</v>
      </c>
      <c r="M49" s="5"/>
    </row>
    <row r="50" spans="1:19" ht="16.2" thickTop="1" x14ac:dyDescent="0.3">
      <c r="F50" s="333" t="s">
        <v>58</v>
      </c>
      <c r="G50" s="208">
        <f>G49+G45</f>
        <v>-0.4032721172519142</v>
      </c>
      <c r="H50" s="208">
        <f t="shared" ref="H50:L50" si="8">H49+H45</f>
        <v>-0.4032721172519142</v>
      </c>
      <c r="I50" s="208">
        <f t="shared" si="8"/>
        <v>-0.4032721172519142</v>
      </c>
      <c r="J50" s="208">
        <f t="shared" si="8"/>
        <v>-0.4032721172519142</v>
      </c>
      <c r="K50" s="208">
        <f t="shared" si="8"/>
        <v>-0.4032721172519142</v>
      </c>
      <c r="L50" s="208">
        <f t="shared" si="8"/>
        <v>-0.4032721172519142</v>
      </c>
      <c r="M50" s="5"/>
    </row>
    <row r="52" spans="1:19" x14ac:dyDescent="0.3">
      <c r="A52" s="197" t="s">
        <v>16</v>
      </c>
      <c r="F52" s="330">
        <f>IF('Algemene kostprijsfactoren'!$F$22&lt;&gt;"",'Algemene kostprijsfactoren'!$F$22,'Algemene kostprijsfactoren'!$C$22)</f>
        <v>7.5800000000000006E-2</v>
      </c>
      <c r="G52" s="195"/>
      <c r="H52" s="209">
        <v>7.1099999999999997E-2</v>
      </c>
      <c r="I52" s="496" t="s">
        <v>193</v>
      </c>
      <c r="J52" s="497"/>
      <c r="K52" s="497"/>
      <c r="L52" s="497"/>
      <c r="M52" s="497"/>
      <c r="N52" s="497"/>
      <c r="O52" s="497"/>
      <c r="P52" s="497"/>
      <c r="Q52" s="497"/>
      <c r="R52" s="497"/>
      <c r="S52" s="498"/>
    </row>
    <row r="53" spans="1:19" x14ac:dyDescent="0.3">
      <c r="A53" s="197" t="s">
        <v>17</v>
      </c>
      <c r="F53" s="330">
        <f>IF('Algemene kostprijsfactoren'!$F$23&lt;&gt;"",'Algemene kostprijsfactoren'!$F$23,'Algemene kostprijsfactoren'!$C$23)</f>
        <v>3.49E-2</v>
      </c>
      <c r="G53" s="195"/>
      <c r="H53" s="499" t="s">
        <v>181</v>
      </c>
      <c r="I53" s="500"/>
      <c r="J53" s="500" t="s">
        <v>181</v>
      </c>
      <c r="K53" s="500"/>
      <c r="L53" s="500" t="s">
        <v>181</v>
      </c>
      <c r="M53" s="500"/>
      <c r="N53" s="500" t="s">
        <v>181</v>
      </c>
      <c r="O53" s="500"/>
      <c r="P53" s="500" t="s">
        <v>181</v>
      </c>
      <c r="Q53" s="500"/>
      <c r="R53" s="500" t="s">
        <v>181</v>
      </c>
      <c r="S53" s="501"/>
    </row>
    <row r="54" spans="1:19" x14ac:dyDescent="0.3">
      <c r="A54" s="197" t="s">
        <v>18</v>
      </c>
      <c r="F54" s="330">
        <f>IF('Algemene kostprijsfactoren'!$F$24&lt;&gt;"",'Algemene kostprijsfactoren'!$F$24,'Algemene kostprijsfactoren'!$C$24)</f>
        <v>6.5100000000000005E-2</v>
      </c>
      <c r="G54" s="195"/>
      <c r="H54" s="209">
        <v>6.6799999999999998E-2</v>
      </c>
      <c r="I54" s="496" t="s">
        <v>182</v>
      </c>
      <c r="J54" s="497"/>
      <c r="K54" s="497"/>
      <c r="L54" s="497"/>
      <c r="M54" s="497"/>
      <c r="N54" s="497"/>
      <c r="O54" s="497"/>
      <c r="P54" s="497"/>
      <c r="Q54" s="497"/>
      <c r="R54" s="497"/>
      <c r="S54" s="498"/>
    </row>
    <row r="55" spans="1:19" x14ac:dyDescent="0.3">
      <c r="A55" s="197" t="s">
        <v>19</v>
      </c>
      <c r="F55" s="330">
        <f>IF('Algemene kostprijsfactoren'!$F$25&lt;&gt;"",'Algemene kostprijsfactoren'!$F$25,'Algemene kostprijsfactoren'!$C$25)</f>
        <v>1.3299999999999999E-2</v>
      </c>
      <c r="G55" s="195"/>
      <c r="H55" s="496" t="s">
        <v>20</v>
      </c>
      <c r="I55" s="497"/>
      <c r="J55" s="497"/>
      <c r="K55" s="497"/>
      <c r="L55" s="497"/>
      <c r="M55" s="497"/>
      <c r="N55" s="497"/>
      <c r="O55" s="497"/>
      <c r="P55" s="497"/>
      <c r="Q55" s="497"/>
      <c r="R55" s="497"/>
      <c r="S55" s="498"/>
    </row>
    <row r="56" spans="1:19" ht="16.2" thickBot="1" x14ac:dyDescent="0.35">
      <c r="A56" s="199" t="s">
        <v>21</v>
      </c>
      <c r="F56" s="330">
        <f>IF('Algemene kostprijsfactoren'!$F$26&lt;&gt;"",'Algemene kostprijsfactoren'!$F$26,'Algemene kostprijsfactoren'!$C$26)</f>
        <v>3.5000000000000001E-3</v>
      </c>
      <c r="G56" s="195"/>
      <c r="H56" s="496" t="s">
        <v>22</v>
      </c>
      <c r="I56" s="497"/>
      <c r="J56" s="497"/>
      <c r="K56" s="497"/>
      <c r="L56" s="497"/>
      <c r="M56" s="497"/>
      <c r="N56" s="497"/>
      <c r="O56" s="497"/>
      <c r="P56" s="497"/>
      <c r="Q56" s="497"/>
      <c r="R56" s="497"/>
      <c r="S56" s="498"/>
    </row>
    <row r="57" spans="1:19" ht="16.2" thickTop="1" x14ac:dyDescent="0.3">
      <c r="A57" s="200" t="s">
        <v>23</v>
      </c>
      <c r="F57" s="328">
        <f>SUM(F52:F56)</f>
        <v>0.19260000000000002</v>
      </c>
      <c r="G57" s="195"/>
      <c r="H57" s="196"/>
      <c r="I57" s="196"/>
    </row>
    <row r="59" spans="1:19" x14ac:dyDescent="0.3">
      <c r="F59" s="6" t="s">
        <v>59</v>
      </c>
      <c r="G59" s="6" t="s">
        <v>60</v>
      </c>
      <c r="H59" s="6" t="s">
        <v>61</v>
      </c>
    </row>
    <row r="60" spans="1:19" ht="16.2" thickBot="1" x14ac:dyDescent="0.35">
      <c r="A60" s="215" t="s">
        <v>62</v>
      </c>
      <c r="F60" s="218"/>
      <c r="G60" s="219">
        <v>1878</v>
      </c>
      <c r="H60" s="220"/>
      <c r="I60" s="211"/>
      <c r="J60" s="478" t="s">
        <v>63</v>
      </c>
      <c r="K60" s="479"/>
      <c r="L60" s="479"/>
      <c r="M60" s="479"/>
      <c r="N60" s="479"/>
      <c r="O60" s="479"/>
      <c r="P60" s="479"/>
      <c r="Q60" s="479"/>
      <c r="R60" s="479"/>
      <c r="S60" s="480"/>
    </row>
    <row r="61" spans="1:19" ht="16.2" thickTop="1" x14ac:dyDescent="0.3">
      <c r="A61" s="197" t="s">
        <v>11</v>
      </c>
      <c r="F61" s="234" t="s">
        <v>31</v>
      </c>
      <c r="G61" s="221">
        <f>$G$60*H61</f>
        <v>150.42780000000002</v>
      </c>
      <c r="H61" s="323">
        <f>IF('Algemene kostprijsfactoren'!F8&lt;&gt;"",'Algemene kostprijsfactoren'!F8,'Algemene kostprijsfactoren'!C8)</f>
        <v>8.0100000000000005E-2</v>
      </c>
      <c r="I61" s="211"/>
      <c r="J61" s="230">
        <f>'Algemene kostprijsfactoren'!C8</f>
        <v>8.0100000000000005E-2</v>
      </c>
      <c r="K61" s="257" t="s">
        <v>195</v>
      </c>
      <c r="L61" s="258"/>
      <c r="M61" s="258"/>
      <c r="N61" s="258"/>
      <c r="O61" s="258"/>
      <c r="P61" s="258"/>
      <c r="Q61" s="258"/>
      <c r="R61" s="259"/>
      <c r="S61" s="260"/>
    </row>
    <row r="62" spans="1:19" x14ac:dyDescent="0.3">
      <c r="A62" s="197" t="s">
        <v>64</v>
      </c>
      <c r="F62" s="234" t="s">
        <v>31</v>
      </c>
      <c r="G62" s="337">
        <f>(144+58.4+35)</f>
        <v>237.4</v>
      </c>
      <c r="H62" s="339"/>
      <c r="I62" s="211"/>
      <c r="J62" s="312" t="s">
        <v>65</v>
      </c>
      <c r="K62" s="261"/>
      <c r="L62" s="261"/>
      <c r="M62" s="261"/>
      <c r="N62" s="261"/>
      <c r="O62" s="261"/>
      <c r="P62" s="261"/>
      <c r="Q62" s="261"/>
      <c r="R62" s="226"/>
      <c r="S62" s="262"/>
    </row>
    <row r="63" spans="1:19" x14ac:dyDescent="0.3">
      <c r="A63" s="197" t="s">
        <v>66</v>
      </c>
      <c r="F63" s="234" t="s">
        <v>31</v>
      </c>
      <c r="G63" s="336">
        <f>G60*H63</f>
        <v>37.56</v>
      </c>
      <c r="H63" s="227">
        <v>0.02</v>
      </c>
      <c r="I63" s="211"/>
      <c r="J63" s="263" t="s">
        <v>78</v>
      </c>
      <c r="K63" s="264"/>
      <c r="L63" s="264"/>
      <c r="M63" s="264"/>
      <c r="N63" s="264"/>
      <c r="O63" s="264"/>
      <c r="P63" s="264"/>
      <c r="Q63" s="264"/>
      <c r="R63" s="265"/>
      <c r="S63" s="266"/>
    </row>
    <row r="64" spans="1:19" x14ac:dyDescent="0.3">
      <c r="A64" s="197" t="s">
        <v>215</v>
      </c>
      <c r="F64" s="234" t="s">
        <v>31</v>
      </c>
      <c r="G64" s="336">
        <f>G60*H64</f>
        <v>225.35999999999999</v>
      </c>
      <c r="H64" s="228">
        <v>0.12</v>
      </c>
      <c r="I64" s="211"/>
      <c r="J64" s="313" t="s">
        <v>81</v>
      </c>
      <c r="K64" s="267"/>
      <c r="L64" s="267"/>
      <c r="M64" s="267"/>
      <c r="N64" s="267"/>
      <c r="O64" s="267"/>
      <c r="P64" s="267"/>
      <c r="Q64" s="267"/>
      <c r="R64" s="268"/>
      <c r="S64" s="269"/>
    </row>
    <row r="65" spans="1:19" ht="16.2" thickBot="1" x14ac:dyDescent="0.35">
      <c r="A65" s="197" t="s">
        <v>67</v>
      </c>
      <c r="F65" s="234" t="s">
        <v>31</v>
      </c>
      <c r="G65" s="338">
        <f>G60*H65</f>
        <v>0</v>
      </c>
      <c r="H65" s="229">
        <v>0</v>
      </c>
      <c r="I65" s="211"/>
      <c r="J65" s="312" t="s">
        <v>80</v>
      </c>
      <c r="K65" s="270"/>
      <c r="L65" s="270"/>
      <c r="M65" s="270"/>
      <c r="N65" s="270"/>
      <c r="O65" s="270"/>
      <c r="P65" s="270"/>
      <c r="Q65" s="270"/>
      <c r="R65" s="225"/>
      <c r="S65" s="217"/>
    </row>
    <row r="66" spans="1:19" ht="16.2" thickTop="1" x14ac:dyDescent="0.3">
      <c r="A66" s="231" t="s">
        <v>68</v>
      </c>
      <c r="F66" s="223"/>
      <c r="G66" s="314">
        <f>G60-SUMIFS(G61:G65,F61:F65,"Ja")</f>
        <v>1227.2521999999999</v>
      </c>
      <c r="H66" s="224"/>
      <c r="I66" s="212"/>
      <c r="J66" s="213"/>
    </row>
    <row r="67" spans="1:19" x14ac:dyDescent="0.3">
      <c r="A67" s="214"/>
      <c r="F67" s="225"/>
      <c r="G67" s="226"/>
      <c r="H67" s="226"/>
      <c r="I67" s="213"/>
      <c r="J67" s="213"/>
    </row>
    <row r="68" spans="1:19" x14ac:dyDescent="0.3">
      <c r="A68" s="216" t="s">
        <v>69</v>
      </c>
      <c r="F68" s="217"/>
      <c r="G68" s="481">
        <f>G66/G60</f>
        <v>0.65348892438764639</v>
      </c>
      <c r="H68" s="482"/>
      <c r="I68" s="213"/>
      <c r="J68" s="213"/>
    </row>
    <row r="71" spans="1:19" x14ac:dyDescent="0.3">
      <c r="A71" s="5" t="s">
        <v>70</v>
      </c>
    </row>
    <row r="72" spans="1:19" x14ac:dyDescent="0.3">
      <c r="A72" s="483"/>
      <c r="B72" s="484"/>
      <c r="C72" s="484"/>
      <c r="D72" s="484"/>
      <c r="E72" s="484"/>
      <c r="F72" s="484"/>
      <c r="G72" s="484"/>
      <c r="H72" s="484"/>
      <c r="I72" s="484"/>
      <c r="J72" s="484"/>
      <c r="K72" s="484"/>
      <c r="L72" s="484"/>
      <c r="M72" s="484"/>
      <c r="N72" s="484"/>
      <c r="O72" s="484"/>
      <c r="P72" s="484"/>
      <c r="Q72" s="484"/>
      <c r="R72" s="484"/>
      <c r="S72" s="485"/>
    </row>
    <row r="73" spans="1:19" x14ac:dyDescent="0.3">
      <c r="A73" s="486"/>
      <c r="B73" s="487"/>
      <c r="C73" s="487"/>
      <c r="D73" s="487"/>
      <c r="E73" s="487"/>
      <c r="F73" s="487"/>
      <c r="G73" s="487"/>
      <c r="H73" s="487"/>
      <c r="I73" s="487"/>
      <c r="J73" s="487"/>
      <c r="K73" s="487"/>
      <c r="L73" s="487"/>
      <c r="M73" s="487"/>
      <c r="N73" s="487"/>
      <c r="O73" s="487"/>
      <c r="P73" s="487"/>
      <c r="Q73" s="487"/>
      <c r="R73" s="487"/>
      <c r="S73" s="488"/>
    </row>
    <row r="74" spans="1:19" x14ac:dyDescent="0.3">
      <c r="A74" s="486"/>
      <c r="B74" s="487"/>
      <c r="C74" s="487"/>
      <c r="D74" s="487"/>
      <c r="E74" s="487"/>
      <c r="F74" s="487"/>
      <c r="G74" s="487"/>
      <c r="H74" s="487"/>
      <c r="I74" s="487"/>
      <c r="J74" s="487"/>
      <c r="K74" s="487"/>
      <c r="L74" s="487"/>
      <c r="M74" s="487"/>
      <c r="N74" s="487"/>
      <c r="O74" s="487"/>
      <c r="P74" s="487"/>
      <c r="Q74" s="487"/>
      <c r="R74" s="487"/>
      <c r="S74" s="488"/>
    </row>
    <row r="75" spans="1:19" x14ac:dyDescent="0.3">
      <c r="A75" s="486"/>
      <c r="B75" s="487"/>
      <c r="C75" s="487"/>
      <c r="D75" s="487"/>
      <c r="E75" s="487"/>
      <c r="F75" s="487"/>
      <c r="G75" s="487"/>
      <c r="H75" s="487"/>
      <c r="I75" s="487"/>
      <c r="J75" s="487"/>
      <c r="K75" s="487"/>
      <c r="L75" s="487"/>
      <c r="M75" s="487"/>
      <c r="N75" s="487"/>
      <c r="O75" s="487"/>
      <c r="P75" s="487"/>
      <c r="Q75" s="487"/>
      <c r="R75" s="487"/>
      <c r="S75" s="488"/>
    </row>
    <row r="76" spans="1:19" x14ac:dyDescent="0.3">
      <c r="A76" s="486"/>
      <c r="B76" s="487"/>
      <c r="C76" s="487"/>
      <c r="D76" s="487"/>
      <c r="E76" s="487"/>
      <c r="F76" s="487"/>
      <c r="G76" s="487"/>
      <c r="H76" s="487"/>
      <c r="I76" s="487"/>
      <c r="J76" s="487"/>
      <c r="K76" s="487"/>
      <c r="L76" s="487"/>
      <c r="M76" s="487"/>
      <c r="N76" s="487"/>
      <c r="O76" s="487"/>
      <c r="P76" s="487"/>
      <c r="Q76" s="487"/>
      <c r="R76" s="487"/>
      <c r="S76" s="488"/>
    </row>
    <row r="77" spans="1:19" x14ac:dyDescent="0.3">
      <c r="A77" s="489"/>
      <c r="B77" s="490"/>
      <c r="C77" s="490"/>
      <c r="D77" s="490"/>
      <c r="E77" s="490"/>
      <c r="F77" s="490"/>
      <c r="G77" s="490"/>
      <c r="H77" s="490"/>
      <c r="I77" s="490"/>
      <c r="J77" s="490"/>
      <c r="K77" s="490"/>
      <c r="L77" s="490"/>
      <c r="M77" s="490"/>
      <c r="N77" s="490"/>
      <c r="O77" s="490"/>
      <c r="P77" s="490"/>
      <c r="Q77" s="490"/>
      <c r="R77" s="490"/>
      <c r="S77" s="491"/>
    </row>
  </sheetData>
  <sheetProtection algorithmName="SHA-512" hashValue="ZlTk0CaDIHgTfq8g63BqLCY/RcE6GvxhLx77ePpQoWM8CsyVSNcl99uXKMkk8/+PsfOi0XS3KuJaaTo+eZxAXw==" saltValue="dUrY7lEY6rkohaXN10yIyQ==" spinCount="100000" sheet="1" objects="1" scenarios="1"/>
  <protectedRanges>
    <protectedRange algorithmName="SHA-512" hashValue="zrr1YC170iD4z5ngO6i+dvye2WxwMuZwyCItKXOM0Fb0EC895yDhie8vErJXeoL6fSMcx6aoO1sn5XcoWfI8lg==" saltValue="T/jZUAo6mJPMXMKTIHv+sw==" spinCount="100000" sqref="H61 F61:F65 H63:H65" name="Inputcellen_3"/>
  </protectedRanges>
  <mergeCells count="21">
    <mergeCell ref="G68:H68"/>
    <mergeCell ref="A72:S77"/>
    <mergeCell ref="I52:S52"/>
    <mergeCell ref="H53:S53"/>
    <mergeCell ref="I54:S54"/>
    <mergeCell ref="H55:S55"/>
    <mergeCell ref="H56:S56"/>
    <mergeCell ref="J60:S60"/>
    <mergeCell ref="P7:Q7"/>
    <mergeCell ref="F34:G34"/>
    <mergeCell ref="H34:I34"/>
    <mergeCell ref="J34:K34"/>
    <mergeCell ref="L34:M34"/>
    <mergeCell ref="N34:O34"/>
    <mergeCell ref="P34:Q34"/>
    <mergeCell ref="N7:O7"/>
    <mergeCell ref="F5:M5"/>
    <mergeCell ref="F7:G7"/>
    <mergeCell ref="H7:I7"/>
    <mergeCell ref="J7:K7"/>
    <mergeCell ref="L7:M7"/>
  </mergeCells>
  <conditionalFormatting sqref="F42:F43 F49 F52:F56">
    <cfRule type="expression" dxfId="40" priority="1">
      <formula>$C$74="Opslag"</formula>
    </cfRule>
  </conditionalFormatting>
  <conditionalFormatting sqref="F45:F47">
    <cfRule type="expression" dxfId="39" priority="2">
      <formula>$C$74="Opslag"</formula>
    </cfRule>
  </conditionalFormatting>
  <conditionalFormatting sqref="F57">
    <cfRule type="expression" dxfId="38" priority="5">
      <formula>$C$73="Opslag"</formula>
    </cfRule>
  </conditionalFormatting>
  <conditionalFormatting sqref="S34">
    <cfRule type="expression" dxfId="37" priority="3">
      <formula>$S$34=1</formula>
    </cfRule>
    <cfRule type="expression" dxfId="36" priority="4">
      <formula>$S$34&lt;&gt;1</formula>
    </cfRule>
  </conditionalFormatting>
  <conditionalFormatting sqref="T33">
    <cfRule type="cellIs" dxfId="35" priority="6" operator="equal">
      <formula>1</formula>
    </cfRule>
  </conditionalFormatting>
  <pageMargins left="0.7" right="0.7" top="0.75" bottom="0.75" header="0.3" footer="0.3"/>
  <pageSetup paperSize="9" scale="4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93B9-AFF0-4603-93A9-6222CC1ABC82}">
  <sheetPr codeName="Sheet13">
    <tabColor theme="4" tint="-0.499984740745262"/>
    <pageSetUpPr fitToPage="1"/>
  </sheetPr>
  <dimension ref="A2:U78"/>
  <sheetViews>
    <sheetView zoomScale="85" zoomScaleNormal="85" workbookViewId="0">
      <pane ySplit="5" topLeftCell="A31" activePane="bottomLeft" state="frozen"/>
      <selection activeCell="A77" sqref="A77:S82"/>
      <selection pane="bottomLeft" activeCell="A35" sqref="A1:XFD1048576"/>
    </sheetView>
  </sheetViews>
  <sheetFormatPr defaultColWidth="10.5" defaultRowHeight="15.6" x14ac:dyDescent="0.3"/>
  <cols>
    <col min="1" max="1" width="74.796875" style="5" bestFit="1" customWidth="1"/>
    <col min="2" max="2" width="0.5" style="6" customWidth="1"/>
    <col min="3" max="3" width="3.8984375" style="6" hidden="1" customWidth="1"/>
    <col min="4" max="4" width="3.5" style="6" customWidth="1"/>
    <col min="5"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hidden="1" customWidth="1"/>
    <col min="13" max="13" width="13.09765625" style="6" hidden="1" customWidth="1"/>
    <col min="14" max="14" width="13.59765625" style="6" hidden="1" customWidth="1"/>
    <col min="15" max="15" width="14.8984375" style="6" hidden="1" customWidth="1"/>
    <col min="16" max="16" width="13.5" style="6" customWidth="1"/>
    <col min="17" max="17" width="13" style="6" customWidth="1"/>
    <col min="18" max="18" width="1.3984375" style="5" customWidth="1"/>
    <col min="19" max="19" width="36.5" style="5" customWidth="1"/>
    <col min="20" max="20" width="31.3984375" style="5" bestFit="1"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ht="5.4" customHeight="1" x14ac:dyDescent="0.3">
      <c r="A4" s="9"/>
    </row>
    <row r="5" spans="1:21" s="18" customFormat="1" ht="21" x14ac:dyDescent="0.35">
      <c r="A5" s="398" t="s">
        <v>508</v>
      </c>
      <c r="B5" s="399"/>
      <c r="C5" s="399"/>
      <c r="D5" s="399"/>
      <c r="E5" s="399"/>
      <c r="F5" s="521"/>
      <c r="G5" s="521"/>
      <c r="H5" s="521"/>
      <c r="I5" s="521"/>
      <c r="J5" s="521"/>
      <c r="K5" s="521"/>
      <c r="L5" s="521"/>
      <c r="M5" s="521"/>
      <c r="N5" s="398"/>
      <c r="O5" s="399"/>
      <c r="P5" s="399"/>
      <c r="Q5" s="399"/>
      <c r="R5" s="39"/>
    </row>
    <row r="6" spans="1:21" s="18" customFormat="1" ht="2.4" customHeight="1" x14ac:dyDescent="0.35">
      <c r="A6" s="398"/>
      <c r="B6" s="399"/>
      <c r="C6" s="399"/>
      <c r="D6" s="399"/>
      <c r="E6" s="399"/>
      <c r="F6" s="399"/>
      <c r="G6" s="399"/>
      <c r="H6" s="400"/>
      <c r="I6" s="400"/>
      <c r="J6" s="400"/>
      <c r="K6" s="400"/>
      <c r="L6" s="400"/>
      <c r="M6" s="400"/>
      <c r="N6" s="398"/>
      <c r="O6" s="399"/>
      <c r="P6" s="399"/>
      <c r="Q6" s="399"/>
      <c r="R6" s="39"/>
    </row>
    <row r="7" spans="1:21" ht="16.2" thickBot="1" x14ac:dyDescent="0.35">
      <c r="A7" s="106"/>
      <c r="B7" s="107"/>
      <c r="C7" s="107"/>
      <c r="D7" s="107"/>
      <c r="E7" s="107"/>
      <c r="F7" s="139"/>
      <c r="G7" s="319"/>
      <c r="H7" s="132"/>
      <c r="I7" s="132"/>
      <c r="J7" s="132"/>
      <c r="K7" s="132"/>
      <c r="L7" s="132"/>
      <c r="M7" s="132"/>
      <c r="N7" s="132"/>
      <c r="O7" s="132"/>
      <c r="P7" s="132"/>
      <c r="Q7" s="132"/>
      <c r="R7" s="83"/>
    </row>
    <row r="8" spans="1:21" ht="24.9" customHeight="1" thickBot="1" x14ac:dyDescent="0.35">
      <c r="A8" s="95" t="s">
        <v>28</v>
      </c>
      <c r="B8" s="88"/>
      <c r="C8" s="86" t="s">
        <v>29</v>
      </c>
      <c r="D8" s="88"/>
      <c r="E8" s="88"/>
      <c r="F8" s="492" t="str">
        <f>IF('Algemene kostprijsfactoren'!E4="",'Algemene kostprijsfactoren'!C4,'Algemene kostprijsfactoren'!E4)</f>
        <v>Cao_GGZ</v>
      </c>
      <c r="G8" s="493"/>
      <c r="H8" s="492" t="str">
        <f>F8</f>
        <v>Cao_GGZ</v>
      </c>
      <c r="I8" s="493"/>
      <c r="J8" s="492" t="str">
        <f>F8</f>
        <v>Cao_GGZ</v>
      </c>
      <c r="K8" s="493"/>
      <c r="L8" s="492" t="str">
        <f>F8</f>
        <v>Cao_GGZ</v>
      </c>
      <c r="M8" s="493"/>
      <c r="N8" s="492" t="str">
        <f>F8</f>
        <v>Cao_GGZ</v>
      </c>
      <c r="O8" s="493"/>
      <c r="P8" s="492" t="str">
        <f>F8</f>
        <v>Cao_GGZ</v>
      </c>
      <c r="Q8" s="493"/>
      <c r="R8" s="89"/>
      <c r="T8" s="133"/>
    </row>
    <row r="9" spans="1:21" ht="24.9" customHeight="1" thickBot="1" x14ac:dyDescent="0.35">
      <c r="A9" s="90" t="s">
        <v>219</v>
      </c>
      <c r="B9" s="88"/>
      <c r="C9" s="86"/>
      <c r="D9" s="88"/>
      <c r="E9" s="88"/>
      <c r="F9" s="519" t="s">
        <v>518</v>
      </c>
      <c r="G9" s="520"/>
      <c r="H9" s="519" t="s">
        <v>519</v>
      </c>
      <c r="I9" s="520"/>
      <c r="J9" s="519" t="s">
        <v>520</v>
      </c>
      <c r="K9" s="520"/>
      <c r="L9" s="519"/>
      <c r="M9" s="520"/>
      <c r="N9" s="519"/>
      <c r="O9" s="520"/>
      <c r="P9" s="519"/>
      <c r="Q9" s="520"/>
      <c r="R9" s="89"/>
      <c r="U9"/>
    </row>
    <row r="10" spans="1:21" ht="15.9" customHeight="1" thickBot="1" x14ac:dyDescent="0.35">
      <c r="A10" s="97" t="s">
        <v>230</v>
      </c>
      <c r="B10" s="156"/>
      <c r="C10" s="99"/>
      <c r="D10" s="156"/>
      <c r="E10" s="156"/>
      <c r="F10" s="401"/>
      <c r="G10" s="402">
        <v>3541.042903296875</v>
      </c>
      <c r="H10" s="401" t="s">
        <v>231</v>
      </c>
      <c r="I10" s="402"/>
      <c r="J10" s="401" t="s">
        <v>231</v>
      </c>
      <c r="K10" s="402"/>
      <c r="L10" s="401" t="s">
        <v>210</v>
      </c>
      <c r="M10" s="402"/>
      <c r="N10" s="401" t="s">
        <v>210</v>
      </c>
      <c r="O10" s="402"/>
      <c r="P10" s="401"/>
      <c r="Q10" s="402">
        <f>G10</f>
        <v>3541.042903296875</v>
      </c>
      <c r="R10" s="82"/>
      <c r="S10" s="325"/>
      <c r="T10" s="133"/>
    </row>
    <row r="11" spans="1:21" ht="15.9" customHeight="1" x14ac:dyDescent="0.3">
      <c r="A11" s="97" t="s">
        <v>71</v>
      </c>
      <c r="B11" s="156"/>
      <c r="C11" s="99"/>
      <c r="D11" s="156"/>
      <c r="E11" s="156"/>
      <c r="F11" s="158"/>
      <c r="G11" s="160">
        <f>G10/156.5</f>
        <v>22.626472225539139</v>
      </c>
      <c r="H11" s="158"/>
      <c r="I11" s="160">
        <f>I10/156.5</f>
        <v>0</v>
      </c>
      <c r="J11" s="158"/>
      <c r="K11" s="160">
        <f>K10/156.5</f>
        <v>0</v>
      </c>
      <c r="L11" s="158"/>
      <c r="M11" s="160">
        <f>M10/156.5</f>
        <v>0</v>
      </c>
      <c r="N11" s="158"/>
      <c r="O11" s="160">
        <f>O10/156.5</f>
        <v>0</v>
      </c>
      <c r="P11" s="158"/>
      <c r="Q11" s="160">
        <f>Q10/156.5</f>
        <v>22.626472225539139</v>
      </c>
      <c r="R11" s="82"/>
      <c r="S11" s="133"/>
      <c r="T11" s="133"/>
    </row>
    <row r="12" spans="1:21" ht="15.9" customHeight="1" x14ac:dyDescent="0.3">
      <c r="A12" s="94" t="s">
        <v>4</v>
      </c>
      <c r="B12" s="156"/>
      <c r="C12" s="99" t="s">
        <v>31</v>
      </c>
      <c r="D12" s="156"/>
      <c r="E12" s="156"/>
      <c r="F12" s="158">
        <f>IF(F8&lt;&gt;"",'Algemene kostprijsfactoren'!$C$5,"")</f>
        <v>8.0750000000000002E-2</v>
      </c>
      <c r="G12" s="157">
        <f>MAX(1.07,F12*G11)</f>
        <v>1.8270876322122855</v>
      </c>
      <c r="H12" s="158">
        <f>IF(H8&lt;&gt;"",'Algemene kostprijsfactoren'!$C$5,"")</f>
        <v>8.0750000000000002E-2</v>
      </c>
      <c r="I12" s="157">
        <f>MAX(1.07,H12*I11)</f>
        <v>1.07</v>
      </c>
      <c r="J12" s="158">
        <f>IF(J8&lt;&gt;"",'Algemene kostprijsfactoren'!$C$5,"")</f>
        <v>8.0750000000000002E-2</v>
      </c>
      <c r="K12" s="157">
        <f>MAX(1.07,J12*K11)</f>
        <v>1.07</v>
      </c>
      <c r="L12" s="158">
        <f>IF(L8&lt;&gt;"",8%,"")</f>
        <v>0.08</v>
      </c>
      <c r="M12" s="157">
        <f>MAX(1.07,L12*M11)</f>
        <v>1.07</v>
      </c>
      <c r="N12" s="158">
        <f>IF(N8&lt;&gt;"",8%,"")</f>
        <v>0.08</v>
      </c>
      <c r="O12" s="157">
        <f>MAX(1.07,N12*O11)</f>
        <v>1.07</v>
      </c>
      <c r="P12" s="158">
        <f>IF(P8&lt;&gt;"",'Algemene kostprijsfactoren'!$C$5,"")</f>
        <v>8.0750000000000002E-2</v>
      </c>
      <c r="Q12" s="157">
        <f>MAX(1.07,P12*Q11)</f>
        <v>1.8270876322122855</v>
      </c>
      <c r="R12" s="83"/>
      <c r="S12" s="134"/>
      <c r="T12" s="134"/>
    </row>
    <row r="13" spans="1:21" ht="15.9" customHeight="1" x14ac:dyDescent="0.3">
      <c r="A13" s="111" t="s">
        <v>32</v>
      </c>
      <c r="B13" s="156"/>
      <c r="C13" s="99"/>
      <c r="D13" s="156"/>
      <c r="E13" s="156"/>
      <c r="F13" s="158"/>
      <c r="G13" s="160">
        <f>G11+G12</f>
        <v>24.453559857751426</v>
      </c>
      <c r="H13" s="158"/>
      <c r="I13" s="160">
        <f>I11+I12</f>
        <v>1.07</v>
      </c>
      <c r="J13" s="158"/>
      <c r="K13" s="160">
        <f>K11+K12</f>
        <v>1.07</v>
      </c>
      <c r="L13" s="158"/>
      <c r="M13" s="160">
        <f>M11+M12</f>
        <v>1.07</v>
      </c>
      <c r="N13" s="158"/>
      <c r="O13" s="160">
        <f>O11+O12</f>
        <v>1.07</v>
      </c>
      <c r="P13" s="158"/>
      <c r="Q13" s="160">
        <f>Q11+Q12</f>
        <v>24.453559857751426</v>
      </c>
      <c r="R13" s="83"/>
      <c r="S13" s="134"/>
      <c r="T13" s="134"/>
    </row>
    <row r="14" spans="1:21" ht="15.9" customHeight="1" thickBot="1" x14ac:dyDescent="0.35">
      <c r="A14" s="94" t="s">
        <v>33</v>
      </c>
      <c r="B14" s="156"/>
      <c r="C14" s="99" t="s">
        <v>31</v>
      </c>
      <c r="D14" s="156"/>
      <c r="E14" s="156"/>
      <c r="F14" s="379">
        <f>IF(F8&lt;&gt;"",'Algemene kostprijsfactoren'!$C$6,"")</f>
        <v>8.3299999999999999E-2</v>
      </c>
      <c r="G14" s="159">
        <f>MAX(1.14,F14*G11)</f>
        <v>1.8847851363874102</v>
      </c>
      <c r="H14" s="379">
        <f>IF(H8&lt;&gt;"",'Algemene kostprijsfactoren'!$C$6,"")</f>
        <v>8.3299999999999999E-2</v>
      </c>
      <c r="I14" s="159">
        <f>MAX(1.14,H14*I11)</f>
        <v>1.1399999999999999</v>
      </c>
      <c r="J14" s="379">
        <f>IF(J8&lt;&gt;"",'Algemene kostprijsfactoren'!$C$6,"")</f>
        <v>8.3299999999999999E-2</v>
      </c>
      <c r="K14" s="159">
        <f>MAX(1.14,J14*K11)</f>
        <v>1.1399999999999999</v>
      </c>
      <c r="L14" s="379">
        <f>VLOOKUP(L$8,Toelichting!$A$28:$B$31,2,TRUE)</f>
        <v>8.3299999999999999E-2</v>
      </c>
      <c r="M14" s="159">
        <f>MAX(1.14,L14*M11)</f>
        <v>1.1399999999999999</v>
      </c>
      <c r="N14" s="379">
        <f>VLOOKUP(N$8,Toelichting!$A$28:$B$31,2,TRUE)</f>
        <v>8.3299999999999999E-2</v>
      </c>
      <c r="O14" s="159">
        <f>MAX(1.14,N14*O11)</f>
        <v>1.1399999999999999</v>
      </c>
      <c r="P14" s="379">
        <f>IF(P8&lt;&gt;"",'Algemene kostprijsfactoren'!$C$6,"")</f>
        <v>8.3299999999999999E-2</v>
      </c>
      <c r="Q14" s="159">
        <f>MAX(1.14,P14*Q11)</f>
        <v>1.8847851363874102</v>
      </c>
      <c r="R14" s="83"/>
      <c r="S14" s="134"/>
      <c r="T14" s="134"/>
    </row>
    <row r="15" spans="1:21" ht="16.2" thickBot="1" x14ac:dyDescent="0.35">
      <c r="A15" s="424" t="s">
        <v>496</v>
      </c>
      <c r="B15" s="156"/>
      <c r="C15" s="99"/>
      <c r="D15" s="156"/>
      <c r="E15" s="156"/>
      <c r="F15" s="426"/>
      <c r="G15" s="378">
        <f>F15*G11</f>
        <v>0</v>
      </c>
      <c r="H15" s="426"/>
      <c r="I15" s="378">
        <f>H15*I11</f>
        <v>0</v>
      </c>
      <c r="J15" s="426"/>
      <c r="K15" s="378">
        <f>J15*K11</f>
        <v>0</v>
      </c>
      <c r="L15" s="403">
        <v>0</v>
      </c>
      <c r="M15" s="378">
        <f>L15*M11</f>
        <v>0</v>
      </c>
      <c r="N15" s="403">
        <v>0</v>
      </c>
      <c r="O15" s="378">
        <f>N15*O11</f>
        <v>0</v>
      </c>
      <c r="P15" s="426"/>
      <c r="Q15" s="320">
        <f>P15*Q11</f>
        <v>0</v>
      </c>
      <c r="R15" s="82"/>
    </row>
    <row r="16" spans="1:21" x14ac:dyDescent="0.3">
      <c r="A16" s="108" t="s">
        <v>35</v>
      </c>
      <c r="B16" s="126"/>
      <c r="C16" s="98"/>
      <c r="D16" s="126"/>
      <c r="E16" s="135">
        <f>SUM(E$12:E$14)</f>
        <v>0</v>
      </c>
      <c r="F16" s="321"/>
      <c r="G16" s="272">
        <f>SUM(G$13:G$15)</f>
        <v>26.338344994138836</v>
      </c>
      <c r="H16" s="404"/>
      <c r="I16" s="272">
        <f>SUM(I$13:I$15)</f>
        <v>2.21</v>
      </c>
      <c r="J16" s="404"/>
      <c r="K16" s="272">
        <f>SUM(K$13:K$15)</f>
        <v>2.21</v>
      </c>
      <c r="L16" s="405"/>
      <c r="M16" s="272">
        <f>SUM(M$13:M$15)</f>
        <v>2.21</v>
      </c>
      <c r="N16" s="406"/>
      <c r="O16" s="272">
        <f>SUM(O$13:O$15)</f>
        <v>2.21</v>
      </c>
      <c r="P16" s="405"/>
      <c r="Q16" s="272">
        <f>SUM(Q$13:Q$15)</f>
        <v>26.338344994138836</v>
      </c>
      <c r="R16" s="136"/>
      <c r="S16" s="133"/>
      <c r="T16" s="133"/>
    </row>
    <row r="17" spans="1:20" x14ac:dyDescent="0.3">
      <c r="A17" s="144" t="s">
        <v>36</v>
      </c>
      <c r="B17" s="126"/>
      <c r="C17" s="98"/>
      <c r="D17" s="126"/>
      <c r="E17" s="135"/>
      <c r="F17" s="276">
        <f>$F$57</f>
        <v>0.19260000000000002</v>
      </c>
      <c r="G17" s="277"/>
      <c r="H17" s="276">
        <f>$F$57</f>
        <v>0.19260000000000002</v>
      </c>
      <c r="I17" s="277"/>
      <c r="J17" s="276">
        <f>$F$57</f>
        <v>0.19260000000000002</v>
      </c>
      <c r="K17" s="277"/>
      <c r="L17" s="276">
        <f>$F$57</f>
        <v>0.19260000000000002</v>
      </c>
      <c r="M17" s="277"/>
      <c r="N17" s="276">
        <f>$F$57</f>
        <v>0.19260000000000002</v>
      </c>
      <c r="O17" s="163"/>
      <c r="P17" s="276">
        <f>$F$57</f>
        <v>0.19260000000000002</v>
      </c>
      <c r="Q17" s="277"/>
      <c r="R17" s="143"/>
      <c r="S17" s="325" t="s">
        <v>224</v>
      </c>
      <c r="T17" s="133"/>
    </row>
    <row r="18" spans="1:20" x14ac:dyDescent="0.3">
      <c r="A18" s="144" t="s">
        <v>38</v>
      </c>
      <c r="B18" s="126"/>
      <c r="C18" s="98"/>
      <c r="D18" s="126"/>
      <c r="E18" s="135"/>
      <c r="F18" s="276">
        <f>G45</f>
        <v>8.5563954698730529E-2</v>
      </c>
      <c r="G18" s="277"/>
      <c r="H18" s="276">
        <f>H45</f>
        <v>-0.38866223815650608</v>
      </c>
      <c r="I18" s="277"/>
      <c r="J18" s="276">
        <f>I45</f>
        <v>-0.38866223815650608</v>
      </c>
      <c r="K18" s="277"/>
      <c r="L18" s="276">
        <f>J45</f>
        <v>-0.38866223815650608</v>
      </c>
      <c r="M18" s="277"/>
      <c r="N18" s="276">
        <f>K45</f>
        <v>-0.38866223815650608</v>
      </c>
      <c r="O18" s="163"/>
      <c r="P18" s="276">
        <f>L45</f>
        <v>8.5563954698730529E-2</v>
      </c>
      <c r="Q18" s="277"/>
      <c r="R18" s="143"/>
      <c r="S18" s="133"/>
      <c r="T18" s="133"/>
    </row>
    <row r="19" spans="1:20" x14ac:dyDescent="0.3">
      <c r="A19" s="144" t="s">
        <v>39</v>
      </c>
      <c r="B19" s="126"/>
      <c r="C19" s="98"/>
      <c r="D19" s="126"/>
      <c r="E19" s="135"/>
      <c r="F19" s="276">
        <f>G49</f>
        <v>1.0643428693311373E-3</v>
      </c>
      <c r="G19" s="277"/>
      <c r="H19" s="276">
        <f>H49</f>
        <v>-1.460987909540813E-2</v>
      </c>
      <c r="I19" s="277"/>
      <c r="J19" s="276">
        <f>I49</f>
        <v>-1.460987909540813E-2</v>
      </c>
      <c r="K19" s="277"/>
      <c r="L19" s="276">
        <f>J49</f>
        <v>-1.460987909540813E-2</v>
      </c>
      <c r="M19" s="277"/>
      <c r="N19" s="276">
        <f>K49</f>
        <v>-1.460987909540813E-2</v>
      </c>
      <c r="O19" s="163"/>
      <c r="P19" s="276">
        <f>L49</f>
        <v>1.0643428693311373E-3</v>
      </c>
      <c r="Q19" s="277"/>
      <c r="R19" s="143"/>
      <c r="S19" s="133"/>
      <c r="T19" s="133"/>
    </row>
    <row r="20" spans="1:20" x14ac:dyDescent="0.3">
      <c r="A20" s="109" t="s">
        <v>40</v>
      </c>
      <c r="B20" s="126"/>
      <c r="C20" s="98"/>
      <c r="D20" s="126"/>
      <c r="E20" s="126"/>
      <c r="F20" s="278">
        <f>F17+F18+F19</f>
        <v>0.27922829756806172</v>
      </c>
      <c r="G20" s="279">
        <f>F20*G16</f>
        <v>7.3544112334736678</v>
      </c>
      <c r="H20" s="278">
        <f>H17+H18+H19</f>
        <v>-0.21067211725191418</v>
      </c>
      <c r="I20" s="279">
        <f>H20*I16</f>
        <v>-0.46558537912673031</v>
      </c>
      <c r="J20" s="278">
        <f>J17+J18+J19</f>
        <v>-0.21067211725191418</v>
      </c>
      <c r="K20" s="279">
        <f>J20*K16</f>
        <v>-0.46558537912673031</v>
      </c>
      <c r="L20" s="278">
        <f>L17+L18+L19</f>
        <v>-0.21067211725191418</v>
      </c>
      <c r="M20" s="279">
        <f>L20*M16</f>
        <v>-0.46558537912673031</v>
      </c>
      <c r="N20" s="280">
        <f>N17+N18+N19</f>
        <v>-0.21067211725191418</v>
      </c>
      <c r="O20" s="281">
        <f>N20*O16</f>
        <v>-0.46558537912673031</v>
      </c>
      <c r="P20" s="278">
        <f>P17+P18+P19</f>
        <v>0.27922829756806172</v>
      </c>
      <c r="Q20" s="279">
        <f>P20*Q16</f>
        <v>7.3544112334736678</v>
      </c>
      <c r="R20" s="137"/>
      <c r="S20" s="325" t="s">
        <v>224</v>
      </c>
      <c r="T20" s="133"/>
    </row>
    <row r="21" spans="1:20" x14ac:dyDescent="0.3">
      <c r="A21" s="110" t="s">
        <v>41</v>
      </c>
      <c r="B21" s="126"/>
      <c r="C21" s="98"/>
      <c r="D21" s="126"/>
      <c r="E21" s="126"/>
      <c r="F21" s="282"/>
      <c r="G21" s="283">
        <f>G16+G20</f>
        <v>33.692756227612506</v>
      </c>
      <c r="H21" s="284"/>
      <c r="I21" s="283">
        <f>I16+I20</f>
        <v>1.7444146208732696</v>
      </c>
      <c r="J21" s="284"/>
      <c r="K21" s="283">
        <f>K16+K20</f>
        <v>1.7444146208732696</v>
      </c>
      <c r="L21" s="285"/>
      <c r="M21" s="283">
        <f>M16+M20</f>
        <v>1.7444146208732696</v>
      </c>
      <c r="N21" s="286"/>
      <c r="O21" s="287">
        <f>O16+O20</f>
        <v>1.7444146208732696</v>
      </c>
      <c r="P21" s="285"/>
      <c r="Q21" s="283">
        <f>Q16+Q20</f>
        <v>33.692756227612506</v>
      </c>
      <c r="R21" s="346"/>
    </row>
    <row r="22" spans="1:20" ht="16.2" thickBot="1" x14ac:dyDescent="0.35">
      <c r="A22" s="96" t="s">
        <v>42</v>
      </c>
      <c r="B22" s="87"/>
      <c r="C22" s="125"/>
      <c r="D22" s="87"/>
      <c r="E22" s="87"/>
      <c r="F22" s="87"/>
      <c r="G22" s="114"/>
      <c r="H22" s="116"/>
      <c r="I22" s="114"/>
      <c r="J22" s="116"/>
      <c r="K22" s="114"/>
      <c r="L22" s="87"/>
      <c r="M22" s="87"/>
      <c r="N22" s="116"/>
      <c r="O22" s="114"/>
      <c r="P22" s="116"/>
      <c r="Q22" s="114"/>
      <c r="R22" s="1"/>
    </row>
    <row r="23" spans="1:20" ht="16.2" thickBot="1" x14ac:dyDescent="0.35">
      <c r="A23" s="105" t="s">
        <v>43</v>
      </c>
      <c r="B23" s="156"/>
      <c r="C23" s="99"/>
      <c r="D23" s="156"/>
      <c r="E23" s="156"/>
      <c r="F23" s="244">
        <f>G69</f>
        <v>0.65348892438764639</v>
      </c>
      <c r="G23" s="247">
        <f>G21/F23</f>
        <v>51.558266667157973</v>
      </c>
      <c r="H23" s="164">
        <f>F23</f>
        <v>0.65348892438764639</v>
      </c>
      <c r="I23" s="165">
        <f>I21/H23</f>
        <v>2.6693866655932665</v>
      </c>
      <c r="J23" s="164">
        <f>F23</f>
        <v>0.65348892438764639</v>
      </c>
      <c r="K23" s="165">
        <f>K21/J23</f>
        <v>2.6693866655932665</v>
      </c>
      <c r="L23" s="164">
        <f>F23</f>
        <v>0.65348892438764639</v>
      </c>
      <c r="M23" s="165">
        <f>M21/L23</f>
        <v>2.6693866655932665</v>
      </c>
      <c r="N23" s="166">
        <f>F23</f>
        <v>0.65348892438764639</v>
      </c>
      <c r="O23" s="165">
        <f>O21/N23</f>
        <v>2.6693866655932665</v>
      </c>
      <c r="P23" s="166">
        <f>F23</f>
        <v>0.65348892438764639</v>
      </c>
      <c r="Q23" s="165">
        <f>Q21/P23</f>
        <v>51.558266667157973</v>
      </c>
      <c r="R23" s="82"/>
      <c r="S23" s="5" t="s">
        <v>225</v>
      </c>
    </row>
    <row r="24" spans="1:20" ht="16.2" thickBot="1" x14ac:dyDescent="0.35">
      <c r="A24" s="106" t="s">
        <v>45</v>
      </c>
      <c r="B24" s="156"/>
      <c r="C24" s="99"/>
      <c r="D24" s="156"/>
      <c r="E24" s="156"/>
      <c r="F24" s="164"/>
      <c r="G24" s="401">
        <v>1.54</v>
      </c>
      <c r="H24" s="164"/>
      <c r="I24" s="401">
        <f>G24</f>
        <v>1.54</v>
      </c>
      <c r="J24" s="232"/>
      <c r="K24" s="401">
        <f>G24</f>
        <v>1.54</v>
      </c>
      <c r="L24" s="232"/>
      <c r="M24" s="288">
        <f>G24</f>
        <v>1.54</v>
      </c>
      <c r="N24" s="233"/>
      <c r="O24" s="288">
        <f>G24</f>
        <v>1.54</v>
      </c>
      <c r="P24" s="233"/>
      <c r="Q24" s="401">
        <f>G24</f>
        <v>1.54</v>
      </c>
      <c r="R24" s="401"/>
    </row>
    <row r="25" spans="1:20" x14ac:dyDescent="0.3">
      <c r="A25" s="105"/>
      <c r="B25" s="167"/>
      <c r="C25" s="98"/>
      <c r="D25" s="167"/>
      <c r="E25" s="167"/>
      <c r="F25" s="168"/>
      <c r="G25" s="248"/>
      <c r="H25" s="170"/>
      <c r="I25" s="169"/>
      <c r="J25" s="170"/>
      <c r="K25" s="169"/>
      <c r="L25" s="171"/>
      <c r="M25" s="169"/>
      <c r="N25" s="170"/>
      <c r="O25" s="169"/>
      <c r="P25" s="170"/>
      <c r="Q25" s="169"/>
      <c r="R25" s="1"/>
    </row>
    <row r="26" spans="1:20" ht="18.899999999999999" customHeight="1" x14ac:dyDescent="0.3">
      <c r="A26" s="129" t="s">
        <v>46</v>
      </c>
      <c r="B26" s="130"/>
      <c r="C26" s="131"/>
      <c r="D26" s="130"/>
      <c r="E26" s="130"/>
      <c r="F26" s="138"/>
      <c r="G26" s="290">
        <f>G23+G24</f>
        <v>53.098266667157972</v>
      </c>
      <c r="H26" s="289"/>
      <c r="I26" s="290">
        <f>I23+I24</f>
        <v>4.2093866655932661</v>
      </c>
      <c r="J26" s="289"/>
      <c r="K26" s="290">
        <f>K23+K24</f>
        <v>4.2093866655932661</v>
      </c>
      <c r="L26" s="291"/>
      <c r="M26" s="290">
        <f>M23+M24</f>
        <v>4.2093866655932661</v>
      </c>
      <c r="N26" s="292"/>
      <c r="O26" s="290">
        <f>O23+O24</f>
        <v>4.2093866655932661</v>
      </c>
      <c r="P26" s="289"/>
      <c r="Q26" s="290">
        <f>Q23+Q24</f>
        <v>53.098266667157972</v>
      </c>
      <c r="R26" s="1"/>
    </row>
    <row r="27" spans="1:20" ht="18" customHeight="1" x14ac:dyDescent="0.3">
      <c r="A27" s="104"/>
      <c r="B27" s="87"/>
      <c r="C27" s="99"/>
      <c r="D27" s="87"/>
      <c r="E27" s="87"/>
      <c r="F27" s="139"/>
      <c r="G27" s="115"/>
      <c r="H27" s="117"/>
      <c r="I27" s="118"/>
      <c r="J27" s="117"/>
      <c r="K27" s="118"/>
      <c r="L27" s="112"/>
      <c r="M27" s="113"/>
      <c r="N27" s="117"/>
      <c r="O27" s="118"/>
      <c r="P27" s="117"/>
      <c r="Q27" s="118"/>
      <c r="R27" s="1"/>
    </row>
    <row r="28" spans="1:20" ht="16.2" thickBot="1" x14ac:dyDescent="0.35">
      <c r="A28" s="96" t="s">
        <v>47</v>
      </c>
      <c r="B28" s="87"/>
      <c r="C28" s="125"/>
      <c r="D28" s="87"/>
      <c r="E28" s="87"/>
      <c r="F28" s="87"/>
      <c r="G28" s="114"/>
      <c r="H28" s="116"/>
      <c r="I28" s="114"/>
      <c r="J28" s="116"/>
      <c r="K28" s="114"/>
      <c r="L28" s="87"/>
      <c r="M28" s="87"/>
      <c r="N28" s="116"/>
      <c r="O28" s="114"/>
      <c r="P28" s="116"/>
      <c r="Q28" s="114"/>
      <c r="R28" s="1"/>
    </row>
    <row r="29" spans="1:20" ht="16.2" thickBot="1" x14ac:dyDescent="0.35">
      <c r="A29" s="111" t="s">
        <v>213</v>
      </c>
      <c r="B29" s="100"/>
      <c r="C29" s="99"/>
      <c r="D29" s="100"/>
      <c r="E29" s="100"/>
      <c r="F29" s="244">
        <f>IF('Algemene kostprijsfactoren'!$F$33&lt;&gt;"",'Algemene kostprijsfactoren'!$F$33,'Algemene kostprijsfactoren'!$D$33)</f>
        <v>0.248</v>
      </c>
      <c r="G29" s="245">
        <f>F29*G26</f>
        <v>13.168370133455177</v>
      </c>
      <c r="H29" s="293">
        <f>F29</f>
        <v>0.248</v>
      </c>
      <c r="I29" s="172">
        <f>H29*I26</f>
        <v>1.0439278930671301</v>
      </c>
      <c r="J29" s="294">
        <f>F29</f>
        <v>0.248</v>
      </c>
      <c r="K29" s="172">
        <f>J29*K26</f>
        <v>1.0439278930671301</v>
      </c>
      <c r="L29" s="294">
        <f>F29</f>
        <v>0.248</v>
      </c>
      <c r="M29" s="173">
        <f>L29*M26</f>
        <v>1.0439278930671301</v>
      </c>
      <c r="N29" s="295">
        <f>F29</f>
        <v>0.248</v>
      </c>
      <c r="O29" s="296">
        <f>N29*O26</f>
        <v>1.0439278930671301</v>
      </c>
      <c r="P29" s="297">
        <f>F29</f>
        <v>0.248</v>
      </c>
      <c r="Q29" s="172">
        <f>P29*Q26</f>
        <v>13.168370133455177</v>
      </c>
      <c r="R29" s="1"/>
      <c r="S29" s="5" t="s">
        <v>48</v>
      </c>
    </row>
    <row r="30" spans="1:20" x14ac:dyDescent="0.3">
      <c r="A30" s="127"/>
      <c r="B30" s="100"/>
      <c r="C30" s="99"/>
      <c r="D30" s="100"/>
      <c r="E30" s="100"/>
      <c r="F30" s="246"/>
      <c r="G30" s="175"/>
      <c r="H30" s="176"/>
      <c r="I30" s="177"/>
      <c r="J30" s="174"/>
      <c r="K30" s="177"/>
      <c r="L30" s="174"/>
      <c r="M30" s="178"/>
      <c r="N30" s="298"/>
      <c r="O30" s="299"/>
      <c r="P30" s="179"/>
      <c r="Q30" s="177"/>
      <c r="R30" s="1"/>
    </row>
    <row r="31" spans="1:20" ht="16.2" thickBot="1" x14ac:dyDescent="0.35">
      <c r="A31" s="96" t="s">
        <v>49</v>
      </c>
      <c r="B31" s="100"/>
      <c r="C31" s="87"/>
      <c r="D31" s="100"/>
      <c r="E31" s="100"/>
      <c r="F31" s="180"/>
      <c r="G31" s="181"/>
      <c r="H31" s="182"/>
      <c r="I31" s="183"/>
      <c r="J31" s="180"/>
      <c r="K31" s="183"/>
      <c r="L31" s="180"/>
      <c r="M31" s="184"/>
      <c r="N31" s="300"/>
      <c r="O31" s="301"/>
      <c r="P31" s="185"/>
      <c r="Q31" s="183"/>
      <c r="R31" s="1"/>
    </row>
    <row r="32" spans="1:20" ht="16.2" thickBot="1" x14ac:dyDescent="0.35">
      <c r="A32" s="121" t="s">
        <v>527</v>
      </c>
      <c r="B32" s="87"/>
      <c r="C32" s="87"/>
      <c r="D32" s="87"/>
      <c r="E32" s="87"/>
      <c r="F32" s="408">
        <v>0.02</v>
      </c>
      <c r="G32" s="302">
        <f>F32*G26</f>
        <v>1.0619653333431596</v>
      </c>
      <c r="H32" s="294">
        <f>F32</f>
        <v>0.02</v>
      </c>
      <c r="I32" s="303">
        <f>H32*I26</f>
        <v>8.4187733311865326E-2</v>
      </c>
      <c r="J32" s="294">
        <f>F32</f>
        <v>0.02</v>
      </c>
      <c r="K32" s="303">
        <f>J32*K26</f>
        <v>8.4187733311865326E-2</v>
      </c>
      <c r="L32" s="294">
        <f>F32</f>
        <v>0.02</v>
      </c>
      <c r="M32" s="304">
        <f>L32*M26</f>
        <v>8.4187733311865326E-2</v>
      </c>
      <c r="N32" s="295">
        <f>F32</f>
        <v>0.02</v>
      </c>
      <c r="O32" s="303">
        <f>N32*O26</f>
        <v>8.4187733311865326E-2</v>
      </c>
      <c r="P32" s="297">
        <f>F32</f>
        <v>0.02</v>
      </c>
      <c r="Q32" s="303">
        <f>P32*Q26</f>
        <v>1.0619653333431596</v>
      </c>
      <c r="R32" s="1"/>
    </row>
    <row r="33" spans="1:20" ht="18" x14ac:dyDescent="0.3">
      <c r="A33" s="92" t="s">
        <v>51</v>
      </c>
      <c r="B33" s="122"/>
      <c r="C33" s="123"/>
      <c r="D33" s="122"/>
      <c r="E33" s="122"/>
      <c r="F33" s="103"/>
      <c r="G33" s="305">
        <f>IF(F8&lt;&gt;"",SUM(G26+G29+G32),0)</f>
        <v>67.328602133956309</v>
      </c>
      <c r="H33" s="306"/>
      <c r="I33" s="305">
        <f>IF(H8&lt;&gt;"",SUM(I26+I29+I32),0)</f>
        <v>5.3375022919722612</v>
      </c>
      <c r="J33" s="306"/>
      <c r="K33" s="309">
        <f>IF(J8&lt;&gt;"",SUM(K26+K29+K32),0)</f>
        <v>5.3375022919722612</v>
      </c>
      <c r="L33" s="307"/>
      <c r="M33" s="305">
        <f>IF(L8&lt;&gt;"",SUM(M26+M29+M32),0)</f>
        <v>5.3375022919722612</v>
      </c>
      <c r="N33" s="308"/>
      <c r="O33" s="309">
        <f>IF(N8&lt;&gt;"",SUM(O26+O29+O32),0)</f>
        <v>5.3375022919722612</v>
      </c>
      <c r="P33" s="306"/>
      <c r="Q33" s="309">
        <f>IF(P8&lt;&gt;"",SUM(Q26+Q29+Q32),0)</f>
        <v>67.328602133956309</v>
      </c>
      <c r="R33" s="1"/>
      <c r="S33" s="140"/>
      <c r="T33" s="140"/>
    </row>
    <row r="34" spans="1:20" ht="16.2" thickBot="1" x14ac:dyDescent="0.35">
      <c r="A34" s="96"/>
      <c r="B34" s="87"/>
      <c r="C34" s="125"/>
      <c r="D34" s="87"/>
      <c r="E34" s="87"/>
      <c r="F34" s="87"/>
      <c r="G34" s="114"/>
      <c r="H34" s="116"/>
      <c r="I34" s="114"/>
      <c r="J34" s="116"/>
      <c r="K34" s="114"/>
      <c r="L34" s="87"/>
      <c r="M34" s="87"/>
      <c r="N34" s="141"/>
      <c r="O34" s="186"/>
      <c r="P34" s="116"/>
      <c r="Q34" s="114"/>
      <c r="R34" s="1"/>
    </row>
    <row r="35" spans="1:20" ht="16.2" thickBot="1" x14ac:dyDescent="0.35">
      <c r="A35" s="22" t="s">
        <v>53</v>
      </c>
      <c r="B35" s="124"/>
      <c r="C35" s="124"/>
      <c r="D35" s="124"/>
      <c r="E35" s="124"/>
      <c r="F35" s="517">
        <v>1</v>
      </c>
      <c r="G35" s="518"/>
      <c r="H35" s="517">
        <v>0</v>
      </c>
      <c r="I35" s="518"/>
      <c r="J35" s="517">
        <v>0</v>
      </c>
      <c r="K35" s="518"/>
      <c r="L35" s="517">
        <v>0</v>
      </c>
      <c r="M35" s="518"/>
      <c r="N35" s="517">
        <v>0</v>
      </c>
      <c r="O35" s="518"/>
      <c r="P35" s="517">
        <v>0</v>
      </c>
      <c r="Q35" s="518"/>
      <c r="R35" s="1"/>
      <c r="S35" s="5" t="s">
        <v>52</v>
      </c>
      <c r="T35" s="235">
        <f>SUM(F35:Q35)</f>
        <v>1</v>
      </c>
    </row>
    <row r="36" spans="1:20" ht="16.8" customHeight="1" thickBot="1" x14ac:dyDescent="0.35">
      <c r="A36" s="187" t="s">
        <v>54</v>
      </c>
      <c r="B36" s="188"/>
      <c r="C36" s="188"/>
      <c r="D36" s="188"/>
      <c r="E36" s="155"/>
      <c r="G36" s="20"/>
      <c r="H36" s="20"/>
      <c r="I36" s="20"/>
      <c r="J36" s="20"/>
      <c r="K36" s="20"/>
      <c r="L36" s="20"/>
      <c r="M36" s="194"/>
      <c r="N36" s="20"/>
      <c r="O36" s="189"/>
      <c r="P36" s="190"/>
      <c r="Q36" s="340">
        <f>(F35*G33+H35*I33+J35*K33+L35*M33+N35*O33+P35*Q33)</f>
        <v>67.328602133956309</v>
      </c>
      <c r="R36" s="1"/>
    </row>
    <row r="37" spans="1:20" x14ac:dyDescent="0.3">
      <c r="A37" s="5" t="s">
        <v>223</v>
      </c>
      <c r="F37" s="201" t="s">
        <v>55</v>
      </c>
      <c r="G37" s="202">
        <v>1878</v>
      </c>
      <c r="M37" s="242"/>
      <c r="P37" s="243"/>
    </row>
    <row r="38" spans="1:20" x14ac:dyDescent="0.3">
      <c r="M38" s="242"/>
      <c r="N38" s="5"/>
      <c r="P38" s="243"/>
    </row>
    <row r="39" spans="1:20" x14ac:dyDescent="0.3">
      <c r="F39" s="201"/>
      <c r="G39" s="202" t="s">
        <v>72</v>
      </c>
      <c r="H39" s="202" t="s">
        <v>73</v>
      </c>
      <c r="I39" s="202" t="s">
        <v>74</v>
      </c>
      <c r="J39" s="202" t="s">
        <v>75</v>
      </c>
      <c r="K39" s="412" t="s">
        <v>76</v>
      </c>
      <c r="L39" s="413" t="s">
        <v>77</v>
      </c>
      <c r="M39" s="5"/>
    </row>
    <row r="40" spans="1:20" x14ac:dyDescent="0.3">
      <c r="F40" s="203"/>
      <c r="G40" s="203"/>
      <c r="H40" s="203"/>
      <c r="I40" s="203"/>
      <c r="J40" s="203"/>
      <c r="K40" s="414"/>
      <c r="L40" s="203"/>
      <c r="M40" s="5"/>
      <c r="P40" s="5"/>
      <c r="Q40" s="5"/>
    </row>
    <row r="41" spans="1:20" ht="16.2" thickBot="1" x14ac:dyDescent="0.35">
      <c r="F41" s="253" t="s">
        <v>57</v>
      </c>
      <c r="G41" s="204">
        <f>$G$37*G16</f>
        <v>49463.411898992737</v>
      </c>
      <c r="H41" s="204">
        <f>$G$37*I16</f>
        <v>4150.38</v>
      </c>
      <c r="I41" s="204">
        <f>$G$37*K16</f>
        <v>4150.38</v>
      </c>
      <c r="J41" s="204">
        <f>$G$37*M16</f>
        <v>4150.38</v>
      </c>
      <c r="K41" s="384">
        <f>$G$37*O16</f>
        <v>4150.38</v>
      </c>
      <c r="L41" s="380">
        <f>$G$37*Q16</f>
        <v>49463.411898992737</v>
      </c>
      <c r="M41" s="5"/>
      <c r="P41" s="5"/>
      <c r="Q41" s="5"/>
    </row>
    <row r="42" spans="1:20" ht="16.2" thickBot="1" x14ac:dyDescent="0.35">
      <c r="A42" s="197" t="s">
        <v>543</v>
      </c>
      <c r="F42" s="331">
        <f>IF('Algemene kostprijsfactoren'!$F$12&lt;&gt;"",'Algemene kostprijsfactoren'!$F$12,'Algemene kostprijsfactoren'!$C$12)</f>
        <v>0.25800000000000001</v>
      </c>
      <c r="G42" s="252">
        <f>$F$42</f>
        <v>0.25800000000000001</v>
      </c>
      <c r="H42" s="205">
        <f t="shared" ref="H42:L42" si="0">$F$42</f>
        <v>0.25800000000000001</v>
      </c>
      <c r="I42" s="205">
        <f t="shared" si="0"/>
        <v>0.25800000000000001</v>
      </c>
      <c r="J42" s="205">
        <f t="shared" si="0"/>
        <v>0.25800000000000001</v>
      </c>
      <c r="K42" s="385">
        <f t="shared" si="0"/>
        <v>0.25800000000000001</v>
      </c>
      <c r="L42" s="252">
        <f t="shared" si="0"/>
        <v>0.25800000000000001</v>
      </c>
      <c r="M42" s="5"/>
      <c r="O42" s="209"/>
      <c r="P42" s="5"/>
      <c r="Q42" s="5"/>
    </row>
    <row r="43" spans="1:20" ht="16.2" thickBot="1" x14ac:dyDescent="0.35">
      <c r="A43" s="197" t="s">
        <v>544</v>
      </c>
      <c r="F43" s="332">
        <f>IF('Algemene kostprijsfactoren'!$F$13&lt;&gt;"",'Algemene kostprijsfactoren'!$F$13,'Algemene kostprijsfactoren'!$C$13)</f>
        <v>16655</v>
      </c>
      <c r="G43" s="310">
        <f>$F$43</f>
        <v>16655</v>
      </c>
      <c r="H43" s="311">
        <f t="shared" ref="H43:L43" si="1">$F$43</f>
        <v>16655</v>
      </c>
      <c r="I43" s="311">
        <f t="shared" si="1"/>
        <v>16655</v>
      </c>
      <c r="J43" s="311">
        <f t="shared" si="1"/>
        <v>16655</v>
      </c>
      <c r="K43" s="415">
        <f t="shared" si="1"/>
        <v>16655</v>
      </c>
      <c r="L43" s="310">
        <f t="shared" si="1"/>
        <v>16655</v>
      </c>
      <c r="M43"/>
      <c r="O43" s="209"/>
      <c r="P43" s="5"/>
      <c r="Q43" s="5"/>
    </row>
    <row r="44" spans="1:20" ht="16.2" thickBot="1" x14ac:dyDescent="0.35">
      <c r="A44" s="197" t="s">
        <v>12</v>
      </c>
      <c r="F44" s="254"/>
      <c r="G44" s="204">
        <f>(G41-G43)*G42</f>
        <v>8464.5702699401263</v>
      </c>
      <c r="H44" s="204">
        <f t="shared" ref="H44:K44" si="2">(H41-H43)*H42</f>
        <v>-3226.1919599999997</v>
      </c>
      <c r="I44" s="204">
        <f t="shared" si="2"/>
        <v>-3226.1919599999997</v>
      </c>
      <c r="J44" s="204">
        <f t="shared" si="2"/>
        <v>-3226.1919599999997</v>
      </c>
      <c r="K44" s="384">
        <f t="shared" si="2"/>
        <v>-3226.1919599999997</v>
      </c>
      <c r="L44" s="380">
        <f>(L41-L43)*L42</f>
        <v>8464.5702699401263</v>
      </c>
      <c r="M44" s="5"/>
      <c r="P44" s="5"/>
      <c r="Q44" s="5"/>
    </row>
    <row r="45" spans="1:20" ht="16.8" thickTop="1" thickBot="1" x14ac:dyDescent="0.35">
      <c r="A45" s="198" t="s">
        <v>13</v>
      </c>
      <c r="F45" s="331">
        <f>IF('Algemene kostprijsfactoren'!$F$15&lt;&gt;"",'Algemene kostprijsfactoren'!$F$15,'Algemene kostprijsfactoren'!$C$15)</f>
        <v>0.5</v>
      </c>
      <c r="G45" s="206">
        <f>(G44/G41)*$F$45</f>
        <v>8.5563954698730529E-2</v>
      </c>
      <c r="H45" s="206">
        <f t="shared" ref="H45:L45" si="3">(H44/H41)*$F$45</f>
        <v>-0.38866223815650608</v>
      </c>
      <c r="I45" s="206">
        <f t="shared" si="3"/>
        <v>-0.38866223815650608</v>
      </c>
      <c r="J45" s="206">
        <f t="shared" si="3"/>
        <v>-0.38866223815650608</v>
      </c>
      <c r="K45" s="386">
        <f t="shared" si="3"/>
        <v>-0.38866223815650608</v>
      </c>
      <c r="L45" s="381">
        <f t="shared" si="3"/>
        <v>8.5563954698730529E-2</v>
      </c>
      <c r="M45" s="5"/>
      <c r="P45" s="5"/>
      <c r="Q45" s="5"/>
    </row>
    <row r="46" spans="1:20" ht="16.8" thickTop="1" thickBot="1" x14ac:dyDescent="0.35">
      <c r="A46" s="197" t="s">
        <v>545</v>
      </c>
      <c r="F46" s="331">
        <f>IF('Algemene kostprijsfactoren'!$F$16&lt;&gt;"",'Algemene kostprijsfactoren'!$F$16,'Algemene kostprijsfactoren'!$C$16)</f>
        <v>5.0000000000000001E-3</v>
      </c>
      <c r="G46" s="252">
        <f>$F$46</f>
        <v>5.0000000000000001E-3</v>
      </c>
      <c r="H46" s="205">
        <f t="shared" ref="H46:L46" si="4">$F$46</f>
        <v>5.0000000000000001E-3</v>
      </c>
      <c r="I46" s="205">
        <f t="shared" si="4"/>
        <v>5.0000000000000001E-3</v>
      </c>
      <c r="J46" s="205">
        <f t="shared" si="4"/>
        <v>5.0000000000000001E-3</v>
      </c>
      <c r="K46" s="385">
        <f t="shared" si="4"/>
        <v>5.0000000000000001E-3</v>
      </c>
      <c r="L46" s="252">
        <f t="shared" si="4"/>
        <v>5.0000000000000001E-3</v>
      </c>
      <c r="M46" s="5"/>
      <c r="O46" s="209"/>
      <c r="P46" s="5"/>
      <c r="Q46" s="5"/>
    </row>
    <row r="47" spans="1:20" ht="16.2" thickBot="1" x14ac:dyDescent="0.35">
      <c r="A47" s="197" t="s">
        <v>546</v>
      </c>
      <c r="F47" s="332">
        <f>IF('Algemene kostprijsfactoren'!$F$17&lt;&gt;"",'Algemene kostprijsfactoren'!$F$17,'Algemene kostprijsfactoren'!$C$17)</f>
        <v>28405</v>
      </c>
      <c r="G47" s="310">
        <f>$F47</f>
        <v>28405</v>
      </c>
      <c r="H47" s="311">
        <f t="shared" ref="H47:L47" si="5">$F47</f>
        <v>28405</v>
      </c>
      <c r="I47" s="311">
        <f t="shared" si="5"/>
        <v>28405</v>
      </c>
      <c r="J47" s="311">
        <f t="shared" si="5"/>
        <v>28405</v>
      </c>
      <c r="K47" s="415">
        <f t="shared" si="5"/>
        <v>28405</v>
      </c>
      <c r="L47" s="310">
        <f t="shared" si="5"/>
        <v>28405</v>
      </c>
      <c r="M47"/>
      <c r="O47" s="209"/>
      <c r="P47" s="5"/>
      <c r="Q47" s="5"/>
    </row>
    <row r="48" spans="1:20" ht="16.2" thickBot="1" x14ac:dyDescent="0.35">
      <c r="A48" s="199" t="s">
        <v>14</v>
      </c>
      <c r="F48" s="255"/>
      <c r="G48" s="207">
        <f>(G41-G47)*G46</f>
        <v>105.29205949496369</v>
      </c>
      <c r="H48" s="207">
        <f t="shared" ref="H48:L48" si="6">(H41-H47)*H46</f>
        <v>-121.2731</v>
      </c>
      <c r="I48" s="207">
        <f t="shared" si="6"/>
        <v>-121.2731</v>
      </c>
      <c r="J48" s="207">
        <f t="shared" si="6"/>
        <v>-121.2731</v>
      </c>
      <c r="K48" s="384">
        <f>(K41-K47)*K46</f>
        <v>-121.2731</v>
      </c>
      <c r="L48" s="382">
        <f t="shared" si="6"/>
        <v>105.29205949496369</v>
      </c>
      <c r="M48" s="5"/>
      <c r="P48" s="5"/>
      <c r="Q48" s="5"/>
    </row>
    <row r="49" spans="1:19" ht="16.8" thickTop="1" thickBot="1" x14ac:dyDescent="0.35">
      <c r="A49" s="198" t="s">
        <v>15</v>
      </c>
      <c r="F49" s="331">
        <f>IF('Algemene kostprijsfactoren'!$F$19&lt;&gt;"",'Algemene kostprijsfactoren'!$F$19,'Algemene kostprijsfactoren'!$C$19)</f>
        <v>0.5</v>
      </c>
      <c r="G49" s="206">
        <f>(G48/G41)*$F49</f>
        <v>1.0643428693311373E-3</v>
      </c>
      <c r="H49" s="206">
        <f t="shared" ref="H49:L49" si="7">(H48/H41)*$F49</f>
        <v>-1.460987909540813E-2</v>
      </c>
      <c r="I49" s="206">
        <f t="shared" si="7"/>
        <v>-1.460987909540813E-2</v>
      </c>
      <c r="J49" s="206">
        <f t="shared" si="7"/>
        <v>-1.460987909540813E-2</v>
      </c>
      <c r="K49" s="386">
        <f t="shared" si="7"/>
        <v>-1.460987909540813E-2</v>
      </c>
      <c r="L49" s="381">
        <f t="shared" si="7"/>
        <v>1.0643428693311373E-3</v>
      </c>
      <c r="M49" s="5"/>
    </row>
    <row r="50" spans="1:19" ht="16.2" thickTop="1" x14ac:dyDescent="0.3">
      <c r="F50" s="333" t="s">
        <v>58</v>
      </c>
      <c r="G50" s="208">
        <f>G49+G45</f>
        <v>8.662829756806166E-2</v>
      </c>
      <c r="H50" s="208">
        <f t="shared" ref="H50:L50" si="8">H49+H45</f>
        <v>-0.4032721172519142</v>
      </c>
      <c r="I50" s="208">
        <f t="shared" si="8"/>
        <v>-0.4032721172519142</v>
      </c>
      <c r="J50" s="208">
        <f t="shared" si="8"/>
        <v>-0.4032721172519142</v>
      </c>
      <c r="K50" s="387">
        <f t="shared" si="8"/>
        <v>-0.4032721172519142</v>
      </c>
      <c r="L50" s="383">
        <f t="shared" si="8"/>
        <v>8.662829756806166E-2</v>
      </c>
      <c r="M50" s="5"/>
    </row>
    <row r="52" spans="1:19" x14ac:dyDescent="0.3">
      <c r="A52" s="197" t="s">
        <v>16</v>
      </c>
      <c r="F52" s="330">
        <f>IF('Algemene kostprijsfactoren'!$F$22&lt;&gt;"",'Algemene kostprijsfactoren'!$F$22,'Algemene kostprijsfactoren'!$C$22)</f>
        <v>7.5800000000000006E-2</v>
      </c>
      <c r="G52" s="195"/>
      <c r="H52" s="209">
        <v>7.5800000000000006E-2</v>
      </c>
      <c r="I52" s="496" t="s">
        <v>537</v>
      </c>
      <c r="J52" s="497"/>
      <c r="K52" s="497"/>
      <c r="L52" s="497"/>
      <c r="M52" s="497"/>
      <c r="N52" s="497"/>
      <c r="O52" s="497"/>
      <c r="P52" s="497"/>
      <c r="Q52" s="497"/>
      <c r="R52" s="497"/>
      <c r="S52" s="498"/>
    </row>
    <row r="53" spans="1:19" x14ac:dyDescent="0.3">
      <c r="A53" s="197" t="s">
        <v>17</v>
      </c>
      <c r="F53" s="330">
        <f>IF('Algemene kostprijsfactoren'!$F$23&lt;&gt;"",'Algemene kostprijsfactoren'!$F$23,'Algemene kostprijsfactoren'!$C$23)</f>
        <v>3.49E-2</v>
      </c>
      <c r="G53" s="195"/>
      <c r="H53" s="499" t="s">
        <v>538</v>
      </c>
      <c r="I53" s="500"/>
      <c r="J53" s="500" t="s">
        <v>181</v>
      </c>
      <c r="K53" s="500"/>
      <c r="L53" s="500" t="s">
        <v>181</v>
      </c>
      <c r="M53" s="500"/>
      <c r="N53" s="500" t="s">
        <v>181</v>
      </c>
      <c r="O53" s="500"/>
      <c r="P53" s="500" t="s">
        <v>181</v>
      </c>
      <c r="Q53" s="500"/>
      <c r="R53" s="500" t="s">
        <v>181</v>
      </c>
      <c r="S53" s="501"/>
    </row>
    <row r="54" spans="1:19" x14ac:dyDescent="0.3">
      <c r="A54" s="197" t="s">
        <v>18</v>
      </c>
      <c r="F54" s="330">
        <f>IF('Algemene kostprijsfactoren'!$F$24&lt;&gt;"",'Algemene kostprijsfactoren'!$F$24,'Algemene kostprijsfactoren'!$C$24)</f>
        <v>6.5100000000000005E-2</v>
      </c>
      <c r="G54" s="195"/>
      <c r="H54" s="209">
        <v>6.5100000000000005E-2</v>
      </c>
      <c r="I54" s="496" t="s">
        <v>539</v>
      </c>
      <c r="J54" s="497"/>
      <c r="K54" s="497"/>
      <c r="L54" s="497"/>
      <c r="M54" s="497"/>
      <c r="N54" s="497"/>
      <c r="O54" s="497"/>
      <c r="P54" s="497"/>
      <c r="Q54" s="497"/>
      <c r="R54" s="497"/>
      <c r="S54" s="498"/>
    </row>
    <row r="55" spans="1:19" x14ac:dyDescent="0.3">
      <c r="A55" s="197" t="s">
        <v>19</v>
      </c>
      <c r="F55" s="330">
        <f>IF('Algemene kostprijsfactoren'!$F$25&lt;&gt;"",'Algemene kostprijsfactoren'!$F$25,'Algemene kostprijsfactoren'!$C$25)</f>
        <v>1.3299999999999999E-2</v>
      </c>
      <c r="G55" s="195"/>
      <c r="H55" s="496" t="s">
        <v>226</v>
      </c>
      <c r="I55" s="497"/>
      <c r="J55" s="497"/>
      <c r="K55" s="497"/>
      <c r="L55" s="497"/>
      <c r="M55" s="497"/>
      <c r="N55" s="497"/>
      <c r="O55" s="497"/>
      <c r="P55" s="497"/>
      <c r="Q55" s="497"/>
      <c r="R55" s="497"/>
      <c r="S55" s="498"/>
    </row>
    <row r="56" spans="1:19" ht="16.2" thickBot="1" x14ac:dyDescent="0.35">
      <c r="A56" s="199" t="s">
        <v>21</v>
      </c>
      <c r="F56" s="330">
        <f>IF('Algemene kostprijsfactoren'!$F$26&lt;&gt;"",'Algemene kostprijsfactoren'!$F$26,'Algemene kostprijsfactoren'!$C$26)</f>
        <v>3.5000000000000001E-3</v>
      </c>
      <c r="G56" s="195"/>
      <c r="H56" s="496" t="s">
        <v>22</v>
      </c>
      <c r="I56" s="497"/>
      <c r="J56" s="497"/>
      <c r="K56" s="497"/>
      <c r="L56" s="497"/>
      <c r="M56" s="497"/>
      <c r="N56" s="497"/>
      <c r="O56" s="497"/>
      <c r="P56" s="497"/>
      <c r="Q56" s="497"/>
      <c r="R56" s="497"/>
      <c r="S56" s="498"/>
    </row>
    <row r="57" spans="1:19" ht="16.2" thickTop="1" x14ac:dyDescent="0.3">
      <c r="A57" s="200" t="s">
        <v>23</v>
      </c>
      <c r="F57" s="328">
        <f>SUM(F52:F56)</f>
        <v>0.19260000000000002</v>
      </c>
      <c r="G57" s="195"/>
      <c r="H57" s="196"/>
      <c r="I57" s="196"/>
    </row>
    <row r="59" spans="1:19" x14ac:dyDescent="0.3">
      <c r="F59" s="6" t="s">
        <v>59</v>
      </c>
      <c r="G59" s="6" t="s">
        <v>60</v>
      </c>
      <c r="H59" s="6" t="s">
        <v>61</v>
      </c>
    </row>
    <row r="60" spans="1:19" ht="16.2" thickBot="1" x14ac:dyDescent="0.35">
      <c r="A60" s="215" t="s">
        <v>62</v>
      </c>
      <c r="F60" s="218"/>
      <c r="G60" s="219">
        <v>1878</v>
      </c>
      <c r="H60" s="220"/>
      <c r="I60" s="211"/>
      <c r="J60" s="514" t="s">
        <v>222</v>
      </c>
      <c r="K60" s="515"/>
      <c r="L60" s="515"/>
      <c r="M60" s="515"/>
      <c r="N60" s="515"/>
      <c r="O60" s="515"/>
      <c r="P60" s="515"/>
      <c r="Q60" s="515"/>
      <c r="R60" s="515"/>
      <c r="S60" s="516"/>
    </row>
    <row r="61" spans="1:19" ht="16.2" thickTop="1" x14ac:dyDescent="0.3">
      <c r="A61" s="197" t="s">
        <v>11</v>
      </c>
      <c r="F61" s="419" t="s">
        <v>31</v>
      </c>
      <c r="G61" s="427">
        <v>150.42779999999999</v>
      </c>
      <c r="H61" s="428">
        <v>8.0100000000000005E-2</v>
      </c>
      <c r="I61" s="211"/>
      <c r="J61" s="514" t="s">
        <v>221</v>
      </c>
      <c r="K61" s="515"/>
      <c r="L61" s="515"/>
      <c r="M61" s="515"/>
      <c r="N61" s="515"/>
      <c r="O61" s="515"/>
      <c r="P61" s="515"/>
      <c r="Q61" s="515"/>
      <c r="R61" s="515"/>
      <c r="S61" s="516"/>
    </row>
    <row r="62" spans="1:19" x14ac:dyDescent="0.3">
      <c r="A62" s="197" t="s">
        <v>64</v>
      </c>
      <c r="F62" s="419" t="s">
        <v>31</v>
      </c>
      <c r="G62" s="429">
        <v>237.4</v>
      </c>
      <c r="H62" s="430"/>
      <c r="I62" s="211"/>
      <c r="J62" s="514" t="s">
        <v>65</v>
      </c>
      <c r="K62" s="515"/>
      <c r="L62" s="515"/>
      <c r="M62" s="515"/>
      <c r="N62" s="515"/>
      <c r="O62" s="515"/>
      <c r="P62" s="515"/>
      <c r="Q62" s="515"/>
      <c r="R62" s="515"/>
      <c r="S62" s="516"/>
    </row>
    <row r="63" spans="1:19" x14ac:dyDescent="0.3">
      <c r="A63" s="197" t="s">
        <v>66</v>
      </c>
      <c r="F63" s="419" t="s">
        <v>31</v>
      </c>
      <c r="G63" s="427">
        <v>37.56</v>
      </c>
      <c r="H63" s="429">
        <v>0.02</v>
      </c>
      <c r="I63" s="211"/>
      <c r="J63" s="514" t="s">
        <v>78</v>
      </c>
      <c r="K63" s="515"/>
      <c r="L63" s="515"/>
      <c r="M63" s="515"/>
      <c r="N63" s="515"/>
      <c r="O63" s="515"/>
      <c r="P63" s="515"/>
      <c r="Q63" s="515"/>
      <c r="R63" s="515"/>
      <c r="S63" s="516"/>
    </row>
    <row r="64" spans="1:19" x14ac:dyDescent="0.3">
      <c r="A64" s="197" t="s">
        <v>218</v>
      </c>
      <c r="F64" s="419" t="s">
        <v>31</v>
      </c>
      <c r="G64" s="427">
        <v>103.29</v>
      </c>
      <c r="H64" s="429">
        <v>5.5E-2</v>
      </c>
      <c r="I64" s="211"/>
      <c r="J64" s="514" t="s">
        <v>532</v>
      </c>
      <c r="K64" s="515"/>
      <c r="L64" s="515"/>
      <c r="M64" s="515"/>
      <c r="N64" s="515"/>
      <c r="O64" s="515"/>
      <c r="P64" s="515"/>
      <c r="Q64" s="515"/>
      <c r="R64" s="515"/>
      <c r="S64" s="516"/>
    </row>
    <row r="65" spans="1:19" x14ac:dyDescent="0.3">
      <c r="A65" s="197" t="s">
        <v>215</v>
      </c>
      <c r="F65" s="419" t="s">
        <v>31</v>
      </c>
      <c r="G65" s="427">
        <v>103.29</v>
      </c>
      <c r="H65" s="429">
        <v>5.5E-2</v>
      </c>
      <c r="I65" s="211"/>
      <c r="J65" s="514" t="s">
        <v>505</v>
      </c>
      <c r="K65" s="515"/>
      <c r="L65" s="515"/>
      <c r="M65" s="515"/>
      <c r="N65" s="515"/>
      <c r="O65" s="515"/>
      <c r="P65" s="515"/>
      <c r="Q65" s="515"/>
      <c r="R65" s="515"/>
      <c r="S65" s="516"/>
    </row>
    <row r="66" spans="1:19" ht="16.2" thickBot="1" x14ac:dyDescent="0.35">
      <c r="A66" s="197" t="s">
        <v>67</v>
      </c>
      <c r="F66" s="419" t="s">
        <v>31</v>
      </c>
      <c r="G66" s="431">
        <v>18.78</v>
      </c>
      <c r="H66" s="432">
        <v>0.01</v>
      </c>
      <c r="I66" s="211"/>
      <c r="J66" s="514" t="s">
        <v>80</v>
      </c>
      <c r="K66" s="515"/>
      <c r="L66" s="515"/>
      <c r="M66" s="515"/>
      <c r="N66" s="515"/>
      <c r="O66" s="515"/>
      <c r="P66" s="515"/>
      <c r="Q66" s="515"/>
      <c r="R66" s="515"/>
      <c r="S66" s="516"/>
    </row>
    <row r="67" spans="1:19" ht="16.2" thickTop="1" x14ac:dyDescent="0.3">
      <c r="A67" s="231" t="s">
        <v>68</v>
      </c>
      <c r="F67" s="223"/>
      <c r="G67" s="314">
        <f>G60-SUMIFS(G61:G66,F61:F66,"Ja")</f>
        <v>1227.2521999999999</v>
      </c>
      <c r="H67" s="224"/>
      <c r="I67" s="212"/>
      <c r="J67" s="213"/>
    </row>
    <row r="68" spans="1:19" x14ac:dyDescent="0.3">
      <c r="A68" s="214"/>
      <c r="F68" s="225"/>
      <c r="G68" s="226"/>
      <c r="H68" s="226"/>
      <c r="I68" s="213"/>
      <c r="J68" s="213"/>
    </row>
    <row r="69" spans="1:19" x14ac:dyDescent="0.3">
      <c r="A69" s="216" t="s">
        <v>69</v>
      </c>
      <c r="F69" s="217"/>
      <c r="G69" s="503">
        <f>G67/G60</f>
        <v>0.65348892438764639</v>
      </c>
      <c r="H69" s="504"/>
      <c r="I69" s="213"/>
      <c r="J69" s="213"/>
    </row>
    <row r="72" spans="1:19" x14ac:dyDescent="0.3">
      <c r="A72" s="5" t="s">
        <v>70</v>
      </c>
    </row>
    <row r="73" spans="1:19" x14ac:dyDescent="0.3">
      <c r="A73" s="505"/>
      <c r="B73" s="506"/>
      <c r="C73" s="506"/>
      <c r="D73" s="506"/>
      <c r="E73" s="506"/>
      <c r="F73" s="506"/>
      <c r="G73" s="506"/>
      <c r="H73" s="506"/>
      <c r="I73" s="506"/>
      <c r="J73" s="506"/>
      <c r="K73" s="506"/>
      <c r="L73" s="506"/>
      <c r="M73" s="506"/>
      <c r="N73" s="506"/>
      <c r="O73" s="506"/>
      <c r="P73" s="506"/>
      <c r="Q73" s="506"/>
      <c r="R73" s="506"/>
      <c r="S73" s="507"/>
    </row>
    <row r="74" spans="1:19" x14ac:dyDescent="0.3">
      <c r="A74" s="508"/>
      <c r="B74" s="509"/>
      <c r="C74" s="509"/>
      <c r="D74" s="509"/>
      <c r="E74" s="509"/>
      <c r="F74" s="509"/>
      <c r="G74" s="509"/>
      <c r="H74" s="509"/>
      <c r="I74" s="509"/>
      <c r="J74" s="509"/>
      <c r="K74" s="509"/>
      <c r="L74" s="509"/>
      <c r="M74" s="509"/>
      <c r="N74" s="509"/>
      <c r="O74" s="509"/>
      <c r="P74" s="509"/>
      <c r="Q74" s="509"/>
      <c r="R74" s="509"/>
      <c r="S74" s="510"/>
    </row>
    <row r="75" spans="1:19" x14ac:dyDescent="0.3">
      <c r="A75" s="508"/>
      <c r="B75" s="509"/>
      <c r="C75" s="509"/>
      <c r="D75" s="509"/>
      <c r="E75" s="509"/>
      <c r="F75" s="509"/>
      <c r="G75" s="509"/>
      <c r="H75" s="509"/>
      <c r="I75" s="509"/>
      <c r="J75" s="509"/>
      <c r="K75" s="509"/>
      <c r="L75" s="509"/>
      <c r="M75" s="509"/>
      <c r="N75" s="509"/>
      <c r="O75" s="509"/>
      <c r="P75" s="509"/>
      <c r="Q75" s="509"/>
      <c r="R75" s="509"/>
      <c r="S75" s="510"/>
    </row>
    <row r="76" spans="1:19" x14ac:dyDescent="0.3">
      <c r="A76" s="508"/>
      <c r="B76" s="509"/>
      <c r="C76" s="509"/>
      <c r="D76" s="509"/>
      <c r="E76" s="509"/>
      <c r="F76" s="509"/>
      <c r="G76" s="509"/>
      <c r="H76" s="509"/>
      <c r="I76" s="509"/>
      <c r="J76" s="509"/>
      <c r="K76" s="509"/>
      <c r="L76" s="509"/>
      <c r="M76" s="509"/>
      <c r="N76" s="509"/>
      <c r="O76" s="509"/>
      <c r="P76" s="509"/>
      <c r="Q76" s="509"/>
      <c r="R76" s="509"/>
      <c r="S76" s="510"/>
    </row>
    <row r="77" spans="1:19" x14ac:dyDescent="0.3">
      <c r="A77" s="508"/>
      <c r="B77" s="509"/>
      <c r="C77" s="509"/>
      <c r="D77" s="509"/>
      <c r="E77" s="509"/>
      <c r="F77" s="509"/>
      <c r="G77" s="509"/>
      <c r="H77" s="509"/>
      <c r="I77" s="509"/>
      <c r="J77" s="509"/>
      <c r="K77" s="509"/>
      <c r="L77" s="509"/>
      <c r="M77" s="509"/>
      <c r="N77" s="509"/>
      <c r="O77" s="509"/>
      <c r="P77" s="509"/>
      <c r="Q77" s="509"/>
      <c r="R77" s="509"/>
      <c r="S77" s="510"/>
    </row>
    <row r="78" spans="1:19" x14ac:dyDescent="0.3">
      <c r="A78" s="511"/>
      <c r="B78" s="512"/>
      <c r="C78" s="512"/>
      <c r="D78" s="512"/>
      <c r="E78" s="512"/>
      <c r="F78" s="512"/>
      <c r="G78" s="512"/>
      <c r="H78" s="512"/>
      <c r="I78" s="512"/>
      <c r="J78" s="512"/>
      <c r="K78" s="512"/>
      <c r="L78" s="512"/>
      <c r="M78" s="512"/>
      <c r="N78" s="512"/>
      <c r="O78" s="512"/>
      <c r="P78" s="512"/>
      <c r="Q78" s="512"/>
      <c r="R78" s="512"/>
      <c r="S78" s="513"/>
    </row>
  </sheetData>
  <sheetProtection algorithmName="SHA-512" hashValue="X1kLqv7gc9r9fKhSingXeecVY45SQskV5T9RcTi8vBKYO3ARHXLb8YxgX/Max+8YY0tFz5Z9w7H6T+Isd1X2hA==" saltValue="9vVuLocr69JihFvHsmZCbw==" spinCount="100000" sheet="1"/>
  <protectedRanges>
    <protectedRange algorithmName="SHA-512" hashValue="zrr1YC170iD4z5ngO6i+dvye2WxwMuZwyCItKXOM0Fb0EC895yDhie8vErJXeoL6fSMcx6aoO1sn5XcoWfI8lg==" saltValue="T/jZUAo6mJPMXMKTIHv+sw==" spinCount="100000" sqref="H61 F61:F66 H63:H66" name="Inputcellen_3"/>
  </protectedRanges>
  <mergeCells count="33">
    <mergeCell ref="F5:M5"/>
    <mergeCell ref="F8:G8"/>
    <mergeCell ref="H8:I8"/>
    <mergeCell ref="J8:K8"/>
    <mergeCell ref="L8:M8"/>
    <mergeCell ref="P35:Q35"/>
    <mergeCell ref="P8:Q8"/>
    <mergeCell ref="F9:G9"/>
    <mergeCell ref="H9:I9"/>
    <mergeCell ref="J9:K9"/>
    <mergeCell ref="L9:M9"/>
    <mergeCell ref="N9:O9"/>
    <mergeCell ref="P9:Q9"/>
    <mergeCell ref="N8:O8"/>
    <mergeCell ref="F35:G35"/>
    <mergeCell ref="H35:I35"/>
    <mergeCell ref="J35:K35"/>
    <mergeCell ref="L35:M35"/>
    <mergeCell ref="N35:O35"/>
    <mergeCell ref="G69:H69"/>
    <mergeCell ref="A73:S78"/>
    <mergeCell ref="I52:S52"/>
    <mergeCell ref="H53:S53"/>
    <mergeCell ref="I54:S54"/>
    <mergeCell ref="H55:S55"/>
    <mergeCell ref="H56:S56"/>
    <mergeCell ref="J60:S60"/>
    <mergeCell ref="J61:S61"/>
    <mergeCell ref="J62:S62"/>
    <mergeCell ref="J63:S63"/>
    <mergeCell ref="J64:S64"/>
    <mergeCell ref="J65:S65"/>
    <mergeCell ref="J66:S66"/>
  </mergeCells>
  <conditionalFormatting sqref="F42:F43 F49 F52:F56">
    <cfRule type="expression" dxfId="34" priority="3">
      <formula>$C$75="Opslag"</formula>
    </cfRule>
  </conditionalFormatting>
  <conditionalFormatting sqref="F45:F47">
    <cfRule type="expression" dxfId="33" priority="4">
      <formula>$C$75="Opslag"</formula>
    </cfRule>
  </conditionalFormatting>
  <conditionalFormatting sqref="F57">
    <cfRule type="expression" dxfId="32" priority="7">
      <formula>$C$74="Opslag"</formula>
    </cfRule>
  </conditionalFormatting>
  <conditionalFormatting sqref="T35">
    <cfRule type="expression" dxfId="31" priority="5">
      <formula>$T$35=1</formula>
    </cfRule>
    <cfRule type="expression" dxfId="30" priority="6">
      <formula>$T$35&lt;&gt;1</formula>
    </cfRule>
  </conditionalFormatting>
  <dataValidations count="2">
    <dataValidation type="custom" allowBlank="1" showInputMessage="1" showErrorMessage="1" sqref="I10" xr:uid="{6D2031BF-1D74-4D16-8F5E-146E9F6FBBCD}">
      <formula1>CELL("protect", A1) = 1</formula1>
    </dataValidation>
    <dataValidation errorStyle="information" allowBlank="1" showInputMessage="1" showErrorMessage="1" errorTitle="Verplicht veld" error="Vul hier de gemiddelde inschaling in voor de desbetreffende functie." sqref="F10 H10 J10 P10" xr:uid="{CF7DDD85-8660-4AFB-BFD2-43F2D9FD8351}"/>
  </dataValidations>
  <pageMargins left="0.7" right="0.7" top="0.75" bottom="0.75" header="0.3" footer="0.3"/>
  <pageSetup paperSize="9"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50C0-8D88-49AA-98E8-F318B76319F9}">
  <sheetPr codeName="Sheet6">
    <tabColor theme="4" tint="-0.499984740745262"/>
    <pageSetUpPr fitToPage="1"/>
  </sheetPr>
  <dimension ref="A2:U78"/>
  <sheetViews>
    <sheetView zoomScale="80" zoomScaleNormal="80" workbookViewId="0">
      <pane ySplit="5" topLeftCell="A26" activePane="bottomLeft" state="frozen"/>
      <selection activeCell="A77" sqref="A77:S82"/>
      <selection pane="bottomLeft" activeCell="F15" sqref="F15"/>
    </sheetView>
  </sheetViews>
  <sheetFormatPr defaultColWidth="10.5" defaultRowHeight="15.6" x14ac:dyDescent="0.3"/>
  <cols>
    <col min="1" max="1" width="74.796875" style="5" bestFit="1" customWidth="1"/>
    <col min="2" max="2" width="0.5" style="6" hidden="1" customWidth="1"/>
    <col min="3" max="3" width="3.8984375" style="6" hidden="1" customWidth="1"/>
    <col min="4" max="4" width="3.5" style="6" customWidth="1"/>
    <col min="5"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hidden="1" customWidth="1"/>
    <col min="13" max="13" width="13.09765625" style="6" hidden="1" customWidth="1"/>
    <col min="14" max="14" width="13.59765625" style="6" hidden="1" customWidth="1"/>
    <col min="15" max="15" width="14.8984375" style="6" hidden="1" customWidth="1"/>
    <col min="16" max="16" width="13.5" style="6" customWidth="1"/>
    <col min="17" max="17" width="13" style="6" customWidth="1"/>
    <col min="18" max="18" width="1.3984375" style="5" customWidth="1"/>
    <col min="19" max="19" width="38.59765625" style="5" customWidth="1"/>
    <col min="20" max="20" width="31.3984375" style="5" bestFit="1"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ht="5.4" customHeight="1" x14ac:dyDescent="0.3">
      <c r="A4" s="9"/>
    </row>
    <row r="5" spans="1:21" s="18" customFormat="1" ht="21" x14ac:dyDescent="0.35">
      <c r="A5" s="522" t="s">
        <v>509</v>
      </c>
      <c r="B5" s="522"/>
      <c r="C5" s="522"/>
      <c r="D5" s="522"/>
      <c r="E5" s="522"/>
      <c r="F5" s="522"/>
      <c r="G5" s="522"/>
      <c r="H5" s="522"/>
      <c r="I5" s="522"/>
      <c r="J5" s="522"/>
      <c r="K5" s="522"/>
      <c r="L5" s="522"/>
      <c r="M5" s="522"/>
      <c r="N5" s="398"/>
      <c r="O5" s="399"/>
      <c r="P5" s="399"/>
      <c r="Q5" s="399"/>
      <c r="R5" s="39"/>
    </row>
    <row r="6" spans="1:21" s="18" customFormat="1" ht="2.4" customHeight="1" x14ac:dyDescent="0.35">
      <c r="A6" s="398"/>
      <c r="B6" s="399"/>
      <c r="C6" s="399"/>
      <c r="D6" s="399"/>
      <c r="E6" s="399"/>
      <c r="F6" s="399"/>
      <c r="G6" s="399"/>
      <c r="H6" s="400"/>
      <c r="I6" s="400"/>
      <c r="J6" s="400"/>
      <c r="K6" s="400"/>
      <c r="L6" s="400"/>
      <c r="M6" s="400"/>
      <c r="N6" s="398"/>
      <c r="O6" s="399"/>
      <c r="P6" s="399"/>
      <c r="Q6" s="399"/>
      <c r="R6" s="39"/>
    </row>
    <row r="7" spans="1:21" ht="16.2" thickBot="1" x14ac:dyDescent="0.35">
      <c r="A7" s="106"/>
      <c r="B7" s="107"/>
      <c r="C7" s="107"/>
      <c r="D7" s="107"/>
      <c r="E7" s="107"/>
      <c r="F7" s="139"/>
      <c r="G7" s="319"/>
      <c r="H7" s="132"/>
      <c r="I7" s="132"/>
      <c r="J7" s="132"/>
      <c r="K7" s="132"/>
      <c r="L7" s="132"/>
      <c r="M7" s="132"/>
      <c r="N7" s="132"/>
      <c r="O7" s="132"/>
      <c r="P7" s="132"/>
      <c r="Q7" s="132"/>
      <c r="R7" s="83"/>
    </row>
    <row r="8" spans="1:21" ht="24.9" customHeight="1" thickBot="1" x14ac:dyDescent="0.35">
      <c r="A8" s="95" t="s">
        <v>28</v>
      </c>
      <c r="B8" s="88"/>
      <c r="C8" s="86" t="s">
        <v>29</v>
      </c>
      <c r="D8" s="88"/>
      <c r="E8" s="88"/>
      <c r="F8" s="492" t="str">
        <f>IF('Algemene kostprijsfactoren'!E4="",'Algemene kostprijsfactoren'!C4,'Algemene kostprijsfactoren'!E4)</f>
        <v>Cao_GGZ</v>
      </c>
      <c r="G8" s="493"/>
      <c r="H8" s="492" t="str">
        <f>F8</f>
        <v>Cao_GGZ</v>
      </c>
      <c r="I8" s="493"/>
      <c r="J8" s="492" t="str">
        <f>F8</f>
        <v>Cao_GGZ</v>
      </c>
      <c r="K8" s="493"/>
      <c r="L8" s="492" t="str">
        <f>F8</f>
        <v>Cao_GGZ</v>
      </c>
      <c r="M8" s="493"/>
      <c r="N8" s="492" t="str">
        <f>F8</f>
        <v>Cao_GGZ</v>
      </c>
      <c r="O8" s="493"/>
      <c r="P8" s="492" t="str">
        <f>F8</f>
        <v>Cao_GGZ</v>
      </c>
      <c r="Q8" s="493"/>
      <c r="R8" s="89"/>
      <c r="T8" s="133"/>
    </row>
    <row r="9" spans="1:21" ht="24.9" customHeight="1" thickBot="1" x14ac:dyDescent="0.35">
      <c r="A9" s="90" t="s">
        <v>219</v>
      </c>
      <c r="B9" s="88"/>
      <c r="C9" s="86"/>
      <c r="D9" s="88"/>
      <c r="E9" s="88"/>
      <c r="F9" s="519" t="s">
        <v>518</v>
      </c>
      <c r="G9" s="520"/>
      <c r="H9" s="519" t="s">
        <v>519</v>
      </c>
      <c r="I9" s="520"/>
      <c r="J9" s="519" t="s">
        <v>520</v>
      </c>
      <c r="K9" s="520"/>
      <c r="L9" s="519"/>
      <c r="M9" s="520"/>
      <c r="N9" s="519"/>
      <c r="O9" s="520"/>
      <c r="P9" s="519" t="s">
        <v>220</v>
      </c>
      <c r="Q9" s="520"/>
      <c r="R9" s="89"/>
      <c r="U9"/>
    </row>
    <row r="10" spans="1:21" ht="15.9" customHeight="1" thickBot="1" x14ac:dyDescent="0.35">
      <c r="A10" s="97" t="s">
        <v>230</v>
      </c>
      <c r="B10" s="156"/>
      <c r="C10" s="99"/>
      <c r="D10" s="156"/>
      <c r="E10" s="156"/>
      <c r="F10" s="401" t="s">
        <v>231</v>
      </c>
      <c r="G10" s="402">
        <v>3810.1986556250004</v>
      </c>
      <c r="H10" s="401" t="s">
        <v>231</v>
      </c>
      <c r="I10" s="402"/>
      <c r="J10" s="401" t="s">
        <v>231</v>
      </c>
      <c r="K10" s="402"/>
      <c r="L10" s="401" t="s">
        <v>210</v>
      </c>
      <c r="M10" s="402"/>
      <c r="N10" s="401" t="s">
        <v>210</v>
      </c>
      <c r="O10" s="402"/>
      <c r="P10" s="401" t="s">
        <v>231</v>
      </c>
      <c r="Q10" s="402"/>
      <c r="R10" s="82"/>
      <c r="S10" s="325"/>
      <c r="T10" s="133"/>
    </row>
    <row r="11" spans="1:21" ht="15.9" customHeight="1" x14ac:dyDescent="0.3">
      <c r="A11" s="97" t="s">
        <v>71</v>
      </c>
      <c r="B11" s="156"/>
      <c r="C11" s="99"/>
      <c r="D11" s="156"/>
      <c r="E11" s="156"/>
      <c r="F11" s="158"/>
      <c r="G11" s="160">
        <f>G10/156.5</f>
        <v>24.34631728833866</v>
      </c>
      <c r="H11" s="158"/>
      <c r="I11" s="160">
        <f>I10/156.5</f>
        <v>0</v>
      </c>
      <c r="J11" s="158"/>
      <c r="K11" s="160">
        <f>K10/156.5</f>
        <v>0</v>
      </c>
      <c r="L11" s="158"/>
      <c r="M11" s="160">
        <f>M10/156.5</f>
        <v>0</v>
      </c>
      <c r="N11" s="158"/>
      <c r="O11" s="160">
        <f>O10/156.5</f>
        <v>0</v>
      </c>
      <c r="P11" s="158"/>
      <c r="Q11" s="160">
        <f>Q10/156.5</f>
        <v>0</v>
      </c>
      <c r="R11" s="82"/>
      <c r="S11" s="133"/>
      <c r="T11" s="133"/>
    </row>
    <row r="12" spans="1:21" ht="15.9" customHeight="1" x14ac:dyDescent="0.3">
      <c r="A12" s="94" t="s">
        <v>4</v>
      </c>
      <c r="B12" s="156"/>
      <c r="C12" s="99" t="s">
        <v>31</v>
      </c>
      <c r="D12" s="156"/>
      <c r="E12" s="156"/>
      <c r="F12" s="158">
        <f>IF(F8&lt;&gt;"",'Algemene kostprijsfactoren'!$C$5,"")</f>
        <v>8.0750000000000002E-2</v>
      </c>
      <c r="G12" s="157">
        <f>MAX(1.07,F12*G11)</f>
        <v>1.9659651210333469</v>
      </c>
      <c r="H12" s="158">
        <f>IF(H8&lt;&gt;"",'Algemene kostprijsfactoren'!$C$5,"")</f>
        <v>8.0750000000000002E-2</v>
      </c>
      <c r="I12" s="157">
        <f>MAX(1.07,H12*I11)</f>
        <v>1.07</v>
      </c>
      <c r="J12" s="158">
        <f>IF(J8&lt;&gt;"",'Algemene kostprijsfactoren'!$C$5,"")</f>
        <v>8.0750000000000002E-2</v>
      </c>
      <c r="K12" s="157">
        <f>MAX(1.07,J12*K11)</f>
        <v>1.07</v>
      </c>
      <c r="L12" s="158">
        <f>IF(L8&lt;&gt;"",8%,"")</f>
        <v>0.08</v>
      </c>
      <c r="M12" s="157">
        <f>MAX(1.07,L12*M11)</f>
        <v>1.07</v>
      </c>
      <c r="N12" s="158">
        <f>IF(N8&lt;&gt;"",8%,"")</f>
        <v>0.08</v>
      </c>
      <c r="O12" s="157">
        <f>MAX(1.07,N12*O11)</f>
        <v>1.07</v>
      </c>
      <c r="P12" s="158">
        <f>IF(P8&lt;&gt;"",'Algemene kostprijsfactoren'!$C$5,"")</f>
        <v>8.0750000000000002E-2</v>
      </c>
      <c r="Q12" s="157">
        <f>MAX(1.07,P12*Q11)</f>
        <v>1.07</v>
      </c>
      <c r="R12" s="83"/>
      <c r="S12" s="134"/>
      <c r="T12" s="134"/>
    </row>
    <row r="13" spans="1:21" ht="15.9" customHeight="1" x14ac:dyDescent="0.3">
      <c r="A13" s="111" t="s">
        <v>32</v>
      </c>
      <c r="B13" s="156"/>
      <c r="C13" s="99"/>
      <c r="D13" s="156"/>
      <c r="E13" s="156"/>
      <c r="F13" s="158"/>
      <c r="G13" s="160">
        <f>G11+G12</f>
        <v>26.312282409372006</v>
      </c>
      <c r="H13" s="158"/>
      <c r="I13" s="160">
        <f>I11+I12</f>
        <v>1.07</v>
      </c>
      <c r="J13" s="158"/>
      <c r="K13" s="160">
        <f>K11+K12</f>
        <v>1.07</v>
      </c>
      <c r="L13" s="158"/>
      <c r="M13" s="160">
        <f>M11+M12</f>
        <v>1.07</v>
      </c>
      <c r="N13" s="158"/>
      <c r="O13" s="160">
        <f>O11+O12</f>
        <v>1.07</v>
      </c>
      <c r="P13" s="158"/>
      <c r="Q13" s="160">
        <f>Q11+Q12</f>
        <v>1.07</v>
      </c>
      <c r="R13" s="83"/>
      <c r="S13" s="134"/>
      <c r="T13" s="134"/>
    </row>
    <row r="14" spans="1:21" ht="15.9" customHeight="1" thickBot="1" x14ac:dyDescent="0.35">
      <c r="A14" s="94" t="s">
        <v>33</v>
      </c>
      <c r="B14" s="156"/>
      <c r="C14" s="99" t="s">
        <v>31</v>
      </c>
      <c r="D14" s="156"/>
      <c r="E14" s="156"/>
      <c r="F14" s="379">
        <f>IF(F8&lt;&gt;"",'Algemene kostprijsfactoren'!$C$6,"")</f>
        <v>8.3299999999999999E-2</v>
      </c>
      <c r="G14" s="159">
        <f>MAX(1.14,F14*G11)</f>
        <v>2.0280482301186105</v>
      </c>
      <c r="H14" s="379">
        <f>IF(H8&lt;&gt;"",'Algemene kostprijsfactoren'!$C$6,"")</f>
        <v>8.3299999999999999E-2</v>
      </c>
      <c r="I14" s="159">
        <f>MAX(1.14,H14*I11)</f>
        <v>1.1399999999999999</v>
      </c>
      <c r="J14" s="379">
        <f>IF(J8&lt;&gt;"",'Algemene kostprijsfactoren'!$C$6,"")</f>
        <v>8.3299999999999999E-2</v>
      </c>
      <c r="K14" s="159">
        <f>MAX(1.14,J14*K11)</f>
        <v>1.1399999999999999</v>
      </c>
      <c r="L14" s="379">
        <f>VLOOKUP(L$8,Toelichting!$A$28:$B$31,2,TRUE)</f>
        <v>8.3299999999999999E-2</v>
      </c>
      <c r="M14" s="159">
        <f>MAX(1.14,L14*M11)</f>
        <v>1.1399999999999999</v>
      </c>
      <c r="N14" s="379">
        <f>VLOOKUP(N$8,Toelichting!$A$28:$B$31,2,TRUE)</f>
        <v>8.3299999999999999E-2</v>
      </c>
      <c r="O14" s="159">
        <f>MAX(1.14,N14*O11)</f>
        <v>1.1399999999999999</v>
      </c>
      <c r="P14" s="379">
        <f>IF(P8&lt;&gt;"",'Algemene kostprijsfactoren'!$C$6,"")</f>
        <v>8.3299999999999999E-2</v>
      </c>
      <c r="Q14" s="159">
        <f>MAX(1.14,P14*Q11)</f>
        <v>1.1399999999999999</v>
      </c>
      <c r="R14" s="83"/>
      <c r="S14" s="134"/>
      <c r="T14" s="134"/>
    </row>
    <row r="15" spans="1:21" ht="16.2" thickBot="1" x14ac:dyDescent="0.35">
      <c r="A15" s="424" t="s">
        <v>216</v>
      </c>
      <c r="B15" s="156"/>
      <c r="C15" s="99"/>
      <c r="D15" s="156"/>
      <c r="E15" s="156"/>
      <c r="F15" s="403">
        <v>1.4999999999999999E-2</v>
      </c>
      <c r="G15" s="378">
        <f>F15*G11</f>
        <v>0.36519475932507989</v>
      </c>
      <c r="H15" s="403">
        <v>0</v>
      </c>
      <c r="I15" s="378">
        <f>H15*I11</f>
        <v>0</v>
      </c>
      <c r="J15" s="403">
        <v>0</v>
      </c>
      <c r="K15" s="378">
        <f>J15*K11</f>
        <v>0</v>
      </c>
      <c r="L15" s="403">
        <v>0</v>
      </c>
      <c r="M15" s="378">
        <f>L15*M11</f>
        <v>0</v>
      </c>
      <c r="N15" s="403">
        <v>0</v>
      </c>
      <c r="O15" s="378">
        <f>N15*O11</f>
        <v>0</v>
      </c>
      <c r="P15" s="403">
        <v>0</v>
      </c>
      <c r="Q15" s="320">
        <f>P15*Q11</f>
        <v>0</v>
      </c>
      <c r="R15" s="82"/>
    </row>
    <row r="16" spans="1:21" x14ac:dyDescent="0.3">
      <c r="A16" s="108" t="s">
        <v>35</v>
      </c>
      <c r="B16" s="126"/>
      <c r="C16" s="98"/>
      <c r="D16" s="126"/>
      <c r="E16" s="135">
        <f>SUM(E$12:E$14)</f>
        <v>0</v>
      </c>
      <c r="F16" s="321"/>
      <c r="G16" s="272">
        <f>SUM(G$13:G$15)</f>
        <v>28.705525398815695</v>
      </c>
      <c r="H16" s="404"/>
      <c r="I16" s="272">
        <f>SUM(I$13:I$15)</f>
        <v>2.21</v>
      </c>
      <c r="J16" s="404"/>
      <c r="K16" s="272">
        <f>SUM(K$13:K$15)</f>
        <v>2.21</v>
      </c>
      <c r="L16" s="405"/>
      <c r="M16" s="272">
        <f>SUM(M$13:M$15)</f>
        <v>2.21</v>
      </c>
      <c r="N16" s="406"/>
      <c r="O16" s="272">
        <f>SUM(O$13:O$15)</f>
        <v>2.21</v>
      </c>
      <c r="P16" s="405"/>
      <c r="Q16" s="272">
        <f>SUM(Q$13:Q$15)</f>
        <v>2.21</v>
      </c>
      <c r="R16" s="136"/>
      <c r="S16" s="133"/>
      <c r="T16" s="133"/>
    </row>
    <row r="17" spans="1:20" x14ac:dyDescent="0.3">
      <c r="A17" s="144" t="s">
        <v>36</v>
      </c>
      <c r="B17" s="126"/>
      <c r="C17" s="98"/>
      <c r="D17" s="126"/>
      <c r="E17" s="135"/>
      <c r="F17" s="276">
        <f>$F$57</f>
        <v>0.19260000000000002</v>
      </c>
      <c r="G17" s="277"/>
      <c r="H17" s="276">
        <f>$F$57</f>
        <v>0.19260000000000002</v>
      </c>
      <c r="I17" s="277"/>
      <c r="J17" s="276">
        <f>$F$57</f>
        <v>0.19260000000000002</v>
      </c>
      <c r="K17" s="277"/>
      <c r="L17" s="276">
        <f>$F$57</f>
        <v>0.19260000000000002</v>
      </c>
      <c r="M17" s="277"/>
      <c r="N17" s="276">
        <f>$F$57</f>
        <v>0.19260000000000002</v>
      </c>
      <c r="O17" s="163"/>
      <c r="P17" s="276">
        <f>$F$57</f>
        <v>0.19260000000000002</v>
      </c>
      <c r="Q17" s="277"/>
      <c r="R17" s="143"/>
      <c r="S17" s="325" t="s">
        <v>224</v>
      </c>
      <c r="T17" s="133"/>
    </row>
    <row r="18" spans="1:20" x14ac:dyDescent="0.3">
      <c r="A18" s="144" t="s">
        <v>38</v>
      </c>
      <c r="B18" s="126"/>
      <c r="C18" s="98"/>
      <c r="D18" s="126"/>
      <c r="E18" s="135"/>
      <c r="F18" s="276">
        <f>G45</f>
        <v>8.9145876780465483E-2</v>
      </c>
      <c r="G18" s="277"/>
      <c r="H18" s="276">
        <f>H45</f>
        <v>-0.38866223815650608</v>
      </c>
      <c r="I18" s="277"/>
      <c r="J18" s="276">
        <f>I45</f>
        <v>-0.38866223815650608</v>
      </c>
      <c r="K18" s="277"/>
      <c r="L18" s="276">
        <f>J45</f>
        <v>-0.38866223815650608</v>
      </c>
      <c r="M18" s="277"/>
      <c r="N18" s="276">
        <f>K45</f>
        <v>-0.38866223815650608</v>
      </c>
      <c r="O18" s="163"/>
      <c r="P18" s="276">
        <f>L45</f>
        <v>-0.38866223815650608</v>
      </c>
      <c r="Q18" s="277"/>
      <c r="R18" s="143"/>
      <c r="S18" s="133"/>
      <c r="T18" s="133"/>
    </row>
    <row r="19" spans="1:20" x14ac:dyDescent="0.3">
      <c r="A19" s="144" t="s">
        <v>39</v>
      </c>
      <c r="B19" s="126"/>
      <c r="C19" s="98"/>
      <c r="D19" s="126"/>
      <c r="E19" s="135"/>
      <c r="F19" s="276">
        <f>G49</f>
        <v>1.1827332969696484E-3</v>
      </c>
      <c r="G19" s="277"/>
      <c r="H19" s="276">
        <f>H49</f>
        <v>-1.460987909540813E-2</v>
      </c>
      <c r="I19" s="277"/>
      <c r="J19" s="276">
        <f>I49</f>
        <v>-1.460987909540813E-2</v>
      </c>
      <c r="K19" s="277"/>
      <c r="L19" s="276">
        <f>J49</f>
        <v>-1.460987909540813E-2</v>
      </c>
      <c r="M19" s="277"/>
      <c r="N19" s="276">
        <f>K49</f>
        <v>-1.460987909540813E-2</v>
      </c>
      <c r="O19" s="163"/>
      <c r="P19" s="276">
        <f>L49</f>
        <v>-1.460987909540813E-2</v>
      </c>
      <c r="Q19" s="277"/>
      <c r="R19" s="143"/>
      <c r="S19" s="133"/>
      <c r="T19" s="133"/>
    </row>
    <row r="20" spans="1:20" x14ac:dyDescent="0.3">
      <c r="A20" s="109" t="s">
        <v>40</v>
      </c>
      <c r="B20" s="126"/>
      <c r="C20" s="98"/>
      <c r="D20" s="126"/>
      <c r="E20" s="126"/>
      <c r="F20" s="278">
        <f>F17+F18+F19</f>
        <v>0.28292861007743514</v>
      </c>
      <c r="G20" s="279">
        <f>F20*G16</f>
        <v>8.1216144026294366</v>
      </c>
      <c r="H20" s="278">
        <f>H17+H18+H19</f>
        <v>-0.21067211725191418</v>
      </c>
      <c r="I20" s="279">
        <f>H20*I16</f>
        <v>-0.46558537912673031</v>
      </c>
      <c r="J20" s="278">
        <f>J17+J18+J19</f>
        <v>-0.21067211725191418</v>
      </c>
      <c r="K20" s="279">
        <f>J20*K16</f>
        <v>-0.46558537912673031</v>
      </c>
      <c r="L20" s="278">
        <f>L17+L18+L19</f>
        <v>-0.21067211725191418</v>
      </c>
      <c r="M20" s="279">
        <f>L20*M16</f>
        <v>-0.46558537912673031</v>
      </c>
      <c r="N20" s="280">
        <f>N17+N18+N19</f>
        <v>-0.21067211725191418</v>
      </c>
      <c r="O20" s="281">
        <f>N20*O16</f>
        <v>-0.46558537912673031</v>
      </c>
      <c r="P20" s="278">
        <f>P17+P18+P19</f>
        <v>-0.21067211725191418</v>
      </c>
      <c r="Q20" s="279">
        <f>P20*Q16</f>
        <v>-0.46558537912673031</v>
      </c>
      <c r="R20" s="137"/>
      <c r="S20" s="325" t="s">
        <v>224</v>
      </c>
      <c r="T20" s="133"/>
    </row>
    <row r="21" spans="1:20" x14ac:dyDescent="0.3">
      <c r="A21" s="110" t="s">
        <v>41</v>
      </c>
      <c r="B21" s="126"/>
      <c r="C21" s="98"/>
      <c r="D21" s="126"/>
      <c r="E21" s="126"/>
      <c r="F21" s="282"/>
      <c r="G21" s="283">
        <f>G16+G20</f>
        <v>36.827139801445128</v>
      </c>
      <c r="H21" s="284"/>
      <c r="I21" s="283">
        <f>I16+I20</f>
        <v>1.7444146208732696</v>
      </c>
      <c r="J21" s="284"/>
      <c r="K21" s="283">
        <f>K16+K20</f>
        <v>1.7444146208732696</v>
      </c>
      <c r="L21" s="285"/>
      <c r="M21" s="283">
        <f>M16+M20</f>
        <v>1.7444146208732696</v>
      </c>
      <c r="N21" s="286"/>
      <c r="O21" s="287">
        <f>O16+O20</f>
        <v>1.7444146208732696</v>
      </c>
      <c r="P21" s="285"/>
      <c r="Q21" s="283">
        <f>Q16+Q20</f>
        <v>1.7444146208732696</v>
      </c>
      <c r="R21" s="346"/>
    </row>
    <row r="22" spans="1:20" ht="16.2" thickBot="1" x14ac:dyDescent="0.35">
      <c r="A22" s="96" t="s">
        <v>42</v>
      </c>
      <c r="B22" s="87"/>
      <c r="C22" s="125"/>
      <c r="D22" s="87"/>
      <c r="E22" s="87"/>
      <c r="F22" s="87"/>
      <c r="G22" s="114"/>
      <c r="H22" s="116"/>
      <c r="I22" s="114"/>
      <c r="J22" s="116"/>
      <c r="K22" s="114"/>
      <c r="L22" s="87"/>
      <c r="M22" s="87"/>
      <c r="N22" s="116"/>
      <c r="O22" s="114"/>
      <c r="P22" s="116"/>
      <c r="Q22" s="114"/>
      <c r="R22" s="1"/>
    </row>
    <row r="23" spans="1:20" ht="16.2" thickBot="1" x14ac:dyDescent="0.35">
      <c r="A23" s="105" t="s">
        <v>43</v>
      </c>
      <c r="B23" s="156"/>
      <c r="C23" s="99"/>
      <c r="D23" s="156"/>
      <c r="E23" s="156"/>
      <c r="F23" s="244">
        <f>G69</f>
        <v>0.63348892438764637</v>
      </c>
      <c r="G23" s="247">
        <f>G21/F23</f>
        <v>58.133833732047634</v>
      </c>
      <c r="H23" s="164">
        <f>F23</f>
        <v>0.63348892438764637</v>
      </c>
      <c r="I23" s="165">
        <f>I21/H23</f>
        <v>2.7536623825893796</v>
      </c>
      <c r="J23" s="164">
        <f>F23</f>
        <v>0.63348892438764637</v>
      </c>
      <c r="K23" s="165">
        <f>K21/J23</f>
        <v>2.7536623825893796</v>
      </c>
      <c r="L23" s="164">
        <f>F23</f>
        <v>0.63348892438764637</v>
      </c>
      <c r="M23" s="165">
        <f>M21/L23</f>
        <v>2.7536623825893796</v>
      </c>
      <c r="N23" s="166">
        <f>F23</f>
        <v>0.63348892438764637</v>
      </c>
      <c r="O23" s="165">
        <f>O21/N23</f>
        <v>2.7536623825893796</v>
      </c>
      <c r="P23" s="166">
        <f>F23</f>
        <v>0.63348892438764637</v>
      </c>
      <c r="Q23" s="165">
        <f>Q21/P23</f>
        <v>2.7536623825893796</v>
      </c>
      <c r="R23" s="82"/>
      <c r="S23" s="5" t="s">
        <v>225</v>
      </c>
    </row>
    <row r="24" spans="1:20" ht="16.2" thickBot="1" x14ac:dyDescent="0.35">
      <c r="A24" s="106" t="s">
        <v>45</v>
      </c>
      <c r="B24" s="156"/>
      <c r="C24" s="99"/>
      <c r="D24" s="156"/>
      <c r="E24" s="156"/>
      <c r="F24" s="164"/>
      <c r="G24" s="402">
        <v>1.97</v>
      </c>
      <c r="H24" s="164"/>
      <c r="I24" s="402">
        <v>1.97</v>
      </c>
      <c r="J24" s="232"/>
      <c r="K24" s="402">
        <v>1.97</v>
      </c>
      <c r="L24" s="232"/>
      <c r="M24" s="288">
        <f>G24</f>
        <v>1.97</v>
      </c>
      <c r="N24" s="233"/>
      <c r="O24" s="288">
        <f>G24</f>
        <v>1.97</v>
      </c>
      <c r="P24" s="233"/>
      <c r="Q24" s="402">
        <v>1.97</v>
      </c>
      <c r="R24" s="82"/>
    </row>
    <row r="25" spans="1:20" x14ac:dyDescent="0.3">
      <c r="A25" s="105"/>
      <c r="B25" s="167"/>
      <c r="C25" s="98"/>
      <c r="D25" s="167"/>
      <c r="E25" s="167"/>
      <c r="F25" s="168"/>
      <c r="G25" s="248"/>
      <c r="H25" s="170"/>
      <c r="I25" s="169"/>
      <c r="J25" s="170"/>
      <c r="K25" s="169"/>
      <c r="L25" s="171"/>
      <c r="M25" s="169"/>
      <c r="N25" s="170"/>
      <c r="O25" s="169"/>
      <c r="P25" s="170"/>
      <c r="Q25" s="169"/>
      <c r="R25" s="1"/>
    </row>
    <row r="26" spans="1:20" ht="18.899999999999999" customHeight="1" x14ac:dyDescent="0.3">
      <c r="A26" s="129" t="s">
        <v>46</v>
      </c>
      <c r="B26" s="130"/>
      <c r="C26" s="131"/>
      <c r="D26" s="130"/>
      <c r="E26" s="130"/>
      <c r="F26" s="138"/>
      <c r="G26" s="290">
        <f>G23+G24</f>
        <v>60.103833732047633</v>
      </c>
      <c r="H26" s="289"/>
      <c r="I26" s="290">
        <f>I23+I24</f>
        <v>4.7236623825893798</v>
      </c>
      <c r="J26" s="289"/>
      <c r="K26" s="290">
        <f>K23+K24</f>
        <v>4.7236623825893798</v>
      </c>
      <c r="L26" s="291"/>
      <c r="M26" s="290">
        <f>M23+M24</f>
        <v>4.7236623825893798</v>
      </c>
      <c r="N26" s="292"/>
      <c r="O26" s="290">
        <f>O23+O24</f>
        <v>4.7236623825893798</v>
      </c>
      <c r="P26" s="289"/>
      <c r="Q26" s="290">
        <f>Q23+Q24</f>
        <v>4.7236623825893798</v>
      </c>
      <c r="R26" s="1"/>
    </row>
    <row r="27" spans="1:20" ht="18" customHeight="1" x14ac:dyDescent="0.3">
      <c r="A27" s="104"/>
      <c r="B27" s="87"/>
      <c r="C27" s="99"/>
      <c r="D27" s="87"/>
      <c r="E27" s="87"/>
      <c r="F27" s="139"/>
      <c r="G27" s="115"/>
      <c r="H27" s="117"/>
      <c r="I27" s="118"/>
      <c r="J27" s="117"/>
      <c r="K27" s="118"/>
      <c r="L27" s="112"/>
      <c r="M27" s="113"/>
      <c r="N27" s="117"/>
      <c r="O27" s="118"/>
      <c r="P27" s="117"/>
      <c r="Q27" s="118"/>
      <c r="R27" s="1"/>
    </row>
    <row r="28" spans="1:20" ht="16.2" thickBot="1" x14ac:dyDescent="0.35">
      <c r="A28" s="96" t="s">
        <v>47</v>
      </c>
      <c r="B28" s="87"/>
      <c r="C28" s="125"/>
      <c r="D28" s="87"/>
      <c r="E28" s="87"/>
      <c r="F28" s="87"/>
      <c r="G28" s="114"/>
      <c r="H28" s="116"/>
      <c r="I28" s="114"/>
      <c r="J28" s="116"/>
      <c r="K28" s="114"/>
      <c r="L28" s="87"/>
      <c r="M28" s="87"/>
      <c r="N28" s="116"/>
      <c r="O28" s="114"/>
      <c r="P28" s="116"/>
      <c r="Q28" s="114"/>
      <c r="R28" s="1"/>
    </row>
    <row r="29" spans="1:20" ht="16.2" thickBot="1" x14ac:dyDescent="0.35">
      <c r="A29" s="111" t="s">
        <v>213</v>
      </c>
      <c r="B29" s="100"/>
      <c r="C29" s="99"/>
      <c r="D29" s="100"/>
      <c r="E29" s="100"/>
      <c r="F29" s="244">
        <f>IF('Algemene kostprijsfactoren'!$F$33&lt;&gt;"",'Algemene kostprijsfactoren'!$F$33,'Algemene kostprijsfactoren'!$D$33)</f>
        <v>0.248</v>
      </c>
      <c r="G29" s="245">
        <f>F29*G26</f>
        <v>14.905750765547813</v>
      </c>
      <c r="H29" s="293">
        <f>F29</f>
        <v>0.248</v>
      </c>
      <c r="I29" s="172">
        <f>H29*I26</f>
        <v>1.1714682708821662</v>
      </c>
      <c r="J29" s="294">
        <f>F29</f>
        <v>0.248</v>
      </c>
      <c r="K29" s="172">
        <f>J29*K26</f>
        <v>1.1714682708821662</v>
      </c>
      <c r="L29" s="294">
        <f>F29</f>
        <v>0.248</v>
      </c>
      <c r="M29" s="173">
        <f>L29*M26</f>
        <v>1.1714682708821662</v>
      </c>
      <c r="N29" s="295">
        <f>F29</f>
        <v>0.248</v>
      </c>
      <c r="O29" s="296">
        <f>N29*O26</f>
        <v>1.1714682708821662</v>
      </c>
      <c r="P29" s="297">
        <f>F29</f>
        <v>0.248</v>
      </c>
      <c r="Q29" s="172">
        <f>P29*Q26</f>
        <v>1.1714682708821662</v>
      </c>
      <c r="R29" s="1"/>
      <c r="S29" s="5" t="s">
        <v>48</v>
      </c>
    </row>
    <row r="30" spans="1:20" x14ac:dyDescent="0.3">
      <c r="A30" s="127"/>
      <c r="B30" s="100"/>
      <c r="C30" s="99"/>
      <c r="D30" s="100"/>
      <c r="E30" s="100"/>
      <c r="F30" s="246"/>
      <c r="G30" s="175"/>
      <c r="H30" s="176"/>
      <c r="I30" s="177"/>
      <c r="J30" s="174"/>
      <c r="K30" s="177"/>
      <c r="L30" s="174"/>
      <c r="M30" s="178"/>
      <c r="N30" s="298"/>
      <c r="O30" s="299"/>
      <c r="P30" s="179"/>
      <c r="Q30" s="177"/>
      <c r="R30" s="1"/>
    </row>
    <row r="31" spans="1:20" ht="16.2" thickBot="1" x14ac:dyDescent="0.35">
      <c r="A31" s="96" t="s">
        <v>49</v>
      </c>
      <c r="B31" s="100"/>
      <c r="C31" s="87"/>
      <c r="D31" s="100"/>
      <c r="E31" s="100"/>
      <c r="F31" s="180"/>
      <c r="G31" s="181"/>
      <c r="H31" s="182"/>
      <c r="I31" s="183"/>
      <c r="J31" s="180"/>
      <c r="K31" s="183"/>
      <c r="L31" s="180"/>
      <c r="M31" s="184"/>
      <c r="N31" s="300"/>
      <c r="O31" s="301"/>
      <c r="P31" s="185"/>
      <c r="Q31" s="183"/>
      <c r="R31" s="1"/>
    </row>
    <row r="32" spans="1:20" ht="16.2" thickBot="1" x14ac:dyDescent="0.35">
      <c r="A32" s="121" t="s">
        <v>527</v>
      </c>
      <c r="B32" s="87"/>
      <c r="C32" s="87"/>
      <c r="D32" s="87"/>
      <c r="E32" s="87"/>
      <c r="F32" s="408">
        <v>0.02</v>
      </c>
      <c r="G32" s="302">
        <f>F32*G26</f>
        <v>1.2020766746409526</v>
      </c>
      <c r="H32" s="294">
        <f>F32</f>
        <v>0.02</v>
      </c>
      <c r="I32" s="303">
        <f>H32*I26</f>
        <v>9.4473247651787592E-2</v>
      </c>
      <c r="J32" s="294">
        <f>F32</f>
        <v>0.02</v>
      </c>
      <c r="K32" s="303">
        <f>J32*K26</f>
        <v>9.4473247651787592E-2</v>
      </c>
      <c r="L32" s="294">
        <f>F32</f>
        <v>0.02</v>
      </c>
      <c r="M32" s="304">
        <f>L32*M26</f>
        <v>9.4473247651787592E-2</v>
      </c>
      <c r="N32" s="295">
        <f>F32</f>
        <v>0.02</v>
      </c>
      <c r="O32" s="303">
        <f>N32*O26</f>
        <v>9.4473247651787592E-2</v>
      </c>
      <c r="P32" s="297">
        <f>F32</f>
        <v>0.02</v>
      </c>
      <c r="Q32" s="303">
        <f>P32*Q26</f>
        <v>9.4473247651787592E-2</v>
      </c>
      <c r="R32" s="1"/>
    </row>
    <row r="33" spans="1:20" ht="18" x14ac:dyDescent="0.3">
      <c r="A33" s="92" t="s">
        <v>51</v>
      </c>
      <c r="B33" s="122"/>
      <c r="C33" s="123"/>
      <c r="D33" s="122"/>
      <c r="E33" s="122"/>
      <c r="F33" s="103"/>
      <c r="G33" s="305">
        <f>IF(F8&lt;&gt;"",SUM(G26+G29+G32),0)</f>
        <v>76.21166117223639</v>
      </c>
      <c r="H33" s="306"/>
      <c r="I33" s="305">
        <f>IF(H8&lt;&gt;"",SUM(I26+I29+I32),0)</f>
        <v>5.989603901123334</v>
      </c>
      <c r="J33" s="306"/>
      <c r="K33" s="309">
        <f>IF(J8&lt;&gt;"",SUM(K26+K29+K32),0)</f>
        <v>5.989603901123334</v>
      </c>
      <c r="L33" s="307"/>
      <c r="M33" s="305">
        <f>IF(L8&lt;&gt;"",SUM(M26+M29+M32),0)</f>
        <v>5.989603901123334</v>
      </c>
      <c r="N33" s="308"/>
      <c r="O33" s="309">
        <f>IF(N8&lt;&gt;"",SUM(O26+O29+O32),0)</f>
        <v>5.989603901123334</v>
      </c>
      <c r="P33" s="306"/>
      <c r="Q33" s="309">
        <f>IF(P8&lt;&gt;"",SUM(Q26+Q29+Q32),0)</f>
        <v>5.989603901123334</v>
      </c>
      <c r="R33" s="1"/>
      <c r="S33" s="140"/>
      <c r="T33" s="140"/>
    </row>
    <row r="34" spans="1:20" ht="16.2" thickBot="1" x14ac:dyDescent="0.35">
      <c r="A34" s="96"/>
      <c r="B34" s="87"/>
      <c r="C34" s="125"/>
      <c r="D34" s="87"/>
      <c r="E34" s="87"/>
      <c r="F34" s="87"/>
      <c r="G34" s="114"/>
      <c r="H34" s="116"/>
      <c r="I34" s="114"/>
      <c r="J34" s="116"/>
      <c r="K34" s="114"/>
      <c r="L34" s="87"/>
      <c r="M34" s="87"/>
      <c r="N34" s="141"/>
      <c r="O34" s="186"/>
      <c r="P34" s="116"/>
      <c r="Q34" s="114"/>
      <c r="R34" s="1"/>
    </row>
    <row r="35" spans="1:20" ht="16.2" thickBot="1" x14ac:dyDescent="0.35">
      <c r="A35" s="22" t="s">
        <v>53</v>
      </c>
      <c r="B35" s="124"/>
      <c r="C35" s="124"/>
      <c r="D35" s="124"/>
      <c r="E35" s="124"/>
      <c r="F35" s="517">
        <v>1</v>
      </c>
      <c r="G35" s="518"/>
      <c r="H35" s="517">
        <v>0</v>
      </c>
      <c r="I35" s="518"/>
      <c r="J35" s="517">
        <v>0</v>
      </c>
      <c r="K35" s="518"/>
      <c r="L35" s="517">
        <v>0</v>
      </c>
      <c r="M35" s="518"/>
      <c r="N35" s="517">
        <v>0</v>
      </c>
      <c r="O35" s="518"/>
      <c r="P35" s="517">
        <v>0</v>
      </c>
      <c r="Q35" s="518"/>
      <c r="R35" s="1"/>
      <c r="S35" s="5" t="s">
        <v>52</v>
      </c>
      <c r="T35" s="235">
        <f>SUM(F35:Q35)</f>
        <v>1</v>
      </c>
    </row>
    <row r="36" spans="1:20" ht="16.8" customHeight="1" thickBot="1" x14ac:dyDescent="0.35">
      <c r="A36" s="187" t="s">
        <v>54</v>
      </c>
      <c r="B36" s="188"/>
      <c r="C36" s="188"/>
      <c r="D36" s="188"/>
      <c r="E36" s="155"/>
      <c r="G36" s="20"/>
      <c r="H36" s="20"/>
      <c r="I36" s="20"/>
      <c r="J36" s="20"/>
      <c r="K36" s="20"/>
      <c r="L36" s="20"/>
      <c r="M36" s="194"/>
      <c r="N36" s="20"/>
      <c r="O36" s="189"/>
      <c r="P36" s="190"/>
      <c r="Q36" s="340">
        <f>(F35*G33+H35*I33+J35*K33+L35*M33+N35*O33+P35*Q33)</f>
        <v>76.21166117223639</v>
      </c>
      <c r="R36" s="1"/>
    </row>
    <row r="37" spans="1:20" x14ac:dyDescent="0.3">
      <c r="A37" s="5" t="s">
        <v>223</v>
      </c>
      <c r="F37" s="201" t="s">
        <v>55</v>
      </c>
      <c r="G37" s="202">
        <v>1878</v>
      </c>
      <c r="M37" s="242"/>
      <c r="P37" s="243"/>
    </row>
    <row r="38" spans="1:20" x14ac:dyDescent="0.3">
      <c r="M38" s="242"/>
      <c r="N38" s="5"/>
      <c r="P38" s="243"/>
    </row>
    <row r="39" spans="1:20" x14ac:dyDescent="0.3">
      <c r="F39" s="201"/>
      <c r="G39" s="202" t="s">
        <v>72</v>
      </c>
      <c r="H39" s="202" t="s">
        <v>73</v>
      </c>
      <c r="I39" s="202" t="s">
        <v>74</v>
      </c>
      <c r="J39" s="202" t="s">
        <v>75</v>
      </c>
      <c r="K39" s="412" t="s">
        <v>76</v>
      </c>
      <c r="L39" s="413" t="s">
        <v>77</v>
      </c>
      <c r="M39" s="5"/>
    </row>
    <row r="40" spans="1:20" x14ac:dyDescent="0.3">
      <c r="F40" s="203"/>
      <c r="G40" s="203"/>
      <c r="H40" s="203"/>
      <c r="I40" s="203"/>
      <c r="J40" s="203"/>
      <c r="K40" s="414"/>
      <c r="L40" s="203"/>
      <c r="M40" s="5"/>
      <c r="P40" s="5"/>
      <c r="Q40" s="5"/>
    </row>
    <row r="41" spans="1:20" ht="16.2" thickBot="1" x14ac:dyDescent="0.35">
      <c r="F41" s="253" t="s">
        <v>57</v>
      </c>
      <c r="G41" s="204">
        <f>$G$37*G16</f>
        <v>53908.976698975872</v>
      </c>
      <c r="H41" s="204">
        <f>$G$37*I16</f>
        <v>4150.38</v>
      </c>
      <c r="I41" s="204">
        <f>$G$37*K16</f>
        <v>4150.38</v>
      </c>
      <c r="J41" s="204">
        <f>$G$37*M16</f>
        <v>4150.38</v>
      </c>
      <c r="K41" s="384">
        <f>$G$37*O16</f>
        <v>4150.38</v>
      </c>
      <c r="L41" s="380">
        <f>$G$37*Q16</f>
        <v>4150.38</v>
      </c>
      <c r="M41" s="5"/>
      <c r="P41" s="5"/>
      <c r="Q41" s="5"/>
    </row>
    <row r="42" spans="1:20" ht="16.2" thickBot="1" x14ac:dyDescent="0.35">
      <c r="A42" s="197" t="s">
        <v>543</v>
      </c>
      <c r="F42" s="331">
        <f>IF('Algemene kostprijsfactoren'!$F$12&lt;&gt;"",'Algemene kostprijsfactoren'!$F$12,'Algemene kostprijsfactoren'!$C$12)</f>
        <v>0.25800000000000001</v>
      </c>
      <c r="G42" s="252">
        <f>$F$42</f>
        <v>0.25800000000000001</v>
      </c>
      <c r="H42" s="205">
        <f t="shared" ref="H42:L42" si="0">$F$42</f>
        <v>0.25800000000000001</v>
      </c>
      <c r="I42" s="205">
        <f t="shared" si="0"/>
        <v>0.25800000000000001</v>
      </c>
      <c r="J42" s="205">
        <f t="shared" si="0"/>
        <v>0.25800000000000001</v>
      </c>
      <c r="K42" s="385">
        <f t="shared" si="0"/>
        <v>0.25800000000000001</v>
      </c>
      <c r="L42" s="252">
        <f t="shared" si="0"/>
        <v>0.25800000000000001</v>
      </c>
      <c r="M42" s="5"/>
      <c r="O42" s="209"/>
      <c r="P42" s="5"/>
      <c r="Q42" s="5"/>
    </row>
    <row r="43" spans="1:20" ht="16.2" thickBot="1" x14ac:dyDescent="0.35">
      <c r="A43" s="197" t="s">
        <v>544</v>
      </c>
      <c r="F43" s="332">
        <f>IF('Algemene kostprijsfactoren'!$F$13&lt;&gt;"",'Algemene kostprijsfactoren'!$F$13,'Algemene kostprijsfactoren'!$C$13)</f>
        <v>16655</v>
      </c>
      <c r="G43" s="310">
        <f>$F$43</f>
        <v>16655</v>
      </c>
      <c r="H43" s="311">
        <f t="shared" ref="H43:L43" si="1">$F$43</f>
        <v>16655</v>
      </c>
      <c r="I43" s="311">
        <f t="shared" si="1"/>
        <v>16655</v>
      </c>
      <c r="J43" s="311">
        <f t="shared" si="1"/>
        <v>16655</v>
      </c>
      <c r="K43" s="415">
        <f t="shared" si="1"/>
        <v>16655</v>
      </c>
      <c r="L43" s="310">
        <f t="shared" si="1"/>
        <v>16655</v>
      </c>
      <c r="M43"/>
      <c r="O43" s="209"/>
      <c r="P43" s="5"/>
      <c r="Q43" s="5"/>
    </row>
    <row r="44" spans="1:20" ht="16.2" thickBot="1" x14ac:dyDescent="0.35">
      <c r="A44" s="197" t="s">
        <v>12</v>
      </c>
      <c r="F44" s="254"/>
      <c r="G44" s="204">
        <f>(G41-G43)*G42</f>
        <v>9611.5259883357758</v>
      </c>
      <c r="H44" s="204">
        <f t="shared" ref="H44:K44" si="2">(H41-H43)*H42</f>
        <v>-3226.1919599999997</v>
      </c>
      <c r="I44" s="204">
        <f t="shared" si="2"/>
        <v>-3226.1919599999997</v>
      </c>
      <c r="J44" s="204">
        <f t="shared" si="2"/>
        <v>-3226.1919599999997</v>
      </c>
      <c r="K44" s="384">
        <f t="shared" si="2"/>
        <v>-3226.1919599999997</v>
      </c>
      <c r="L44" s="380">
        <f>(L41-L43)*L42</f>
        <v>-3226.1919599999997</v>
      </c>
      <c r="M44" s="5"/>
      <c r="P44" s="5"/>
      <c r="Q44" s="5"/>
    </row>
    <row r="45" spans="1:20" ht="16.8" thickTop="1" thickBot="1" x14ac:dyDescent="0.35">
      <c r="A45" s="198" t="s">
        <v>13</v>
      </c>
      <c r="F45" s="331">
        <f>IF('Algemene kostprijsfactoren'!$F$15&lt;&gt;"",'Algemene kostprijsfactoren'!$F$15,'Algemene kostprijsfactoren'!$C$15)</f>
        <v>0.5</v>
      </c>
      <c r="G45" s="206">
        <f>(G44/G41)*$F$45</f>
        <v>8.9145876780465483E-2</v>
      </c>
      <c r="H45" s="206">
        <f t="shared" ref="H45:L45" si="3">(H44/H41)*$F$45</f>
        <v>-0.38866223815650608</v>
      </c>
      <c r="I45" s="206">
        <f t="shared" si="3"/>
        <v>-0.38866223815650608</v>
      </c>
      <c r="J45" s="206">
        <f t="shared" si="3"/>
        <v>-0.38866223815650608</v>
      </c>
      <c r="K45" s="386">
        <f t="shared" si="3"/>
        <v>-0.38866223815650608</v>
      </c>
      <c r="L45" s="381">
        <f t="shared" si="3"/>
        <v>-0.38866223815650608</v>
      </c>
      <c r="M45" s="5"/>
      <c r="P45" s="5"/>
      <c r="Q45" s="5"/>
    </row>
    <row r="46" spans="1:20" ht="16.8" thickTop="1" thickBot="1" x14ac:dyDescent="0.35">
      <c r="A46" s="197" t="s">
        <v>545</v>
      </c>
      <c r="F46" s="331">
        <f>IF('Algemene kostprijsfactoren'!$F$16&lt;&gt;"",'Algemene kostprijsfactoren'!$F$16,'Algemene kostprijsfactoren'!$C$16)</f>
        <v>5.0000000000000001E-3</v>
      </c>
      <c r="G46" s="252">
        <f>$F$46</f>
        <v>5.0000000000000001E-3</v>
      </c>
      <c r="H46" s="205">
        <f t="shared" ref="H46:L46" si="4">$F$46</f>
        <v>5.0000000000000001E-3</v>
      </c>
      <c r="I46" s="205">
        <f t="shared" si="4"/>
        <v>5.0000000000000001E-3</v>
      </c>
      <c r="J46" s="205">
        <f t="shared" si="4"/>
        <v>5.0000000000000001E-3</v>
      </c>
      <c r="K46" s="385">
        <f t="shared" si="4"/>
        <v>5.0000000000000001E-3</v>
      </c>
      <c r="L46" s="252">
        <f t="shared" si="4"/>
        <v>5.0000000000000001E-3</v>
      </c>
      <c r="M46" s="5"/>
      <c r="O46" s="209"/>
      <c r="P46" s="5"/>
      <c r="Q46" s="5"/>
    </row>
    <row r="47" spans="1:20" ht="16.2" thickBot="1" x14ac:dyDescent="0.35">
      <c r="A47" s="197" t="s">
        <v>546</v>
      </c>
      <c r="F47" s="332">
        <f>IF('Algemene kostprijsfactoren'!$F$17&lt;&gt;"",'Algemene kostprijsfactoren'!$F$17,'Algemene kostprijsfactoren'!$C$17)</f>
        <v>28405</v>
      </c>
      <c r="G47" s="310">
        <f>$F47</f>
        <v>28405</v>
      </c>
      <c r="H47" s="311">
        <f t="shared" ref="H47:L47" si="5">$F47</f>
        <v>28405</v>
      </c>
      <c r="I47" s="311">
        <f t="shared" si="5"/>
        <v>28405</v>
      </c>
      <c r="J47" s="311">
        <f t="shared" si="5"/>
        <v>28405</v>
      </c>
      <c r="K47" s="415">
        <f t="shared" si="5"/>
        <v>28405</v>
      </c>
      <c r="L47" s="310">
        <f t="shared" si="5"/>
        <v>28405</v>
      </c>
      <c r="M47"/>
      <c r="O47" s="209"/>
      <c r="P47" s="5"/>
      <c r="Q47" s="5"/>
    </row>
    <row r="48" spans="1:20" ht="16.2" thickBot="1" x14ac:dyDescent="0.35">
      <c r="A48" s="199" t="s">
        <v>14</v>
      </c>
      <c r="F48" s="255"/>
      <c r="G48" s="207">
        <f>(G41-G47)*G46</f>
        <v>127.51988349487937</v>
      </c>
      <c r="H48" s="207">
        <f t="shared" ref="H48:L48" si="6">(H41-H47)*H46</f>
        <v>-121.2731</v>
      </c>
      <c r="I48" s="207">
        <f t="shared" si="6"/>
        <v>-121.2731</v>
      </c>
      <c r="J48" s="207">
        <f t="shared" si="6"/>
        <v>-121.2731</v>
      </c>
      <c r="K48" s="384">
        <f>(K41-K47)*K46</f>
        <v>-121.2731</v>
      </c>
      <c r="L48" s="382">
        <f t="shared" si="6"/>
        <v>-121.2731</v>
      </c>
      <c r="M48" s="5"/>
      <c r="P48" s="5"/>
      <c r="Q48" s="5"/>
    </row>
    <row r="49" spans="1:19" ht="16.8" thickTop="1" thickBot="1" x14ac:dyDescent="0.35">
      <c r="A49" s="198" t="s">
        <v>15</v>
      </c>
      <c r="F49" s="331">
        <f>IF('Algemene kostprijsfactoren'!$F$19&lt;&gt;"",'Algemene kostprijsfactoren'!$F$19,'Algemene kostprijsfactoren'!$C$19)</f>
        <v>0.5</v>
      </c>
      <c r="G49" s="206">
        <f>(G48/G41)*$F49</f>
        <v>1.1827332969696484E-3</v>
      </c>
      <c r="H49" s="206">
        <f t="shared" ref="H49:L49" si="7">(H48/H41)*$F49</f>
        <v>-1.460987909540813E-2</v>
      </c>
      <c r="I49" s="206">
        <f t="shared" si="7"/>
        <v>-1.460987909540813E-2</v>
      </c>
      <c r="J49" s="206">
        <f t="shared" si="7"/>
        <v>-1.460987909540813E-2</v>
      </c>
      <c r="K49" s="386">
        <f t="shared" si="7"/>
        <v>-1.460987909540813E-2</v>
      </c>
      <c r="L49" s="381">
        <f t="shared" si="7"/>
        <v>-1.460987909540813E-2</v>
      </c>
      <c r="M49" s="5"/>
    </row>
    <row r="50" spans="1:19" ht="16.2" thickTop="1" x14ac:dyDescent="0.3">
      <c r="F50" s="333" t="s">
        <v>58</v>
      </c>
      <c r="G50" s="208">
        <f>G49+G45</f>
        <v>9.0328610077435131E-2</v>
      </c>
      <c r="H50" s="208">
        <f t="shared" ref="H50:L50" si="8">H49+H45</f>
        <v>-0.4032721172519142</v>
      </c>
      <c r="I50" s="208">
        <f t="shared" si="8"/>
        <v>-0.4032721172519142</v>
      </c>
      <c r="J50" s="208">
        <f t="shared" si="8"/>
        <v>-0.4032721172519142</v>
      </c>
      <c r="K50" s="387">
        <f t="shared" si="8"/>
        <v>-0.4032721172519142</v>
      </c>
      <c r="L50" s="383">
        <f t="shared" si="8"/>
        <v>-0.4032721172519142</v>
      </c>
      <c r="M50" s="5"/>
    </row>
    <row r="52" spans="1:19" x14ac:dyDescent="0.3">
      <c r="A52" s="197" t="s">
        <v>16</v>
      </c>
      <c r="F52" s="330">
        <f>IF('Algemene kostprijsfactoren'!$F$22&lt;&gt;"",'Algemene kostprijsfactoren'!$F$22,'Algemene kostprijsfactoren'!$C$22)</f>
        <v>7.5800000000000006E-2</v>
      </c>
      <c r="G52" s="195"/>
      <c r="H52" s="209">
        <v>7.5800000000000006E-2</v>
      </c>
      <c r="I52" s="496" t="s">
        <v>537</v>
      </c>
      <c r="J52" s="497"/>
      <c r="K52" s="497"/>
      <c r="L52" s="497"/>
      <c r="M52" s="497"/>
      <c r="N52" s="497"/>
      <c r="O52" s="497"/>
      <c r="P52" s="497"/>
      <c r="Q52" s="497"/>
      <c r="R52" s="497"/>
      <c r="S52" s="498"/>
    </row>
    <row r="53" spans="1:19" x14ac:dyDescent="0.3">
      <c r="A53" s="197" t="s">
        <v>17</v>
      </c>
      <c r="F53" s="330">
        <f>IF('Algemene kostprijsfactoren'!$F$23&lt;&gt;"",'Algemene kostprijsfactoren'!$F$23,'Algemene kostprijsfactoren'!$C$23)</f>
        <v>3.49E-2</v>
      </c>
      <c r="G53" s="195"/>
      <c r="H53" s="499" t="s">
        <v>538</v>
      </c>
      <c r="I53" s="500"/>
      <c r="J53" s="500" t="s">
        <v>181</v>
      </c>
      <c r="K53" s="500"/>
      <c r="L53" s="500" t="s">
        <v>181</v>
      </c>
      <c r="M53" s="500"/>
      <c r="N53" s="500" t="s">
        <v>181</v>
      </c>
      <c r="O53" s="500"/>
      <c r="P53" s="500" t="s">
        <v>181</v>
      </c>
      <c r="Q53" s="500"/>
      <c r="R53" s="500" t="s">
        <v>181</v>
      </c>
      <c r="S53" s="501"/>
    </row>
    <row r="54" spans="1:19" x14ac:dyDescent="0.3">
      <c r="A54" s="197" t="s">
        <v>18</v>
      </c>
      <c r="F54" s="330">
        <f>IF('Algemene kostprijsfactoren'!$F$24&lt;&gt;"",'Algemene kostprijsfactoren'!$F$24,'Algemene kostprijsfactoren'!$C$24)</f>
        <v>6.5100000000000005E-2</v>
      </c>
      <c r="G54" s="195"/>
      <c r="H54" s="209">
        <v>6.5100000000000005E-2</v>
      </c>
      <c r="I54" s="496" t="s">
        <v>539</v>
      </c>
      <c r="J54" s="497"/>
      <c r="K54" s="497"/>
      <c r="L54" s="497"/>
      <c r="M54" s="497"/>
      <c r="N54" s="497"/>
      <c r="O54" s="497"/>
      <c r="P54" s="497"/>
      <c r="Q54" s="497"/>
      <c r="R54" s="497"/>
      <c r="S54" s="498"/>
    </row>
    <row r="55" spans="1:19" x14ac:dyDescent="0.3">
      <c r="A55" s="197" t="s">
        <v>19</v>
      </c>
      <c r="F55" s="330">
        <f>IF('Algemene kostprijsfactoren'!$F$25&lt;&gt;"",'Algemene kostprijsfactoren'!$F$25,'Algemene kostprijsfactoren'!$C$25)</f>
        <v>1.3299999999999999E-2</v>
      </c>
      <c r="G55" s="195"/>
      <c r="H55" s="496" t="s">
        <v>226</v>
      </c>
      <c r="I55" s="497"/>
      <c r="J55" s="497"/>
      <c r="K55" s="497"/>
      <c r="L55" s="497"/>
      <c r="M55" s="497"/>
      <c r="N55" s="497"/>
      <c r="O55" s="497"/>
      <c r="P55" s="497"/>
      <c r="Q55" s="497"/>
      <c r="R55" s="497"/>
      <c r="S55" s="498"/>
    </row>
    <row r="56" spans="1:19" ht="16.2" thickBot="1" x14ac:dyDescent="0.35">
      <c r="A56" s="199" t="s">
        <v>21</v>
      </c>
      <c r="F56" s="330">
        <f>IF('Algemene kostprijsfactoren'!$F$26&lt;&gt;"",'Algemene kostprijsfactoren'!$F$26,'Algemene kostprijsfactoren'!$C$26)</f>
        <v>3.5000000000000001E-3</v>
      </c>
      <c r="G56" s="195"/>
      <c r="H56" s="496" t="s">
        <v>22</v>
      </c>
      <c r="I56" s="497"/>
      <c r="J56" s="497"/>
      <c r="K56" s="497"/>
      <c r="L56" s="497"/>
      <c r="M56" s="497"/>
      <c r="N56" s="497"/>
      <c r="O56" s="497"/>
      <c r="P56" s="497"/>
      <c r="Q56" s="497"/>
      <c r="R56" s="497"/>
      <c r="S56" s="498"/>
    </row>
    <row r="57" spans="1:19" ht="16.2" thickTop="1" x14ac:dyDescent="0.3">
      <c r="A57" s="200" t="s">
        <v>23</v>
      </c>
      <c r="F57" s="328">
        <f>SUM(F52:F56)</f>
        <v>0.19260000000000002</v>
      </c>
      <c r="G57" s="195"/>
      <c r="H57" s="196"/>
      <c r="I57" s="196"/>
    </row>
    <row r="59" spans="1:19" x14ac:dyDescent="0.3">
      <c r="F59" s="6" t="s">
        <v>59</v>
      </c>
      <c r="G59" s="6" t="s">
        <v>60</v>
      </c>
      <c r="H59" s="6" t="s">
        <v>61</v>
      </c>
    </row>
    <row r="60" spans="1:19" ht="16.2" thickBot="1" x14ac:dyDescent="0.35">
      <c r="A60" s="215" t="s">
        <v>62</v>
      </c>
      <c r="F60" s="218"/>
      <c r="G60" s="219">
        <v>1878</v>
      </c>
      <c r="H60" s="220"/>
      <c r="I60" s="211"/>
      <c r="J60" s="416" t="s">
        <v>222</v>
      </c>
      <c r="K60" s="417"/>
      <c r="L60" s="417"/>
      <c r="M60" s="417"/>
      <c r="N60" s="417"/>
      <c r="O60" s="417"/>
      <c r="P60" s="417"/>
      <c r="Q60" s="417"/>
      <c r="R60" s="417"/>
      <c r="S60" s="418"/>
    </row>
    <row r="61" spans="1:19" ht="16.2" thickTop="1" x14ac:dyDescent="0.3">
      <c r="A61" s="197" t="s">
        <v>11</v>
      </c>
      <c r="F61" s="419" t="s">
        <v>31</v>
      </c>
      <c r="G61" s="221">
        <v>150.42780000000002</v>
      </c>
      <c r="H61" s="329">
        <v>8.0100000000000005E-2</v>
      </c>
      <c r="I61" s="211"/>
      <c r="J61" s="416" t="s">
        <v>221</v>
      </c>
      <c r="K61" s="417"/>
      <c r="L61" s="417"/>
      <c r="M61" s="417"/>
      <c r="N61" s="417"/>
      <c r="O61" s="417"/>
      <c r="P61" s="417"/>
      <c r="Q61" s="417"/>
      <c r="R61" s="417"/>
      <c r="S61" s="418"/>
    </row>
    <row r="62" spans="1:19" x14ac:dyDescent="0.3">
      <c r="A62" s="197" t="s">
        <v>64</v>
      </c>
      <c r="F62" s="419" t="s">
        <v>31</v>
      </c>
      <c r="G62" s="420">
        <v>237.4</v>
      </c>
      <c r="H62" s="222"/>
      <c r="I62" s="211"/>
      <c r="J62" s="416" t="s">
        <v>65</v>
      </c>
      <c r="K62" s="417"/>
      <c r="L62" s="417"/>
      <c r="M62" s="417"/>
      <c r="N62" s="417"/>
      <c r="O62" s="417"/>
      <c r="P62" s="417"/>
      <c r="Q62" s="417"/>
      <c r="R62" s="417"/>
      <c r="S62" s="418"/>
    </row>
    <row r="63" spans="1:19" x14ac:dyDescent="0.3">
      <c r="A63" s="197" t="s">
        <v>66</v>
      </c>
      <c r="F63" s="419" t="s">
        <v>31</v>
      </c>
      <c r="G63" s="221">
        <v>37.56</v>
      </c>
      <c r="H63" s="421">
        <v>0.02</v>
      </c>
      <c r="I63" s="211"/>
      <c r="J63" s="416" t="s">
        <v>78</v>
      </c>
      <c r="K63" s="417"/>
      <c r="L63" s="417"/>
      <c r="M63" s="417"/>
      <c r="N63" s="417"/>
      <c r="O63" s="417"/>
      <c r="P63" s="417"/>
      <c r="Q63" s="417"/>
      <c r="R63" s="417"/>
      <c r="S63" s="418"/>
    </row>
    <row r="64" spans="1:19" x14ac:dyDescent="0.3">
      <c r="A64" s="197" t="s">
        <v>218</v>
      </c>
      <c r="F64" s="419" t="s">
        <v>31</v>
      </c>
      <c r="G64" s="221">
        <v>118.31400000000001</v>
      </c>
      <c r="H64" s="421">
        <v>6.3E-2</v>
      </c>
      <c r="I64" s="211"/>
      <c r="J64" s="514" t="s">
        <v>532</v>
      </c>
      <c r="K64" s="515"/>
      <c r="L64" s="515"/>
      <c r="M64" s="515"/>
      <c r="N64" s="515"/>
      <c r="O64" s="515"/>
      <c r="P64" s="515"/>
      <c r="Q64" s="515"/>
      <c r="R64" s="515"/>
      <c r="S64" s="516"/>
    </row>
    <row r="65" spans="1:19" x14ac:dyDescent="0.3">
      <c r="A65" s="197" t="s">
        <v>215</v>
      </c>
      <c r="F65" s="419" t="s">
        <v>31</v>
      </c>
      <c r="G65" s="221">
        <v>125.82600000000001</v>
      </c>
      <c r="H65" s="421">
        <v>6.7000000000000004E-2</v>
      </c>
      <c r="I65" s="211"/>
      <c r="J65" s="416" t="s">
        <v>505</v>
      </c>
      <c r="K65" s="417"/>
      <c r="L65" s="417"/>
      <c r="M65" s="417"/>
      <c r="N65" s="417"/>
      <c r="O65" s="417"/>
      <c r="P65" s="417"/>
      <c r="Q65" s="417"/>
      <c r="R65" s="417"/>
      <c r="S65" s="418"/>
    </row>
    <row r="66" spans="1:19" ht="16.2" thickBot="1" x14ac:dyDescent="0.35">
      <c r="A66" s="197" t="s">
        <v>67</v>
      </c>
      <c r="F66" s="419" t="s">
        <v>31</v>
      </c>
      <c r="G66" s="342">
        <v>18.78</v>
      </c>
      <c r="H66" s="425">
        <v>0.01</v>
      </c>
      <c r="I66" s="211"/>
      <c r="J66" s="416" t="s">
        <v>80</v>
      </c>
      <c r="K66" s="417"/>
      <c r="L66" s="417"/>
      <c r="M66" s="417"/>
      <c r="N66" s="417"/>
      <c r="O66" s="417"/>
      <c r="P66" s="417"/>
      <c r="Q66" s="417"/>
      <c r="R66" s="417"/>
      <c r="S66" s="418"/>
    </row>
    <row r="67" spans="1:19" ht="16.2" thickTop="1" x14ac:dyDescent="0.3">
      <c r="A67" s="231" t="s">
        <v>68</v>
      </c>
      <c r="F67" s="223"/>
      <c r="G67" s="314">
        <f>G60-SUMIFS(G61:G66,F61:F66,"Ja")</f>
        <v>1189.6922</v>
      </c>
      <c r="H67" s="224"/>
      <c r="I67" s="212"/>
      <c r="J67" s="213"/>
    </row>
    <row r="68" spans="1:19" x14ac:dyDescent="0.3">
      <c r="A68" s="214"/>
      <c r="F68" s="225"/>
      <c r="G68" s="226"/>
      <c r="H68" s="226"/>
      <c r="I68" s="213"/>
      <c r="J68" s="213"/>
    </row>
    <row r="69" spans="1:19" x14ac:dyDescent="0.3">
      <c r="A69" s="216" t="s">
        <v>69</v>
      </c>
      <c r="F69" s="217"/>
      <c r="G69" s="503">
        <f>G67/G60</f>
        <v>0.63348892438764637</v>
      </c>
      <c r="H69" s="504"/>
      <c r="I69" s="213"/>
      <c r="J69" s="213"/>
    </row>
    <row r="72" spans="1:19" x14ac:dyDescent="0.3">
      <c r="A72" s="5" t="s">
        <v>70</v>
      </c>
    </row>
    <row r="73" spans="1:19" x14ac:dyDescent="0.3">
      <c r="A73" s="505"/>
      <c r="B73" s="506"/>
      <c r="C73" s="506"/>
      <c r="D73" s="506"/>
      <c r="E73" s="506"/>
      <c r="F73" s="506"/>
      <c r="G73" s="506"/>
      <c r="H73" s="506"/>
      <c r="I73" s="506"/>
      <c r="J73" s="506"/>
      <c r="K73" s="506"/>
      <c r="L73" s="506"/>
      <c r="M73" s="506"/>
      <c r="N73" s="506"/>
      <c r="O73" s="506"/>
      <c r="P73" s="506"/>
      <c r="Q73" s="506"/>
      <c r="R73" s="506"/>
      <c r="S73" s="507"/>
    </row>
    <row r="74" spans="1:19" x14ac:dyDescent="0.3">
      <c r="A74" s="508"/>
      <c r="B74" s="509"/>
      <c r="C74" s="509"/>
      <c r="D74" s="509"/>
      <c r="E74" s="509"/>
      <c r="F74" s="509"/>
      <c r="G74" s="509"/>
      <c r="H74" s="509"/>
      <c r="I74" s="509"/>
      <c r="J74" s="509"/>
      <c r="K74" s="509"/>
      <c r="L74" s="509"/>
      <c r="M74" s="509"/>
      <c r="N74" s="509"/>
      <c r="O74" s="509"/>
      <c r="P74" s="509"/>
      <c r="Q74" s="509"/>
      <c r="R74" s="509"/>
      <c r="S74" s="510"/>
    </row>
    <row r="75" spans="1:19" x14ac:dyDescent="0.3">
      <c r="A75" s="508"/>
      <c r="B75" s="509"/>
      <c r="C75" s="509"/>
      <c r="D75" s="509"/>
      <c r="E75" s="509"/>
      <c r="F75" s="509"/>
      <c r="G75" s="509"/>
      <c r="H75" s="509"/>
      <c r="I75" s="509"/>
      <c r="J75" s="509"/>
      <c r="K75" s="509"/>
      <c r="L75" s="509"/>
      <c r="M75" s="509"/>
      <c r="N75" s="509"/>
      <c r="O75" s="509"/>
      <c r="P75" s="509"/>
      <c r="Q75" s="509"/>
      <c r="R75" s="509"/>
      <c r="S75" s="510"/>
    </row>
    <row r="76" spans="1:19" x14ac:dyDescent="0.3">
      <c r="A76" s="508"/>
      <c r="B76" s="509"/>
      <c r="C76" s="509"/>
      <c r="D76" s="509"/>
      <c r="E76" s="509"/>
      <c r="F76" s="509"/>
      <c r="G76" s="509"/>
      <c r="H76" s="509"/>
      <c r="I76" s="509"/>
      <c r="J76" s="509"/>
      <c r="K76" s="509"/>
      <c r="L76" s="509"/>
      <c r="M76" s="509"/>
      <c r="N76" s="509"/>
      <c r="O76" s="509"/>
      <c r="P76" s="509"/>
      <c r="Q76" s="509"/>
      <c r="R76" s="509"/>
      <c r="S76" s="510"/>
    </row>
    <row r="77" spans="1:19" x14ac:dyDescent="0.3">
      <c r="A77" s="508"/>
      <c r="B77" s="509"/>
      <c r="C77" s="509"/>
      <c r="D77" s="509"/>
      <c r="E77" s="509"/>
      <c r="F77" s="509"/>
      <c r="G77" s="509"/>
      <c r="H77" s="509"/>
      <c r="I77" s="509"/>
      <c r="J77" s="509"/>
      <c r="K77" s="509"/>
      <c r="L77" s="509"/>
      <c r="M77" s="509"/>
      <c r="N77" s="509"/>
      <c r="O77" s="509"/>
      <c r="P77" s="509"/>
      <c r="Q77" s="509"/>
      <c r="R77" s="509"/>
      <c r="S77" s="510"/>
    </row>
    <row r="78" spans="1:19" x14ac:dyDescent="0.3">
      <c r="A78" s="511"/>
      <c r="B78" s="512"/>
      <c r="C78" s="512"/>
      <c r="D78" s="512"/>
      <c r="E78" s="512"/>
      <c r="F78" s="512"/>
      <c r="G78" s="512"/>
      <c r="H78" s="512"/>
      <c r="I78" s="512"/>
      <c r="J78" s="512"/>
      <c r="K78" s="512"/>
      <c r="L78" s="512"/>
      <c r="M78" s="512"/>
      <c r="N78" s="512"/>
      <c r="O78" s="512"/>
      <c r="P78" s="512"/>
      <c r="Q78" s="512"/>
      <c r="R78" s="512"/>
      <c r="S78" s="513"/>
    </row>
  </sheetData>
  <sheetProtection algorithmName="SHA-512" hashValue="TiHyIVqBsqamUXxo0s4H3c8kpOJxVsaUq5UQdW/EfcuDcQdnkb5gjA5FNil6CDwR1oFXZpuSwIgYUs5Vv0tDLw==" saltValue="FRnQvUXCTS1kWWykF140Xg==" spinCount="100000" sheet="1"/>
  <protectedRanges>
    <protectedRange algorithmName="SHA-512" hashValue="zrr1YC170iD4z5ngO6i+dvye2WxwMuZwyCItKXOM0Fb0EC895yDhie8vErJXeoL6fSMcx6aoO1sn5XcoWfI8lg==" saltValue="T/jZUAo6mJPMXMKTIHv+sw==" spinCount="100000" sqref="H61 F61:F66 H63:H66" name="Inputcellen_3"/>
  </protectedRanges>
  <mergeCells count="27">
    <mergeCell ref="A5:M5"/>
    <mergeCell ref="P35:Q35"/>
    <mergeCell ref="P8:Q8"/>
    <mergeCell ref="F9:G9"/>
    <mergeCell ref="H9:I9"/>
    <mergeCell ref="J9:K9"/>
    <mergeCell ref="L9:M9"/>
    <mergeCell ref="N9:O9"/>
    <mergeCell ref="P9:Q9"/>
    <mergeCell ref="N8:O8"/>
    <mergeCell ref="F35:G35"/>
    <mergeCell ref="H35:I35"/>
    <mergeCell ref="J35:K35"/>
    <mergeCell ref="L35:M35"/>
    <mergeCell ref="N35:O35"/>
    <mergeCell ref="F8:G8"/>
    <mergeCell ref="H8:I8"/>
    <mergeCell ref="G69:H69"/>
    <mergeCell ref="A73:S78"/>
    <mergeCell ref="I52:S52"/>
    <mergeCell ref="H53:S53"/>
    <mergeCell ref="I54:S54"/>
    <mergeCell ref="H55:S55"/>
    <mergeCell ref="H56:S56"/>
    <mergeCell ref="J8:K8"/>
    <mergeCell ref="L8:M8"/>
    <mergeCell ref="J64:S64"/>
  </mergeCells>
  <dataValidations count="1">
    <dataValidation errorStyle="information" allowBlank="1" showInputMessage="1" showErrorMessage="1" errorTitle="Verplicht veld" error="Vul hier de gemiddelde inschaling in voor de desbetreffende functie." sqref="F10 H10 J10 P10" xr:uid="{80933442-8197-4FA9-9939-1CAABA279529}"/>
  </dataValidations>
  <pageMargins left="0.7" right="0.7" top="0.75" bottom="0.75" header="0.3" footer="0.3"/>
  <pageSetup paperSize="9" scale="45"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28DA-E883-4412-B910-ED1BB619027D}">
  <sheetPr codeName="Sheet12">
    <tabColor rgb="FF0070C0"/>
    <pageSetUpPr fitToPage="1"/>
  </sheetPr>
  <dimension ref="A2:U82"/>
  <sheetViews>
    <sheetView zoomScale="80" zoomScaleNormal="80" workbookViewId="0">
      <pane ySplit="4" topLeftCell="A54" activePane="bottomLeft" state="frozen"/>
      <selection activeCell="A77" sqref="A77:S82"/>
      <selection pane="bottomLeft" activeCell="G63" sqref="A1:XFD1048576"/>
    </sheetView>
  </sheetViews>
  <sheetFormatPr defaultColWidth="10.5" defaultRowHeight="15.6" x14ac:dyDescent="0.3"/>
  <cols>
    <col min="1" max="1" width="74.796875" style="5" bestFit="1" customWidth="1"/>
    <col min="2" max="2" width="0.5" style="6" hidden="1" customWidth="1"/>
    <col min="3" max="3" width="14" style="6" hidden="1" customWidth="1"/>
    <col min="4"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hidden="1" customWidth="1"/>
    <col min="13" max="13" width="13.09765625" style="6" hidden="1" customWidth="1"/>
    <col min="14" max="14" width="13.59765625" style="6" hidden="1" customWidth="1"/>
    <col min="15" max="15" width="14.8984375" style="6" hidden="1" customWidth="1"/>
    <col min="16" max="16" width="13.5" style="6" customWidth="1"/>
    <col min="17" max="17" width="13" style="6" customWidth="1"/>
    <col min="18" max="18" width="1.3984375" style="5" customWidth="1"/>
    <col min="19" max="19" width="44.3984375" style="5" customWidth="1"/>
    <col min="20" max="20" width="31.3984375" style="5" bestFit="1"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s="18" customFormat="1" ht="21" x14ac:dyDescent="0.35">
      <c r="A4" s="398" t="s">
        <v>510</v>
      </c>
      <c r="B4" s="399"/>
      <c r="C4" s="399"/>
      <c r="D4" s="399"/>
      <c r="E4" s="399"/>
      <c r="F4" s="521"/>
      <c r="G4" s="521"/>
      <c r="H4" s="521"/>
      <c r="I4" s="521"/>
      <c r="J4" s="521"/>
      <c r="K4" s="521"/>
      <c r="L4" s="521"/>
      <c r="M4" s="521"/>
      <c r="N4" s="398"/>
      <c r="O4" s="399"/>
      <c r="P4" s="399"/>
      <c r="Q4" s="399"/>
      <c r="R4" s="39"/>
    </row>
    <row r="5" spans="1:21" ht="16.2" thickBot="1" x14ac:dyDescent="0.35">
      <c r="A5" s="106"/>
      <c r="B5" s="107"/>
      <c r="C5" s="107"/>
      <c r="D5" s="107"/>
      <c r="E5" s="107"/>
      <c r="F5" s="139"/>
      <c r="G5" s="319"/>
      <c r="H5" s="132"/>
      <c r="I5" s="132"/>
      <c r="J5" s="132"/>
      <c r="K5" s="132"/>
      <c r="L5" s="132"/>
      <c r="M5" s="132"/>
      <c r="N5" s="132"/>
      <c r="O5" s="132"/>
      <c r="P5" s="132"/>
      <c r="Q5" s="132"/>
      <c r="R5" s="83"/>
    </row>
    <row r="6" spans="1:21" ht="24.9" customHeight="1" thickBot="1" x14ac:dyDescent="0.35">
      <c r="A6" s="95" t="s">
        <v>28</v>
      </c>
      <c r="B6" s="88"/>
      <c r="C6" s="86" t="s">
        <v>29</v>
      </c>
      <c r="D6" s="88"/>
      <c r="E6" s="88"/>
      <c r="F6" s="492" t="str">
        <f>IF('Algemene kostprijsfactoren'!E4="",'Algemene kostprijsfactoren'!C4,'Algemene kostprijsfactoren'!E4)</f>
        <v>Cao_GGZ</v>
      </c>
      <c r="G6" s="493"/>
      <c r="H6" s="492" t="str">
        <f>F6</f>
        <v>Cao_GGZ</v>
      </c>
      <c r="I6" s="493"/>
      <c r="J6" s="492" t="str">
        <f>F6</f>
        <v>Cao_GGZ</v>
      </c>
      <c r="K6" s="493"/>
      <c r="L6" s="492" t="str">
        <f>F6</f>
        <v>Cao_GGZ</v>
      </c>
      <c r="M6" s="493"/>
      <c r="N6" s="492" t="str">
        <f>F6</f>
        <v>Cao_GGZ</v>
      </c>
      <c r="O6" s="493"/>
      <c r="P6" s="492" t="str">
        <f>F6</f>
        <v>Cao_GGZ</v>
      </c>
      <c r="Q6" s="493"/>
      <c r="R6" s="89"/>
      <c r="T6" s="133"/>
    </row>
    <row r="7" spans="1:21" ht="24.9" customHeight="1" thickBot="1" x14ac:dyDescent="0.35">
      <c r="A7" s="90" t="s">
        <v>219</v>
      </c>
      <c r="B7" s="88"/>
      <c r="C7" s="86"/>
      <c r="D7" s="88"/>
      <c r="E7" s="88"/>
      <c r="F7" s="519"/>
      <c r="G7" s="520"/>
      <c r="H7" s="519" t="s">
        <v>519</v>
      </c>
      <c r="I7" s="520"/>
      <c r="J7" s="519" t="s">
        <v>520</v>
      </c>
      <c r="K7" s="520"/>
      <c r="L7" s="519"/>
      <c r="M7" s="520"/>
      <c r="N7" s="519"/>
      <c r="O7" s="520"/>
      <c r="P7" s="519" t="s">
        <v>220</v>
      </c>
      <c r="Q7" s="520"/>
      <c r="R7" s="89"/>
      <c r="U7"/>
    </row>
    <row r="8" spans="1:21" ht="15.9" customHeight="1" thickBot="1" x14ac:dyDescent="0.35">
      <c r="A8" s="97" t="s">
        <v>230</v>
      </c>
      <c r="B8" s="156"/>
      <c r="C8" s="99"/>
      <c r="D8" s="156"/>
      <c r="E8" s="156"/>
      <c r="F8" s="401"/>
      <c r="G8" s="402">
        <v>3399.5922484843759</v>
      </c>
      <c r="H8" s="401" t="s">
        <v>231</v>
      </c>
      <c r="I8" s="402"/>
      <c r="J8" s="401" t="s">
        <v>231</v>
      </c>
      <c r="K8" s="402"/>
      <c r="L8" s="401" t="s">
        <v>210</v>
      </c>
      <c r="M8" s="402"/>
      <c r="N8" s="401" t="s">
        <v>210</v>
      </c>
      <c r="O8" s="402"/>
      <c r="P8" s="401" t="s">
        <v>231</v>
      </c>
      <c r="Q8" s="402"/>
      <c r="R8" s="82"/>
      <c r="S8" s="325"/>
      <c r="T8" s="133"/>
    </row>
    <row r="9" spans="1:21" ht="15.9" customHeight="1" x14ac:dyDescent="0.3">
      <c r="A9" s="97" t="s">
        <v>71</v>
      </c>
      <c r="B9" s="156"/>
      <c r="C9" s="99"/>
      <c r="D9" s="156"/>
      <c r="E9" s="156"/>
      <c r="F9" s="158"/>
      <c r="G9" s="160">
        <f>G8/156.5</f>
        <v>21.722634175619014</v>
      </c>
      <c r="H9" s="158"/>
      <c r="I9" s="160">
        <f>I8/156.5</f>
        <v>0</v>
      </c>
      <c r="J9" s="158"/>
      <c r="K9" s="160">
        <f>K8/156.5</f>
        <v>0</v>
      </c>
      <c r="L9" s="158"/>
      <c r="M9" s="160">
        <f>M8/156.5</f>
        <v>0</v>
      </c>
      <c r="N9" s="158"/>
      <c r="O9" s="160">
        <f>O8/156.5</f>
        <v>0</v>
      </c>
      <c r="P9" s="158"/>
      <c r="Q9" s="160">
        <f>Q8/156.5</f>
        <v>0</v>
      </c>
      <c r="R9" s="82"/>
      <c r="S9" s="133"/>
      <c r="T9" s="133"/>
    </row>
    <row r="10" spans="1:21" ht="15.9" customHeight="1" x14ac:dyDescent="0.3">
      <c r="A10" s="94" t="s">
        <v>4</v>
      </c>
      <c r="B10" s="156"/>
      <c r="C10" s="99" t="s">
        <v>31</v>
      </c>
      <c r="D10" s="156"/>
      <c r="E10" s="156"/>
      <c r="F10" s="158">
        <f>IF(F6&lt;&gt;"",'Algemene kostprijsfactoren'!$C$5,"")</f>
        <v>8.0750000000000002E-2</v>
      </c>
      <c r="G10" s="157">
        <f>MAX(1.07,F10*G9)</f>
        <v>1.7541027096812354</v>
      </c>
      <c r="H10" s="158">
        <f>IF(H6&lt;&gt;"",'Algemene kostprijsfactoren'!$C$5,"")</f>
        <v>8.0750000000000002E-2</v>
      </c>
      <c r="I10" s="157">
        <f>MAX(1.07,H10*I9)</f>
        <v>1.07</v>
      </c>
      <c r="J10" s="158">
        <f>IF(J6&lt;&gt;"",'Algemene kostprijsfactoren'!$C$5,"")</f>
        <v>8.0750000000000002E-2</v>
      </c>
      <c r="K10" s="157">
        <f>MAX(1.07,J10*K9)</f>
        <v>1.07</v>
      </c>
      <c r="L10" s="158">
        <f>IF(L6&lt;&gt;"",8%,"")</f>
        <v>0.08</v>
      </c>
      <c r="M10" s="157">
        <f>MAX(1.07,L10*M9)</f>
        <v>1.07</v>
      </c>
      <c r="N10" s="158">
        <f>IF(N6&lt;&gt;"",8%,"")</f>
        <v>0.08</v>
      </c>
      <c r="O10" s="157">
        <f>MAX(1.07,N10*O9)</f>
        <v>1.07</v>
      </c>
      <c r="P10" s="158">
        <f>IF(P6&lt;&gt;"",'Algemene kostprijsfactoren'!$C$5,"")</f>
        <v>8.0750000000000002E-2</v>
      </c>
      <c r="Q10" s="157">
        <f>MAX(1.07,P10*Q9)</f>
        <v>1.07</v>
      </c>
      <c r="R10" s="83"/>
      <c r="S10" s="134"/>
      <c r="T10" s="134"/>
    </row>
    <row r="11" spans="1:21" ht="15.9" customHeight="1" x14ac:dyDescent="0.3">
      <c r="A11" s="111" t="s">
        <v>32</v>
      </c>
      <c r="B11" s="156"/>
      <c r="C11" s="99"/>
      <c r="D11" s="156"/>
      <c r="E11" s="156"/>
      <c r="F11" s="158"/>
      <c r="G11" s="160">
        <f>G9+G10</f>
        <v>23.476736885300248</v>
      </c>
      <c r="H11" s="158"/>
      <c r="I11" s="160">
        <f>I9+I10</f>
        <v>1.07</v>
      </c>
      <c r="J11" s="158"/>
      <c r="K11" s="160">
        <f>K9+K10</f>
        <v>1.07</v>
      </c>
      <c r="L11" s="158"/>
      <c r="M11" s="160">
        <f>M9+M10</f>
        <v>1.07</v>
      </c>
      <c r="N11" s="158"/>
      <c r="O11" s="160">
        <f>O9+O10</f>
        <v>1.07</v>
      </c>
      <c r="P11" s="158"/>
      <c r="Q11" s="160">
        <f>Q9+Q10</f>
        <v>1.07</v>
      </c>
      <c r="R11" s="83"/>
      <c r="S11" s="134"/>
      <c r="T11" s="134"/>
    </row>
    <row r="12" spans="1:21" ht="15.9" customHeight="1" x14ac:dyDescent="0.3">
      <c r="A12" s="94" t="s">
        <v>33</v>
      </c>
      <c r="B12" s="156"/>
      <c r="C12" s="99" t="s">
        <v>31</v>
      </c>
      <c r="D12" s="156"/>
      <c r="E12" s="156"/>
      <c r="F12" s="379">
        <f>IF(F6&lt;&gt;"",'Algemene kostprijsfactoren'!$C$6,"")</f>
        <v>8.3299999999999999E-2</v>
      </c>
      <c r="G12" s="159">
        <f>MAX(1.14,F12*G9)</f>
        <v>1.8094954268290637</v>
      </c>
      <c r="H12" s="379">
        <f>IF(H6&lt;&gt;"",'Algemene kostprijsfactoren'!$C$6,"")</f>
        <v>8.3299999999999999E-2</v>
      </c>
      <c r="I12" s="159">
        <f>MAX(1.14,H12*I9)</f>
        <v>1.1399999999999999</v>
      </c>
      <c r="J12" s="379">
        <f>IF(J6&lt;&gt;"",'Algemene kostprijsfactoren'!$C$6,"")</f>
        <v>8.3299999999999999E-2</v>
      </c>
      <c r="K12" s="159">
        <f>MAX(1.14,J12*K9)</f>
        <v>1.1399999999999999</v>
      </c>
      <c r="L12" s="379">
        <f>VLOOKUP(L$6,Toelichting!$A$28:$B$31,2,TRUE)</f>
        <v>8.3299999999999999E-2</v>
      </c>
      <c r="M12" s="159">
        <f>MAX(1.14,L12*M9)</f>
        <v>1.1399999999999999</v>
      </c>
      <c r="N12" s="379">
        <f>VLOOKUP(N$6,Toelichting!$A$28:$B$31,2,TRUE)</f>
        <v>8.3299999999999999E-2</v>
      </c>
      <c r="O12" s="159">
        <f>MAX(1.14,N12*O9)</f>
        <v>1.1399999999999999</v>
      </c>
      <c r="P12" s="379">
        <f>IF(P6&lt;&gt;"",'Algemene kostprijsfactoren'!$C$6,"")</f>
        <v>8.3299999999999999E-2</v>
      </c>
      <c r="Q12" s="159">
        <f>MAX(1.14,P12*Q9)</f>
        <v>1.1399999999999999</v>
      </c>
      <c r="R12" s="83"/>
      <c r="S12" s="134"/>
      <c r="T12" s="134"/>
    </row>
    <row r="13" spans="1:21" ht="16.2" hidden="1" thickBot="1" x14ac:dyDescent="0.35">
      <c r="A13" s="97" t="s">
        <v>216</v>
      </c>
      <c r="B13" s="156"/>
      <c r="C13" s="99"/>
      <c r="D13" s="156"/>
      <c r="E13" s="156"/>
      <c r="F13" s="403"/>
      <c r="G13" s="378">
        <f>F13*G9</f>
        <v>0</v>
      </c>
      <c r="H13" s="403"/>
      <c r="I13" s="378">
        <f>H13*I9</f>
        <v>0</v>
      </c>
      <c r="J13" s="403">
        <v>0</v>
      </c>
      <c r="K13" s="378">
        <f>J13*K9</f>
        <v>0</v>
      </c>
      <c r="L13" s="403">
        <v>0</v>
      </c>
      <c r="M13" s="378">
        <f>L13*M9</f>
        <v>0</v>
      </c>
      <c r="N13" s="403">
        <v>0</v>
      </c>
      <c r="O13" s="378">
        <f>N13*O9</f>
        <v>0</v>
      </c>
      <c r="P13" s="403">
        <v>0</v>
      </c>
      <c r="Q13" s="320">
        <f>P13*Q9</f>
        <v>0</v>
      </c>
      <c r="R13" s="82"/>
    </row>
    <row r="14" spans="1:21" x14ac:dyDescent="0.3">
      <c r="A14" s="108" t="s">
        <v>35</v>
      </c>
      <c r="B14" s="126"/>
      <c r="C14" s="98"/>
      <c r="D14" s="126"/>
      <c r="E14" s="135">
        <f>SUM(E$10:E$12)</f>
        <v>0</v>
      </c>
      <c r="F14" s="321"/>
      <c r="G14" s="272">
        <f>SUM(G$11:G$13)</f>
        <v>25.286232312129311</v>
      </c>
      <c r="H14" s="404"/>
      <c r="I14" s="272">
        <f>SUM(I$11:I$13)</f>
        <v>2.21</v>
      </c>
      <c r="J14" s="404"/>
      <c r="K14" s="272">
        <f>SUM(K$11:K$13)</f>
        <v>2.21</v>
      </c>
      <c r="L14" s="405"/>
      <c r="M14" s="272">
        <f>SUM(M$11:M$13)</f>
        <v>2.21</v>
      </c>
      <c r="N14" s="406"/>
      <c r="O14" s="272">
        <f>SUM(O$11:O$13)</f>
        <v>2.21</v>
      </c>
      <c r="P14" s="405"/>
      <c r="Q14" s="272">
        <f>SUM(Q$11:Q$13)</f>
        <v>2.21</v>
      </c>
      <c r="R14" s="136"/>
      <c r="S14" s="133"/>
      <c r="T14" s="133"/>
    </row>
    <row r="15" spans="1:21" x14ac:dyDescent="0.3">
      <c r="A15" s="144" t="s">
        <v>36</v>
      </c>
      <c r="B15" s="126"/>
      <c r="C15" s="98"/>
      <c r="D15" s="126"/>
      <c r="E15" s="135"/>
      <c r="F15" s="276">
        <f>$F$61</f>
        <v>0.19260000000000002</v>
      </c>
      <c r="G15" s="277"/>
      <c r="H15" s="276">
        <f>$F$61</f>
        <v>0.19260000000000002</v>
      </c>
      <c r="I15" s="277"/>
      <c r="J15" s="276">
        <f>$F$61</f>
        <v>0.19260000000000002</v>
      </c>
      <c r="K15" s="277"/>
      <c r="L15" s="276">
        <f>$F$61</f>
        <v>0.19260000000000002</v>
      </c>
      <c r="M15" s="277"/>
      <c r="N15" s="276">
        <f>$F$61</f>
        <v>0.19260000000000002</v>
      </c>
      <c r="O15" s="163"/>
      <c r="P15" s="276">
        <f>$F$61</f>
        <v>0.19260000000000002</v>
      </c>
      <c r="Q15" s="277"/>
      <c r="R15" s="143"/>
      <c r="S15" s="325" t="s">
        <v>224</v>
      </c>
      <c r="T15" s="133"/>
    </row>
    <row r="16" spans="1:21" x14ac:dyDescent="0.3">
      <c r="A16" s="144" t="s">
        <v>38</v>
      </c>
      <c r="B16" s="126"/>
      <c r="C16" s="98"/>
      <c r="D16" s="126"/>
      <c r="E16" s="135"/>
      <c r="F16" s="276">
        <f>G49</f>
        <v>8.3756662352694272E-2</v>
      </c>
      <c r="G16" s="277"/>
      <c r="H16" s="276">
        <f>H49</f>
        <v>-0.38866223815650608</v>
      </c>
      <c r="I16" s="277"/>
      <c r="J16" s="276">
        <f>I49</f>
        <v>-0.38866223815650608</v>
      </c>
      <c r="K16" s="277"/>
      <c r="L16" s="276">
        <f>J49</f>
        <v>-0.38866223815650608</v>
      </c>
      <c r="M16" s="277"/>
      <c r="N16" s="276">
        <f>K49</f>
        <v>-0.38866223815650608</v>
      </c>
      <c r="O16" s="163"/>
      <c r="P16" s="276">
        <f>L49</f>
        <v>-0.38866223815650608</v>
      </c>
      <c r="Q16" s="277"/>
      <c r="R16" s="143"/>
      <c r="S16" s="133"/>
      <c r="T16" s="133"/>
    </row>
    <row r="17" spans="1:20" x14ac:dyDescent="0.3">
      <c r="A17" s="144" t="s">
        <v>39</v>
      </c>
      <c r="B17" s="126"/>
      <c r="C17" s="98"/>
      <c r="D17" s="126"/>
      <c r="E17" s="135"/>
      <c r="F17" s="276">
        <f>G53</f>
        <v>1.0046078698441013E-3</v>
      </c>
      <c r="G17" s="277"/>
      <c r="H17" s="276">
        <f>H53</f>
        <v>-1.460987909540813E-2</v>
      </c>
      <c r="I17" s="277"/>
      <c r="J17" s="276">
        <f>I53</f>
        <v>-1.460987909540813E-2</v>
      </c>
      <c r="K17" s="277"/>
      <c r="L17" s="276">
        <f>J53</f>
        <v>-1.460987909540813E-2</v>
      </c>
      <c r="M17" s="277"/>
      <c r="N17" s="276">
        <f>K53</f>
        <v>-1.460987909540813E-2</v>
      </c>
      <c r="O17" s="163"/>
      <c r="P17" s="276">
        <f>L53</f>
        <v>-1.460987909540813E-2</v>
      </c>
      <c r="Q17" s="277"/>
      <c r="R17" s="143"/>
      <c r="S17" s="133"/>
      <c r="T17" s="133"/>
    </row>
    <row r="18" spans="1:20" x14ac:dyDescent="0.3">
      <c r="A18" s="109" t="s">
        <v>40</v>
      </c>
      <c r="B18" s="126"/>
      <c r="C18" s="98"/>
      <c r="D18" s="126"/>
      <c r="E18" s="126"/>
      <c r="F18" s="278">
        <f>F15+F16+F17</f>
        <v>0.27736127022253837</v>
      </c>
      <c r="G18" s="279">
        <f>F18*G14</f>
        <v>7.0134215132343787</v>
      </c>
      <c r="H18" s="278">
        <f>H15+H16+H17</f>
        <v>-0.21067211725191418</v>
      </c>
      <c r="I18" s="279">
        <f>H18*I14</f>
        <v>-0.46558537912673031</v>
      </c>
      <c r="J18" s="278">
        <f>J15+J16+J17</f>
        <v>-0.21067211725191418</v>
      </c>
      <c r="K18" s="279">
        <f>J18*K14</f>
        <v>-0.46558537912673031</v>
      </c>
      <c r="L18" s="278">
        <f>L15+L16+L17</f>
        <v>-0.21067211725191418</v>
      </c>
      <c r="M18" s="279">
        <f>L18*M14</f>
        <v>-0.46558537912673031</v>
      </c>
      <c r="N18" s="280">
        <f>N15+N16+N17</f>
        <v>-0.21067211725191418</v>
      </c>
      <c r="O18" s="281">
        <f>N18*O14</f>
        <v>-0.46558537912673031</v>
      </c>
      <c r="P18" s="278">
        <f>P15+P16+P17</f>
        <v>-0.21067211725191418</v>
      </c>
      <c r="Q18" s="279">
        <f>P18*Q14</f>
        <v>-0.46558537912673031</v>
      </c>
      <c r="R18" s="137"/>
      <c r="S18" s="325" t="s">
        <v>224</v>
      </c>
      <c r="T18" s="133"/>
    </row>
    <row r="19" spans="1:20" x14ac:dyDescent="0.3">
      <c r="A19" s="110" t="s">
        <v>41</v>
      </c>
      <c r="B19" s="126"/>
      <c r="C19" s="98"/>
      <c r="D19" s="126"/>
      <c r="E19" s="126"/>
      <c r="F19" s="282"/>
      <c r="G19" s="283">
        <f>G14+G18</f>
        <v>32.299653825363691</v>
      </c>
      <c r="H19" s="284"/>
      <c r="I19" s="283">
        <f>I14+I18</f>
        <v>1.7444146208732696</v>
      </c>
      <c r="J19" s="284"/>
      <c r="K19" s="283">
        <f>K14+K18</f>
        <v>1.7444146208732696</v>
      </c>
      <c r="L19" s="285"/>
      <c r="M19" s="283">
        <f>M14+M18</f>
        <v>1.7444146208732696</v>
      </c>
      <c r="N19" s="286"/>
      <c r="O19" s="287">
        <f>O14+O18</f>
        <v>1.7444146208732696</v>
      </c>
      <c r="P19" s="285"/>
      <c r="Q19" s="283">
        <f>Q14+Q18</f>
        <v>1.7444146208732696</v>
      </c>
      <c r="R19" s="346"/>
    </row>
    <row r="20" spans="1:20" ht="16.2" thickBot="1" x14ac:dyDescent="0.35">
      <c r="A20" s="96" t="s">
        <v>42</v>
      </c>
      <c r="B20" s="87"/>
      <c r="C20" s="125"/>
      <c r="D20" s="87"/>
      <c r="E20" s="87"/>
      <c r="F20" s="87"/>
      <c r="G20" s="114"/>
      <c r="H20" s="116"/>
      <c r="I20" s="114"/>
      <c r="J20" s="116"/>
      <c r="K20" s="114"/>
      <c r="L20" s="87"/>
      <c r="M20" s="87"/>
      <c r="N20" s="116"/>
      <c r="O20" s="114"/>
      <c r="P20" s="116"/>
      <c r="Q20" s="114"/>
      <c r="R20" s="1"/>
    </row>
    <row r="21" spans="1:20" ht="16.2" thickBot="1" x14ac:dyDescent="0.35">
      <c r="A21" s="105" t="s">
        <v>43</v>
      </c>
      <c r="B21" s="156"/>
      <c r="C21" s="99"/>
      <c r="D21" s="156"/>
      <c r="E21" s="156"/>
      <c r="F21" s="244">
        <f>G73</f>
        <v>0.73848892438764646</v>
      </c>
      <c r="G21" s="247">
        <f>G19/F21</f>
        <v>43.737492545533435</v>
      </c>
      <c r="H21" s="164">
        <f>F21</f>
        <v>0.73848892438764646</v>
      </c>
      <c r="I21" s="165">
        <f>I19/H21</f>
        <v>2.3621405321951641</v>
      </c>
      <c r="J21" s="164">
        <f>F21</f>
        <v>0.73848892438764646</v>
      </c>
      <c r="K21" s="165">
        <f>K19/J21</f>
        <v>2.3621405321951641</v>
      </c>
      <c r="L21" s="164">
        <f>F21</f>
        <v>0.73848892438764646</v>
      </c>
      <c r="M21" s="165">
        <f>M19/L21</f>
        <v>2.3621405321951641</v>
      </c>
      <c r="N21" s="166">
        <f>F21</f>
        <v>0.73848892438764646</v>
      </c>
      <c r="O21" s="165">
        <f>O19/N21</f>
        <v>2.3621405321951641</v>
      </c>
      <c r="P21" s="166">
        <f>F21</f>
        <v>0.73848892438764646</v>
      </c>
      <c r="Q21" s="165">
        <f>Q19/P21</f>
        <v>2.3621405321951641</v>
      </c>
      <c r="R21" s="82"/>
      <c r="S21" s="5" t="s">
        <v>225</v>
      </c>
    </row>
    <row r="22" spans="1:20" ht="16.2" hidden="1" thickBot="1" x14ac:dyDescent="0.35">
      <c r="A22" s="94" t="s">
        <v>45</v>
      </c>
      <c r="B22" s="156"/>
      <c r="C22" s="99"/>
      <c r="D22" s="156"/>
      <c r="E22" s="156"/>
      <c r="F22" s="164"/>
      <c r="G22" s="407"/>
      <c r="H22" s="164"/>
      <c r="I22" s="288">
        <f>G22</f>
        <v>0</v>
      </c>
      <c r="J22" s="232"/>
      <c r="K22" s="288">
        <f>G22</f>
        <v>0</v>
      </c>
      <c r="L22" s="232"/>
      <c r="M22" s="288">
        <f>G22</f>
        <v>0</v>
      </c>
      <c r="N22" s="233"/>
      <c r="O22" s="288">
        <f>G22</f>
        <v>0</v>
      </c>
      <c r="P22" s="233"/>
      <c r="Q22" s="288">
        <f>G22</f>
        <v>0</v>
      </c>
      <c r="R22" s="82"/>
    </row>
    <row r="23" spans="1:20" x14ac:dyDescent="0.3">
      <c r="A23" s="105"/>
      <c r="B23" s="167"/>
      <c r="C23" s="98"/>
      <c r="D23" s="167"/>
      <c r="E23" s="167"/>
      <c r="F23" s="168"/>
      <c r="G23" s="248"/>
      <c r="H23" s="170"/>
      <c r="I23" s="169"/>
      <c r="J23" s="170"/>
      <c r="K23" s="169"/>
      <c r="L23" s="171"/>
      <c r="M23" s="169"/>
      <c r="N23" s="170"/>
      <c r="O23" s="169"/>
      <c r="P23" s="170"/>
      <c r="Q23" s="169"/>
      <c r="R23" s="1"/>
    </row>
    <row r="24" spans="1:20" ht="18.899999999999999" customHeight="1" x14ac:dyDescent="0.3">
      <c r="A24" s="129" t="s">
        <v>46</v>
      </c>
      <c r="B24" s="130"/>
      <c r="C24" s="131"/>
      <c r="D24" s="130"/>
      <c r="E24" s="130"/>
      <c r="F24" s="138"/>
      <c r="G24" s="290">
        <f>G21+G22</f>
        <v>43.737492545533435</v>
      </c>
      <c r="H24" s="289"/>
      <c r="I24" s="290">
        <f>I21+I22</f>
        <v>2.3621405321951641</v>
      </c>
      <c r="J24" s="289"/>
      <c r="K24" s="290">
        <f>K21+K22</f>
        <v>2.3621405321951641</v>
      </c>
      <c r="L24" s="291"/>
      <c r="M24" s="290">
        <f>M21+M22</f>
        <v>2.3621405321951641</v>
      </c>
      <c r="N24" s="292"/>
      <c r="O24" s="290">
        <f>O21+O22</f>
        <v>2.3621405321951641</v>
      </c>
      <c r="P24" s="289"/>
      <c r="Q24" s="290">
        <f>Q21+Q22</f>
        <v>2.3621405321951641</v>
      </c>
      <c r="R24" s="1"/>
    </row>
    <row r="25" spans="1:20" ht="18" customHeight="1" x14ac:dyDescent="0.3">
      <c r="A25" s="104"/>
      <c r="B25" s="87"/>
      <c r="C25" s="99"/>
      <c r="D25" s="87"/>
      <c r="E25" s="87"/>
      <c r="F25" s="139"/>
      <c r="G25" s="115"/>
      <c r="H25" s="117"/>
      <c r="I25" s="118"/>
      <c r="J25" s="117"/>
      <c r="K25" s="118"/>
      <c r="L25" s="112"/>
      <c r="M25" s="113"/>
      <c r="N25" s="117"/>
      <c r="O25" s="118"/>
      <c r="P25" s="117"/>
      <c r="Q25" s="118"/>
      <c r="R25" s="1"/>
    </row>
    <row r="26" spans="1:20" ht="16.2" thickBot="1" x14ac:dyDescent="0.35">
      <c r="A26" s="96" t="s">
        <v>47</v>
      </c>
      <c r="B26" s="87"/>
      <c r="C26" s="125"/>
      <c r="D26" s="87"/>
      <c r="E26" s="87"/>
      <c r="F26" s="87"/>
      <c r="G26" s="114"/>
      <c r="H26" s="116"/>
      <c r="I26" s="114"/>
      <c r="J26" s="116"/>
      <c r="K26" s="114"/>
      <c r="L26" s="87"/>
      <c r="M26" s="87"/>
      <c r="N26" s="116"/>
      <c r="O26" s="114"/>
      <c r="P26" s="116"/>
      <c r="Q26" s="114"/>
      <c r="R26" s="1"/>
    </row>
    <row r="27" spans="1:20" ht="16.2" thickBot="1" x14ac:dyDescent="0.35">
      <c r="A27" s="111" t="s">
        <v>213</v>
      </c>
      <c r="B27" s="100"/>
      <c r="C27" s="99"/>
      <c r="D27" s="100"/>
      <c r="E27" s="100"/>
      <c r="F27" s="244">
        <f>'Algemene kostprijsfactoren'!D34</f>
        <v>0.253</v>
      </c>
      <c r="G27" s="245">
        <f>F27*G24</f>
        <v>11.065585614019959</v>
      </c>
      <c r="H27" s="293">
        <f>F27</f>
        <v>0.253</v>
      </c>
      <c r="I27" s="172">
        <f>H27*I24</f>
        <v>0.59762155464537647</v>
      </c>
      <c r="J27" s="294">
        <f>F27</f>
        <v>0.253</v>
      </c>
      <c r="K27" s="172">
        <f>J27*K24</f>
        <v>0.59762155464537647</v>
      </c>
      <c r="L27" s="294">
        <f>F27</f>
        <v>0.253</v>
      </c>
      <c r="M27" s="173">
        <f>L27*M24</f>
        <v>0.59762155464537647</v>
      </c>
      <c r="N27" s="295">
        <f>F27</f>
        <v>0.253</v>
      </c>
      <c r="O27" s="296">
        <f>N27*O24</f>
        <v>0.59762155464537647</v>
      </c>
      <c r="P27" s="297">
        <f>F27</f>
        <v>0.253</v>
      </c>
      <c r="Q27" s="172">
        <f>P27*Q24</f>
        <v>0.59762155464537647</v>
      </c>
      <c r="R27" s="1"/>
      <c r="S27" s="5" t="s">
        <v>48</v>
      </c>
    </row>
    <row r="28" spans="1:20" x14ac:dyDescent="0.3">
      <c r="A28" s="127"/>
      <c r="B28" s="100"/>
      <c r="C28" s="99"/>
      <c r="D28" s="100"/>
      <c r="E28" s="100"/>
      <c r="F28" s="246"/>
      <c r="G28" s="175"/>
      <c r="H28" s="176"/>
      <c r="I28" s="177"/>
      <c r="J28" s="174"/>
      <c r="K28" s="177"/>
      <c r="L28" s="174"/>
      <c r="M28" s="178"/>
      <c r="N28" s="298"/>
      <c r="O28" s="299"/>
      <c r="P28" s="179"/>
      <c r="Q28" s="177"/>
      <c r="R28" s="1"/>
    </row>
    <row r="29" spans="1:20" ht="16.2" thickBot="1" x14ac:dyDescent="0.35">
      <c r="A29" s="96" t="s">
        <v>49</v>
      </c>
      <c r="B29" s="100"/>
      <c r="C29" s="87"/>
      <c r="D29" s="100"/>
      <c r="E29" s="100"/>
      <c r="F29" s="180"/>
      <c r="G29" s="181"/>
      <c r="H29" s="182"/>
      <c r="I29" s="183"/>
      <c r="J29" s="180"/>
      <c r="K29" s="183"/>
      <c r="L29" s="180"/>
      <c r="M29" s="184"/>
      <c r="N29" s="300"/>
      <c r="O29" s="301"/>
      <c r="P29" s="185"/>
      <c r="Q29" s="183"/>
      <c r="R29" s="1"/>
    </row>
    <row r="30" spans="1:20" ht="16.2" thickBot="1" x14ac:dyDescent="0.35">
      <c r="A30" s="121" t="s">
        <v>527</v>
      </c>
      <c r="B30" s="87"/>
      <c r="C30" s="87"/>
      <c r="D30" s="87"/>
      <c r="E30" s="87"/>
      <c r="F30" s="408">
        <v>0.02</v>
      </c>
      <c r="G30" s="302">
        <f>F30*G24</f>
        <v>0.8747498509106687</v>
      </c>
      <c r="H30" s="294">
        <f>F30</f>
        <v>0.02</v>
      </c>
      <c r="I30" s="303">
        <f>H30*I24</f>
        <v>4.7242810643903281E-2</v>
      </c>
      <c r="J30" s="294">
        <f>F30</f>
        <v>0.02</v>
      </c>
      <c r="K30" s="303">
        <f>J30*K24</f>
        <v>4.7242810643903281E-2</v>
      </c>
      <c r="L30" s="294">
        <f>F30</f>
        <v>0.02</v>
      </c>
      <c r="M30" s="304">
        <f>L30*M24</f>
        <v>4.7242810643903281E-2</v>
      </c>
      <c r="N30" s="295">
        <f>F30</f>
        <v>0.02</v>
      </c>
      <c r="O30" s="303">
        <f>N30*O24</f>
        <v>4.7242810643903281E-2</v>
      </c>
      <c r="P30" s="297">
        <f>F30</f>
        <v>0.02</v>
      </c>
      <c r="Q30" s="303">
        <f>P30*Q24</f>
        <v>4.7242810643903281E-2</v>
      </c>
      <c r="R30" s="1"/>
    </row>
    <row r="31" spans="1:20" ht="18" x14ac:dyDescent="0.3">
      <c r="A31" s="92" t="s">
        <v>51</v>
      </c>
      <c r="B31" s="122"/>
      <c r="C31" s="123"/>
      <c r="D31" s="122"/>
      <c r="E31" s="122"/>
      <c r="F31" s="103"/>
      <c r="G31" s="305">
        <f>IF(F6&lt;&gt;"",SUM(G24+G27+G30),0)</f>
        <v>55.677828010464061</v>
      </c>
      <c r="H31" s="306"/>
      <c r="I31" s="305">
        <f>IF(H6&lt;&gt;"",SUM(I24+I27+I30),0)</f>
        <v>3.0070048974844439</v>
      </c>
      <c r="J31" s="306"/>
      <c r="K31" s="309">
        <f>IF(J6&lt;&gt;"",SUM(K24+K27+K30),0)</f>
        <v>3.0070048974844439</v>
      </c>
      <c r="L31" s="307"/>
      <c r="M31" s="305">
        <f>IF(L6&lt;&gt;"",SUM(M24+M27+M30),0)</f>
        <v>3.0070048974844439</v>
      </c>
      <c r="N31" s="308"/>
      <c r="O31" s="309">
        <f>IF(N6&lt;&gt;"",SUM(O24+O27+O30),0)</f>
        <v>3.0070048974844439</v>
      </c>
      <c r="P31" s="306"/>
      <c r="Q31" s="309">
        <f>IF(P6&lt;&gt;"",SUM(Q24+Q27+Q30),0)</f>
        <v>3.0070048974844439</v>
      </c>
      <c r="R31" s="1"/>
      <c r="S31" s="140"/>
      <c r="T31" s="140"/>
    </row>
    <row r="32" spans="1:20" ht="16.2" thickBot="1" x14ac:dyDescent="0.35">
      <c r="A32" s="96"/>
      <c r="B32" s="87"/>
      <c r="C32" s="125"/>
      <c r="D32" s="87"/>
      <c r="E32" s="87"/>
      <c r="F32" s="87"/>
      <c r="G32" s="114"/>
      <c r="H32" s="116"/>
      <c r="I32" s="114"/>
      <c r="J32" s="116"/>
      <c r="K32" s="114"/>
      <c r="L32" s="87"/>
      <c r="M32" s="87"/>
      <c r="N32" s="141"/>
      <c r="O32" s="186"/>
      <c r="P32" s="116"/>
      <c r="Q32" s="114"/>
      <c r="R32" s="1"/>
    </row>
    <row r="33" spans="1:20" ht="16.2" thickBot="1" x14ac:dyDescent="0.35">
      <c r="A33" s="22" t="s">
        <v>53</v>
      </c>
      <c r="B33" s="124"/>
      <c r="C33" s="124"/>
      <c r="D33" s="124"/>
      <c r="E33" s="124"/>
      <c r="F33" s="517">
        <v>1</v>
      </c>
      <c r="G33" s="518"/>
      <c r="H33" s="517">
        <v>0</v>
      </c>
      <c r="I33" s="518"/>
      <c r="J33" s="517">
        <v>0</v>
      </c>
      <c r="K33" s="518"/>
      <c r="L33" s="517">
        <v>0</v>
      </c>
      <c r="M33" s="518"/>
      <c r="N33" s="517">
        <v>0</v>
      </c>
      <c r="O33" s="518"/>
      <c r="P33" s="517">
        <v>0</v>
      </c>
      <c r="Q33" s="518"/>
      <c r="R33" s="1"/>
      <c r="S33" s="5" t="s">
        <v>52</v>
      </c>
      <c r="T33" s="235">
        <f>SUM(F33:Q33)</f>
        <v>1</v>
      </c>
    </row>
    <row r="34" spans="1:20" ht="17.25" customHeight="1" thickBot="1" x14ac:dyDescent="0.35">
      <c r="A34" s="187" t="s">
        <v>54</v>
      </c>
      <c r="B34" s="188"/>
      <c r="C34" s="188"/>
      <c r="D34" s="188"/>
      <c r="E34" s="155"/>
      <c r="F34" s="340">
        <f>(F33*G31+H33*I31+J33*K31+L33*M31+N33*O31+P33*Q31)</f>
        <v>55.677828010464061</v>
      </c>
      <c r="G34" s="20"/>
      <c r="H34" s="20"/>
      <c r="I34" s="20"/>
      <c r="J34" s="20"/>
      <c r="K34" s="20"/>
      <c r="L34" s="20"/>
      <c r="M34" s="194"/>
      <c r="N34" s="20"/>
      <c r="O34" s="189"/>
      <c r="P34" s="190"/>
      <c r="R34" s="1"/>
    </row>
    <row r="35" spans="1:20" ht="17.25" customHeight="1" thickBot="1" x14ac:dyDescent="0.35">
      <c r="A35" s="9" t="s">
        <v>83</v>
      </c>
      <c r="B35" s="155"/>
      <c r="C35" s="155"/>
      <c r="D35" s="155"/>
      <c r="E35" s="155"/>
      <c r="F35" s="409">
        <v>4</v>
      </c>
      <c r="G35" s="242"/>
      <c r="M35" s="13"/>
      <c r="O35" s="191"/>
      <c r="P35" s="192"/>
      <c r="Q35" s="410"/>
      <c r="R35" s="1"/>
    </row>
    <row r="36" spans="1:20" ht="18.600000000000001" thickBot="1" x14ac:dyDescent="0.35">
      <c r="A36" s="9" t="s">
        <v>206</v>
      </c>
      <c r="B36" s="155"/>
      <c r="C36" s="155"/>
      <c r="D36" s="155"/>
      <c r="E36" s="155"/>
      <c r="F36" s="409">
        <v>6.7</v>
      </c>
      <c r="M36" s="13"/>
      <c r="O36" s="191"/>
      <c r="P36" s="192"/>
      <c r="Q36" s="192"/>
    </row>
    <row r="37" spans="1:20" ht="18.600000000000001" thickBot="1" x14ac:dyDescent="0.35">
      <c r="A37" s="9" t="s">
        <v>209</v>
      </c>
      <c r="B37" s="155"/>
      <c r="C37" s="155"/>
      <c r="D37" s="155"/>
      <c r="E37" s="155"/>
      <c r="F37" s="394">
        <f>IF('Algemene kostprijsfactoren'!D38&gt;0,'Algemene kostprijsfactoren'!D38,'Algemene kostprijsfactoren'!C38)</f>
        <v>1.85</v>
      </c>
      <c r="M37" s="13"/>
      <c r="O37" s="191"/>
      <c r="P37" s="192"/>
      <c r="Q37" s="192"/>
    </row>
    <row r="38" spans="1:20" ht="18.600000000000001" thickBot="1" x14ac:dyDescent="0.35">
      <c r="A38" s="9" t="s">
        <v>84</v>
      </c>
      <c r="B38" s="155"/>
      <c r="C38" s="155"/>
      <c r="D38" s="155"/>
      <c r="E38" s="155"/>
      <c r="F38" s="394">
        <f>IF('Algemene kostprijsfactoren'!D39&gt;0,'Algemene kostprijsfactoren'!D39,'Algemene kostprijsfactoren'!C39)</f>
        <v>8.1199999999999992</v>
      </c>
      <c r="M38" s="13"/>
      <c r="O38" s="191"/>
      <c r="P38" s="192"/>
      <c r="Q38" s="192"/>
    </row>
    <row r="39" spans="1:20" ht="18.600000000000001" thickBot="1" x14ac:dyDescent="0.35">
      <c r="A39" s="9" t="s">
        <v>85</v>
      </c>
      <c r="B39" s="155"/>
      <c r="C39" s="155"/>
      <c r="D39" s="155"/>
      <c r="E39" s="155"/>
      <c r="F39" s="340">
        <f>F34*F35/F36+F37+F38</f>
        <v>43.210494334605407</v>
      </c>
      <c r="M39" s="13"/>
      <c r="O39" s="191"/>
      <c r="P39" s="192"/>
      <c r="Q39" s="192"/>
    </row>
    <row r="40" spans="1:20" ht="18" x14ac:dyDescent="0.3">
      <c r="A40" s="9"/>
      <c r="B40" s="155"/>
      <c r="C40" s="155"/>
      <c r="D40" s="155"/>
      <c r="E40" s="155"/>
      <c r="F40" s="410"/>
      <c r="M40" s="13"/>
      <c r="O40" s="191"/>
      <c r="P40" s="192"/>
      <c r="Q40" s="192"/>
    </row>
    <row r="41" spans="1:20" ht="15" customHeight="1" x14ac:dyDescent="0.3">
      <c r="F41" s="201" t="s">
        <v>55</v>
      </c>
      <c r="G41" s="202">
        <v>1878</v>
      </c>
      <c r="M41" s="242"/>
      <c r="P41" s="243"/>
    </row>
    <row r="42" spans="1:20" x14ac:dyDescent="0.3">
      <c r="M42" s="242"/>
      <c r="N42" s="5"/>
      <c r="P42" s="243"/>
    </row>
    <row r="43" spans="1:20" x14ac:dyDescent="0.3">
      <c r="F43" s="203"/>
      <c r="G43" s="202" t="s">
        <v>72</v>
      </c>
      <c r="H43" s="202" t="s">
        <v>73</v>
      </c>
      <c r="I43" s="202" t="s">
        <v>74</v>
      </c>
      <c r="J43" s="202" t="s">
        <v>75</v>
      </c>
      <c r="K43" s="412" t="s">
        <v>76</v>
      </c>
      <c r="L43" s="413" t="s">
        <v>77</v>
      </c>
      <c r="M43" s="5"/>
    </row>
    <row r="44" spans="1:20" x14ac:dyDescent="0.3">
      <c r="F44" s="5"/>
      <c r="G44" s="203"/>
      <c r="H44" s="203"/>
      <c r="I44" s="203"/>
      <c r="J44" s="203"/>
      <c r="K44" s="414"/>
      <c r="L44" s="203"/>
      <c r="M44" s="5"/>
    </row>
    <row r="45" spans="1:20" ht="16.2" thickBot="1" x14ac:dyDescent="0.35">
      <c r="F45" s="253" t="s">
        <v>57</v>
      </c>
      <c r="G45" s="204">
        <f>$G$41*G14</f>
        <v>47487.544282178846</v>
      </c>
      <c r="H45" s="204">
        <f>$G$41*I14</f>
        <v>4150.38</v>
      </c>
      <c r="I45" s="204">
        <f>$G$41*K14</f>
        <v>4150.38</v>
      </c>
      <c r="J45" s="204">
        <f>$G$41*M14</f>
        <v>4150.38</v>
      </c>
      <c r="K45" s="384">
        <f>$G$41*O14</f>
        <v>4150.38</v>
      </c>
      <c r="L45" s="380">
        <f>$G$41*Q14</f>
        <v>4150.38</v>
      </c>
      <c r="M45" s="5"/>
      <c r="P45" s="5"/>
      <c r="Q45" s="5"/>
    </row>
    <row r="46" spans="1:20" ht="16.2" thickBot="1" x14ac:dyDescent="0.35">
      <c r="A46" s="197" t="s">
        <v>543</v>
      </c>
      <c r="F46" s="331">
        <f>IF('Algemene kostprijsfactoren'!$F$12&lt;&gt;"",'Algemene kostprijsfactoren'!$F$12,'Algemene kostprijsfactoren'!$C$12)</f>
        <v>0.25800000000000001</v>
      </c>
      <c r="G46" s="252">
        <f>$F$46</f>
        <v>0.25800000000000001</v>
      </c>
      <c r="H46" s="205">
        <f t="shared" ref="H46:L46" si="0">$F$46</f>
        <v>0.25800000000000001</v>
      </c>
      <c r="I46" s="205">
        <f t="shared" si="0"/>
        <v>0.25800000000000001</v>
      </c>
      <c r="J46" s="205">
        <f t="shared" si="0"/>
        <v>0.25800000000000001</v>
      </c>
      <c r="K46" s="385">
        <f t="shared" si="0"/>
        <v>0.25800000000000001</v>
      </c>
      <c r="L46" s="252">
        <f t="shared" si="0"/>
        <v>0.25800000000000001</v>
      </c>
      <c r="M46" s="5"/>
      <c r="O46" s="209"/>
      <c r="P46" s="5"/>
      <c r="Q46" s="5"/>
    </row>
    <row r="47" spans="1:20" ht="16.2" thickBot="1" x14ac:dyDescent="0.35">
      <c r="A47" s="197" t="s">
        <v>544</v>
      </c>
      <c r="F47" s="332">
        <f>IF('Algemene kostprijsfactoren'!$F$13&lt;&gt;"",'Algemene kostprijsfactoren'!$F$13,'Algemene kostprijsfactoren'!$C$13)</f>
        <v>16655</v>
      </c>
      <c r="G47" s="310">
        <f>$F$47</f>
        <v>16655</v>
      </c>
      <c r="H47" s="311">
        <f t="shared" ref="H47:L47" si="1">$F$47</f>
        <v>16655</v>
      </c>
      <c r="I47" s="311">
        <f t="shared" si="1"/>
        <v>16655</v>
      </c>
      <c r="J47" s="311">
        <f t="shared" si="1"/>
        <v>16655</v>
      </c>
      <c r="K47" s="415">
        <f t="shared" si="1"/>
        <v>16655</v>
      </c>
      <c r="L47" s="310">
        <f t="shared" si="1"/>
        <v>16655</v>
      </c>
      <c r="M47"/>
      <c r="O47" s="209"/>
      <c r="P47" s="5"/>
      <c r="Q47" s="5"/>
    </row>
    <row r="48" spans="1:20" ht="16.2" thickBot="1" x14ac:dyDescent="0.35">
      <c r="A48" s="197" t="s">
        <v>12</v>
      </c>
      <c r="F48" s="254"/>
      <c r="G48" s="204">
        <f>(G45-G47)*G46</f>
        <v>7954.7964248021426</v>
      </c>
      <c r="H48" s="204">
        <f t="shared" ref="H48:K48" si="2">(H45-H47)*H46</f>
        <v>-3226.1919599999997</v>
      </c>
      <c r="I48" s="204">
        <f t="shared" si="2"/>
        <v>-3226.1919599999997</v>
      </c>
      <c r="J48" s="204">
        <f t="shared" si="2"/>
        <v>-3226.1919599999997</v>
      </c>
      <c r="K48" s="384">
        <f t="shared" si="2"/>
        <v>-3226.1919599999997</v>
      </c>
      <c r="L48" s="380">
        <f>(L45-L47)*L46</f>
        <v>-3226.1919599999997</v>
      </c>
      <c r="M48" s="5"/>
      <c r="P48" s="5"/>
      <c r="Q48" s="5"/>
    </row>
    <row r="49" spans="1:19" ht="16.8" thickTop="1" thickBot="1" x14ac:dyDescent="0.35">
      <c r="A49" s="198" t="s">
        <v>13</v>
      </c>
      <c r="F49" s="331">
        <f>IF('Algemene kostprijsfactoren'!$F$15&lt;&gt;"",'Algemene kostprijsfactoren'!$F$15,'Algemene kostprijsfactoren'!$C$15)</f>
        <v>0.5</v>
      </c>
      <c r="G49" s="206">
        <f>(G48/G45)*$F$49</f>
        <v>8.3756662352694272E-2</v>
      </c>
      <c r="H49" s="206">
        <f t="shared" ref="H49:L49" si="3">(H48/H45)*$F$49</f>
        <v>-0.38866223815650608</v>
      </c>
      <c r="I49" s="206">
        <f t="shared" si="3"/>
        <v>-0.38866223815650608</v>
      </c>
      <c r="J49" s="206">
        <f t="shared" si="3"/>
        <v>-0.38866223815650608</v>
      </c>
      <c r="K49" s="386">
        <f t="shared" si="3"/>
        <v>-0.38866223815650608</v>
      </c>
      <c r="L49" s="381">
        <f t="shared" si="3"/>
        <v>-0.38866223815650608</v>
      </c>
      <c r="M49" s="5"/>
      <c r="P49" s="5"/>
      <c r="Q49" s="5"/>
    </row>
    <row r="50" spans="1:19" ht="16.8" thickTop="1" thickBot="1" x14ac:dyDescent="0.35">
      <c r="A50" s="197" t="s">
        <v>545</v>
      </c>
      <c r="F50" s="331">
        <f>IF('Algemene kostprijsfactoren'!$F$16&lt;&gt;"",'Algemene kostprijsfactoren'!$F$16,'Algemene kostprijsfactoren'!$C$16)</f>
        <v>5.0000000000000001E-3</v>
      </c>
      <c r="G50" s="252">
        <f>$F$50</f>
        <v>5.0000000000000001E-3</v>
      </c>
      <c r="H50" s="205">
        <f t="shared" ref="H50:L50" si="4">$F$50</f>
        <v>5.0000000000000001E-3</v>
      </c>
      <c r="I50" s="205">
        <f t="shared" si="4"/>
        <v>5.0000000000000001E-3</v>
      </c>
      <c r="J50" s="205">
        <f t="shared" si="4"/>
        <v>5.0000000000000001E-3</v>
      </c>
      <c r="K50" s="385">
        <f t="shared" si="4"/>
        <v>5.0000000000000001E-3</v>
      </c>
      <c r="L50" s="252">
        <f t="shared" si="4"/>
        <v>5.0000000000000001E-3</v>
      </c>
      <c r="M50" s="5"/>
      <c r="O50" s="209"/>
      <c r="P50" s="5"/>
      <c r="Q50" s="5"/>
    </row>
    <row r="51" spans="1:19" ht="16.2" thickBot="1" x14ac:dyDescent="0.35">
      <c r="A51" s="197" t="s">
        <v>546</v>
      </c>
      <c r="F51" s="332">
        <f>IF('Algemene kostprijsfactoren'!$F$17&lt;&gt;"",'Algemene kostprijsfactoren'!$F$17,'Algemene kostprijsfactoren'!$C$17)</f>
        <v>28405</v>
      </c>
      <c r="G51" s="310">
        <f>$F51</f>
        <v>28405</v>
      </c>
      <c r="H51" s="311">
        <f t="shared" ref="H51:L51" si="5">$F51</f>
        <v>28405</v>
      </c>
      <c r="I51" s="311">
        <f t="shared" si="5"/>
        <v>28405</v>
      </c>
      <c r="J51" s="311">
        <f t="shared" si="5"/>
        <v>28405</v>
      </c>
      <c r="K51" s="415">
        <f t="shared" si="5"/>
        <v>28405</v>
      </c>
      <c r="L51" s="310">
        <f t="shared" si="5"/>
        <v>28405</v>
      </c>
      <c r="M51"/>
      <c r="O51" s="209"/>
      <c r="P51" s="5"/>
      <c r="Q51" s="5"/>
    </row>
    <row r="52" spans="1:19" ht="16.2" thickBot="1" x14ac:dyDescent="0.35">
      <c r="A52" s="199" t="s">
        <v>14</v>
      </c>
      <c r="F52" s="255"/>
      <c r="G52" s="207">
        <f>(G45-G51)*G50</f>
        <v>95.412721410894235</v>
      </c>
      <c r="H52" s="207">
        <f t="shared" ref="H52:L52" si="6">(H45-H51)*H50</f>
        <v>-121.2731</v>
      </c>
      <c r="I52" s="207">
        <f t="shared" si="6"/>
        <v>-121.2731</v>
      </c>
      <c r="J52" s="207">
        <f t="shared" si="6"/>
        <v>-121.2731</v>
      </c>
      <c r="K52" s="384">
        <f>(K45-K51)*K50</f>
        <v>-121.2731</v>
      </c>
      <c r="L52" s="382">
        <f t="shared" si="6"/>
        <v>-121.2731</v>
      </c>
      <c r="M52" s="5"/>
      <c r="P52" s="5"/>
      <c r="Q52" s="5"/>
    </row>
    <row r="53" spans="1:19" ht="16.8" thickTop="1" thickBot="1" x14ac:dyDescent="0.35">
      <c r="A53" s="198" t="s">
        <v>15</v>
      </c>
      <c r="F53" s="331">
        <f>IF('Algemene kostprijsfactoren'!$F$19&lt;&gt;"",'Algemene kostprijsfactoren'!$F$19,'Algemene kostprijsfactoren'!$C$19)</f>
        <v>0.5</v>
      </c>
      <c r="G53" s="206">
        <f>(G52/G45)*$F53</f>
        <v>1.0046078698441013E-3</v>
      </c>
      <c r="H53" s="206">
        <f t="shared" ref="H53:L53" si="7">(H52/H45)*$F53</f>
        <v>-1.460987909540813E-2</v>
      </c>
      <c r="I53" s="206">
        <f t="shared" si="7"/>
        <v>-1.460987909540813E-2</v>
      </c>
      <c r="J53" s="206">
        <f t="shared" si="7"/>
        <v>-1.460987909540813E-2</v>
      </c>
      <c r="K53" s="386">
        <f t="shared" si="7"/>
        <v>-1.460987909540813E-2</v>
      </c>
      <c r="L53" s="381">
        <f t="shared" si="7"/>
        <v>-1.460987909540813E-2</v>
      </c>
      <c r="M53" s="5"/>
    </row>
    <row r="54" spans="1:19" ht="16.2" thickTop="1" x14ac:dyDescent="0.3">
      <c r="F54" s="333" t="s">
        <v>58</v>
      </c>
      <c r="G54" s="208">
        <f>G53+G49</f>
        <v>8.4761270222538376E-2</v>
      </c>
      <c r="H54" s="208">
        <f t="shared" ref="H54:L54" si="8">H53+H49</f>
        <v>-0.4032721172519142</v>
      </c>
      <c r="I54" s="208">
        <f t="shared" si="8"/>
        <v>-0.4032721172519142</v>
      </c>
      <c r="J54" s="208">
        <f t="shared" si="8"/>
        <v>-0.4032721172519142</v>
      </c>
      <c r="K54" s="387">
        <f t="shared" si="8"/>
        <v>-0.4032721172519142</v>
      </c>
      <c r="L54" s="383">
        <f t="shared" si="8"/>
        <v>-0.4032721172519142</v>
      </c>
      <c r="M54" s="5"/>
    </row>
    <row r="56" spans="1:19" x14ac:dyDescent="0.3">
      <c r="A56" s="197" t="s">
        <v>16</v>
      </c>
      <c r="F56" s="330">
        <f>IF('Algemene kostprijsfactoren'!$F$22&lt;&gt;"",'Algemene kostprijsfactoren'!$F$22,'Algemene kostprijsfactoren'!$C$22)</f>
        <v>7.5800000000000006E-2</v>
      </c>
      <c r="G56" s="195"/>
      <c r="H56" s="209">
        <v>7.5800000000000006E-2</v>
      </c>
      <c r="I56" s="496" t="s">
        <v>537</v>
      </c>
      <c r="J56" s="497"/>
      <c r="K56" s="497"/>
      <c r="L56" s="497"/>
      <c r="M56" s="497"/>
      <c r="N56" s="497"/>
      <c r="O56" s="497"/>
      <c r="P56" s="497"/>
      <c r="Q56" s="497"/>
      <c r="R56" s="497"/>
      <c r="S56" s="498"/>
    </row>
    <row r="57" spans="1:19" x14ac:dyDescent="0.3">
      <c r="A57" s="197" t="s">
        <v>17</v>
      </c>
      <c r="F57" s="330">
        <f>IF('Algemene kostprijsfactoren'!$F$23&lt;&gt;"",'Algemene kostprijsfactoren'!$F$23,'Algemene kostprijsfactoren'!$C$23)</f>
        <v>3.49E-2</v>
      </c>
      <c r="G57" s="195"/>
      <c r="H57" s="499" t="s">
        <v>538</v>
      </c>
      <c r="I57" s="500"/>
      <c r="J57" s="500" t="s">
        <v>181</v>
      </c>
      <c r="K57" s="500"/>
      <c r="L57" s="500" t="s">
        <v>181</v>
      </c>
      <c r="M57" s="500"/>
      <c r="N57" s="500" t="s">
        <v>181</v>
      </c>
      <c r="O57" s="500"/>
      <c r="P57" s="500" t="s">
        <v>181</v>
      </c>
      <c r="Q57" s="500"/>
      <c r="R57" s="500" t="s">
        <v>181</v>
      </c>
      <c r="S57" s="501"/>
    </row>
    <row r="58" spans="1:19" x14ac:dyDescent="0.3">
      <c r="A58" s="197" t="s">
        <v>18</v>
      </c>
      <c r="F58" s="330">
        <f>IF('Algemene kostprijsfactoren'!$F$24&lt;&gt;"",'Algemene kostprijsfactoren'!$F$24,'Algemene kostprijsfactoren'!$C$24)</f>
        <v>6.5100000000000005E-2</v>
      </c>
      <c r="G58" s="195"/>
      <c r="H58" s="209">
        <v>6.5100000000000005E-2</v>
      </c>
      <c r="I58" s="496" t="s">
        <v>539</v>
      </c>
      <c r="J58" s="497"/>
      <c r="K58" s="497"/>
      <c r="L58" s="497"/>
      <c r="M58" s="497"/>
      <c r="N58" s="497"/>
      <c r="O58" s="497"/>
      <c r="P58" s="497"/>
      <c r="Q58" s="497"/>
      <c r="R58" s="497"/>
      <c r="S58" s="498"/>
    </row>
    <row r="59" spans="1:19" x14ac:dyDescent="0.3">
      <c r="A59" s="197" t="s">
        <v>19</v>
      </c>
      <c r="F59" s="330">
        <f>IF('Algemene kostprijsfactoren'!$F$25&lt;&gt;"",'Algemene kostprijsfactoren'!$F$25,'Algemene kostprijsfactoren'!$C$25)</f>
        <v>1.3299999999999999E-2</v>
      </c>
      <c r="G59" s="195"/>
      <c r="H59" s="496" t="s">
        <v>226</v>
      </c>
      <c r="I59" s="497"/>
      <c r="J59" s="497"/>
      <c r="K59" s="497"/>
      <c r="L59" s="497"/>
      <c r="M59" s="497"/>
      <c r="N59" s="497"/>
      <c r="O59" s="497"/>
      <c r="P59" s="497"/>
      <c r="Q59" s="497"/>
      <c r="R59" s="497"/>
      <c r="S59" s="498"/>
    </row>
    <row r="60" spans="1:19" ht="16.2" thickBot="1" x14ac:dyDescent="0.35">
      <c r="A60" s="199" t="s">
        <v>21</v>
      </c>
      <c r="F60" s="330">
        <f>IF('Algemene kostprijsfactoren'!$F$26&lt;&gt;"",'Algemene kostprijsfactoren'!$F$26,'Algemene kostprijsfactoren'!$C$26)</f>
        <v>3.5000000000000001E-3</v>
      </c>
      <c r="G60" s="195"/>
      <c r="H60" s="496" t="s">
        <v>22</v>
      </c>
      <c r="I60" s="497"/>
      <c r="J60" s="497"/>
      <c r="K60" s="497"/>
      <c r="L60" s="497"/>
      <c r="M60" s="497"/>
      <c r="N60" s="497"/>
      <c r="O60" s="497"/>
      <c r="P60" s="497"/>
      <c r="Q60" s="497"/>
      <c r="R60" s="497"/>
      <c r="S60" s="498"/>
    </row>
    <row r="61" spans="1:19" ht="16.2" thickTop="1" x14ac:dyDescent="0.3">
      <c r="A61" s="200" t="s">
        <v>23</v>
      </c>
      <c r="F61" s="328">
        <f>SUM(F56:F60)</f>
        <v>0.19260000000000002</v>
      </c>
      <c r="G61" s="195"/>
      <c r="H61" s="196"/>
      <c r="I61" s="196"/>
    </row>
    <row r="63" spans="1:19" x14ac:dyDescent="0.3">
      <c r="F63" s="6" t="s">
        <v>59</v>
      </c>
      <c r="G63" s="6" t="s">
        <v>60</v>
      </c>
      <c r="H63" s="6" t="s">
        <v>61</v>
      </c>
    </row>
    <row r="64" spans="1:19" ht="16.2" thickBot="1" x14ac:dyDescent="0.35">
      <c r="A64" s="215" t="s">
        <v>62</v>
      </c>
      <c r="F64" s="218"/>
      <c r="G64" s="219">
        <v>1878</v>
      </c>
      <c r="H64" s="220"/>
      <c r="I64" s="211"/>
      <c r="J64" s="514" t="s">
        <v>222</v>
      </c>
      <c r="K64" s="515"/>
      <c r="L64" s="515"/>
      <c r="M64" s="515"/>
      <c r="N64" s="515"/>
      <c r="O64" s="515"/>
      <c r="P64" s="515"/>
      <c r="Q64" s="515"/>
      <c r="R64" s="515"/>
      <c r="S64" s="516"/>
    </row>
    <row r="65" spans="1:19" ht="16.2" thickTop="1" x14ac:dyDescent="0.3">
      <c r="A65" s="197" t="s">
        <v>11</v>
      </c>
      <c r="F65" s="419" t="s">
        <v>31</v>
      </c>
      <c r="G65" s="221">
        <v>150.42780000000002</v>
      </c>
      <c r="H65" s="329">
        <v>8.0100000000000005E-2</v>
      </c>
      <c r="I65" s="211"/>
      <c r="J65" s="514" t="s">
        <v>221</v>
      </c>
      <c r="K65" s="515"/>
      <c r="L65" s="515"/>
      <c r="M65" s="515"/>
      <c r="N65" s="515"/>
      <c r="O65" s="515"/>
      <c r="P65" s="515"/>
      <c r="Q65" s="515"/>
      <c r="R65" s="515"/>
      <c r="S65" s="516"/>
    </row>
    <row r="66" spans="1:19" x14ac:dyDescent="0.3">
      <c r="A66" s="197" t="s">
        <v>64</v>
      </c>
      <c r="F66" s="419" t="s">
        <v>31</v>
      </c>
      <c r="G66" s="420">
        <v>237.4</v>
      </c>
      <c r="H66" s="222"/>
      <c r="I66" s="211"/>
      <c r="J66" s="514" t="s">
        <v>65</v>
      </c>
      <c r="K66" s="515"/>
      <c r="L66" s="515"/>
      <c r="M66" s="515"/>
      <c r="N66" s="515"/>
      <c r="O66" s="515"/>
      <c r="P66" s="515"/>
      <c r="Q66" s="515"/>
      <c r="R66" s="515"/>
      <c r="S66" s="516"/>
    </row>
    <row r="67" spans="1:19" x14ac:dyDescent="0.3">
      <c r="A67" s="197" t="s">
        <v>66</v>
      </c>
      <c r="F67" s="419" t="s">
        <v>31</v>
      </c>
      <c r="G67" s="221">
        <v>37.56</v>
      </c>
      <c r="H67" s="421">
        <v>0.02</v>
      </c>
      <c r="I67" s="211"/>
      <c r="J67" s="514" t="s">
        <v>78</v>
      </c>
      <c r="K67" s="515"/>
      <c r="L67" s="515"/>
      <c r="M67" s="515"/>
      <c r="N67" s="515"/>
      <c r="O67" s="515"/>
      <c r="P67" s="515"/>
      <c r="Q67" s="515"/>
      <c r="R67" s="515"/>
      <c r="S67" s="516"/>
    </row>
    <row r="68" spans="1:19" x14ac:dyDescent="0.3">
      <c r="A68" s="197" t="s">
        <v>218</v>
      </c>
      <c r="F68" s="419" t="s">
        <v>137</v>
      </c>
      <c r="G68" s="221">
        <v>0</v>
      </c>
      <c r="H68" s="423"/>
      <c r="I68" s="211"/>
      <c r="J68" s="514" t="s">
        <v>506</v>
      </c>
      <c r="K68" s="515"/>
      <c r="L68" s="515"/>
      <c r="M68" s="515"/>
      <c r="N68" s="515"/>
      <c r="O68" s="515"/>
      <c r="P68" s="515"/>
      <c r="Q68" s="515"/>
      <c r="R68" s="515"/>
      <c r="S68" s="516"/>
    </row>
    <row r="69" spans="1:19" x14ac:dyDescent="0.3">
      <c r="A69" s="197" t="s">
        <v>215</v>
      </c>
      <c r="F69" s="419" t="s">
        <v>31</v>
      </c>
      <c r="G69" s="221">
        <v>65.73</v>
      </c>
      <c r="H69" s="421">
        <v>3.5000000000000003E-2</v>
      </c>
      <c r="I69" s="211"/>
      <c r="J69" s="514" t="s">
        <v>505</v>
      </c>
      <c r="K69" s="515"/>
      <c r="L69" s="515"/>
      <c r="M69" s="515"/>
      <c r="N69" s="515"/>
      <c r="O69" s="515"/>
      <c r="P69" s="515"/>
      <c r="Q69" s="515"/>
      <c r="R69" s="515"/>
      <c r="S69" s="516"/>
    </row>
    <row r="70" spans="1:19" ht="16.2" thickBot="1" x14ac:dyDescent="0.35">
      <c r="A70" s="197" t="s">
        <v>67</v>
      </c>
      <c r="F70" s="419" t="s">
        <v>137</v>
      </c>
      <c r="G70" s="342">
        <v>0</v>
      </c>
      <c r="H70" s="396"/>
      <c r="I70" s="211"/>
      <c r="J70" s="514" t="s">
        <v>507</v>
      </c>
      <c r="K70" s="515"/>
      <c r="L70" s="515"/>
      <c r="M70" s="515"/>
      <c r="N70" s="515"/>
      <c r="O70" s="515"/>
      <c r="P70" s="515"/>
      <c r="Q70" s="515"/>
      <c r="R70" s="515"/>
      <c r="S70" s="516"/>
    </row>
    <row r="71" spans="1:19" ht="16.2" thickTop="1" x14ac:dyDescent="0.3">
      <c r="A71" s="231" t="s">
        <v>68</v>
      </c>
      <c r="F71" s="223"/>
      <c r="G71" s="314">
        <f>G64-SUMIFS(G65:G70,F65:F70,"Ja")</f>
        <v>1386.8822</v>
      </c>
      <c r="H71" s="224"/>
      <c r="I71" s="212"/>
      <c r="J71" s="213"/>
    </row>
    <row r="72" spans="1:19" x14ac:dyDescent="0.3">
      <c r="A72" s="214"/>
      <c r="F72" s="225"/>
      <c r="G72" s="226"/>
      <c r="H72" s="226"/>
      <c r="I72" s="213"/>
      <c r="J72" s="213"/>
    </row>
    <row r="73" spans="1:19" x14ac:dyDescent="0.3">
      <c r="A73" s="216" t="s">
        <v>69</v>
      </c>
      <c r="F73" s="217"/>
      <c r="G73" s="481">
        <f>G71/G64</f>
        <v>0.73848892438764646</v>
      </c>
      <c r="H73" s="482"/>
      <c r="I73" s="213"/>
      <c r="J73" s="213"/>
    </row>
    <row r="76" spans="1:19" x14ac:dyDescent="0.3">
      <c r="A76" s="5" t="s">
        <v>70</v>
      </c>
    </row>
    <row r="77" spans="1:19" x14ac:dyDescent="0.3">
      <c r="A77" s="505"/>
      <c r="B77" s="506"/>
      <c r="C77" s="506"/>
      <c r="D77" s="506"/>
      <c r="E77" s="506"/>
      <c r="F77" s="506"/>
      <c r="G77" s="506"/>
      <c r="H77" s="506"/>
      <c r="I77" s="506"/>
      <c r="J77" s="506"/>
      <c r="K77" s="506"/>
      <c r="L77" s="506"/>
      <c r="M77" s="506"/>
      <c r="N77" s="506"/>
      <c r="O77" s="506"/>
      <c r="P77" s="506"/>
      <c r="Q77" s="506"/>
      <c r="R77" s="506"/>
      <c r="S77" s="507"/>
    </row>
    <row r="78" spans="1:19" x14ac:dyDescent="0.3">
      <c r="A78" s="508"/>
      <c r="B78" s="509"/>
      <c r="C78" s="509"/>
      <c r="D78" s="509"/>
      <c r="E78" s="509"/>
      <c r="F78" s="509"/>
      <c r="G78" s="509"/>
      <c r="H78" s="509"/>
      <c r="I78" s="509"/>
      <c r="J78" s="509"/>
      <c r="K78" s="509"/>
      <c r="L78" s="509"/>
      <c r="M78" s="509"/>
      <c r="N78" s="509"/>
      <c r="O78" s="509"/>
      <c r="P78" s="509"/>
      <c r="Q78" s="509"/>
      <c r="R78" s="509"/>
      <c r="S78" s="510"/>
    </row>
    <row r="79" spans="1:19" x14ac:dyDescent="0.3">
      <c r="A79" s="508"/>
      <c r="B79" s="509"/>
      <c r="C79" s="509"/>
      <c r="D79" s="509"/>
      <c r="E79" s="509"/>
      <c r="F79" s="509"/>
      <c r="G79" s="509"/>
      <c r="H79" s="509"/>
      <c r="I79" s="509"/>
      <c r="J79" s="509"/>
      <c r="K79" s="509"/>
      <c r="L79" s="509"/>
      <c r="M79" s="509"/>
      <c r="N79" s="509"/>
      <c r="O79" s="509"/>
      <c r="P79" s="509"/>
      <c r="Q79" s="509"/>
      <c r="R79" s="509"/>
      <c r="S79" s="510"/>
    </row>
    <row r="80" spans="1:19" x14ac:dyDescent="0.3">
      <c r="A80" s="508"/>
      <c r="B80" s="509"/>
      <c r="C80" s="509"/>
      <c r="D80" s="509"/>
      <c r="E80" s="509"/>
      <c r="F80" s="509"/>
      <c r="G80" s="509"/>
      <c r="H80" s="509"/>
      <c r="I80" s="509"/>
      <c r="J80" s="509"/>
      <c r="K80" s="509"/>
      <c r="L80" s="509"/>
      <c r="M80" s="509"/>
      <c r="N80" s="509"/>
      <c r="O80" s="509"/>
      <c r="P80" s="509"/>
      <c r="Q80" s="509"/>
      <c r="R80" s="509"/>
      <c r="S80" s="510"/>
    </row>
    <row r="81" spans="1:19" x14ac:dyDescent="0.3">
      <c r="A81" s="508"/>
      <c r="B81" s="509"/>
      <c r="C81" s="509"/>
      <c r="D81" s="509"/>
      <c r="E81" s="509"/>
      <c r="F81" s="509"/>
      <c r="G81" s="509"/>
      <c r="H81" s="509"/>
      <c r="I81" s="509"/>
      <c r="J81" s="509"/>
      <c r="K81" s="509"/>
      <c r="L81" s="509"/>
      <c r="M81" s="509"/>
      <c r="N81" s="509"/>
      <c r="O81" s="509"/>
      <c r="P81" s="509"/>
      <c r="Q81" s="509"/>
      <c r="R81" s="509"/>
      <c r="S81" s="510"/>
    </row>
    <row r="82" spans="1:19" x14ac:dyDescent="0.3">
      <c r="A82" s="511"/>
      <c r="B82" s="512"/>
      <c r="C82" s="512"/>
      <c r="D82" s="512"/>
      <c r="E82" s="512"/>
      <c r="F82" s="512"/>
      <c r="G82" s="512"/>
      <c r="H82" s="512"/>
      <c r="I82" s="512"/>
      <c r="J82" s="512"/>
      <c r="K82" s="512"/>
      <c r="L82" s="512"/>
      <c r="M82" s="512"/>
      <c r="N82" s="512"/>
      <c r="O82" s="512"/>
      <c r="P82" s="512"/>
      <c r="Q82" s="512"/>
      <c r="R82" s="512"/>
      <c r="S82" s="513"/>
    </row>
  </sheetData>
  <sheetProtection algorithmName="SHA-512" hashValue="PG5Tu9y+lWhhjABOFVKn9y8V8XmD4LR4WJg7Sd7lwvJazf/xkCuKN4wInwHJxEpkcjPobqRLNnP8ieEkXJ8VHw==" saltValue="fH8FacJcvrAF3cW/3ZDG/A==" spinCount="100000" sheet="1"/>
  <protectedRanges>
    <protectedRange algorithmName="SHA-512" hashValue="zrr1YC170iD4z5ngO6i+dvye2WxwMuZwyCItKXOM0Fb0EC895yDhie8vErJXeoL6fSMcx6aoO1sn5XcoWfI8lg==" saltValue="T/jZUAo6mJPMXMKTIHv+sw==" spinCount="100000" sqref="H65 F65:F70 H67:H70" name="Inputcellen_3"/>
  </protectedRanges>
  <mergeCells count="33">
    <mergeCell ref="F4:M4"/>
    <mergeCell ref="F6:G6"/>
    <mergeCell ref="H6:I6"/>
    <mergeCell ref="J6:K6"/>
    <mergeCell ref="L6:M6"/>
    <mergeCell ref="P33:Q33"/>
    <mergeCell ref="P6:Q6"/>
    <mergeCell ref="F7:G7"/>
    <mergeCell ref="H7:I7"/>
    <mergeCell ref="J7:K7"/>
    <mergeCell ref="L7:M7"/>
    <mergeCell ref="N7:O7"/>
    <mergeCell ref="P7:Q7"/>
    <mergeCell ref="N6:O6"/>
    <mergeCell ref="F33:G33"/>
    <mergeCell ref="H33:I33"/>
    <mergeCell ref="J33:K33"/>
    <mergeCell ref="L33:M33"/>
    <mergeCell ref="N33:O33"/>
    <mergeCell ref="G73:H73"/>
    <mergeCell ref="A77:S82"/>
    <mergeCell ref="I56:S56"/>
    <mergeCell ref="H57:S57"/>
    <mergeCell ref="I58:S58"/>
    <mergeCell ref="H59:S59"/>
    <mergeCell ref="H60:S60"/>
    <mergeCell ref="J64:S64"/>
    <mergeCell ref="J65:S65"/>
    <mergeCell ref="J66:S66"/>
    <mergeCell ref="J67:S67"/>
    <mergeCell ref="J68:S68"/>
    <mergeCell ref="J69:S69"/>
    <mergeCell ref="J70:S70"/>
  </mergeCells>
  <conditionalFormatting sqref="F46:F47 F53 F56:F60">
    <cfRule type="expression" dxfId="29" priority="4">
      <formula>$C$79="Opslag"</formula>
    </cfRule>
  </conditionalFormatting>
  <conditionalFormatting sqref="F49:F51">
    <cfRule type="expression" dxfId="28" priority="5">
      <formula>$C$79="Opslag"</formula>
    </cfRule>
  </conditionalFormatting>
  <conditionalFormatting sqref="F61">
    <cfRule type="expression" dxfId="27" priority="8">
      <formula>$C$78="Opslag"</formula>
    </cfRule>
  </conditionalFormatting>
  <conditionalFormatting sqref="T33">
    <cfRule type="expression" dxfId="26" priority="6">
      <formula>$T$33=1</formula>
    </cfRule>
    <cfRule type="expression" dxfId="25" priority="7">
      <formula>$T$33&lt;&gt;1</formula>
    </cfRule>
  </conditionalFormatting>
  <dataValidations count="1">
    <dataValidation errorStyle="information" allowBlank="1" showInputMessage="1" showErrorMessage="1" errorTitle="Verplicht veld" error="Vul hier de gemiddelde inschaling in voor de desbetreffende functie." sqref="F8 H8 J8 P8" xr:uid="{0CC8E4C4-5ED6-418D-A152-C23DC28B331C}"/>
  </dataValidations>
  <pageMargins left="0.7" right="0.7" top="0.75" bottom="0.75" header="0.3" footer="0.3"/>
  <pageSetup paperSize="9" scale="44"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8FAC9-5749-4FBE-8C81-36DDA1DC08F2}">
  <sheetPr codeName="Sheet18">
    <tabColor rgb="FF0070C0"/>
    <pageSetUpPr fitToPage="1"/>
  </sheetPr>
  <dimension ref="A2:U82"/>
  <sheetViews>
    <sheetView zoomScale="80" zoomScaleNormal="80" workbookViewId="0">
      <pane ySplit="4" topLeftCell="A33" activePane="bottomLeft" state="frozen"/>
      <selection activeCell="A77" sqref="A77:S82"/>
      <selection pane="bottomLeft" activeCell="G39" sqref="A1:XFD1048576"/>
    </sheetView>
  </sheetViews>
  <sheetFormatPr defaultColWidth="10.5" defaultRowHeight="15.6" x14ac:dyDescent="0.3"/>
  <cols>
    <col min="1" max="1" width="74.796875" style="5" bestFit="1" customWidth="1"/>
    <col min="2" max="2" width="0.5" style="6" hidden="1" customWidth="1"/>
    <col min="3" max="3" width="14" style="6" hidden="1" customWidth="1"/>
    <col min="4"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hidden="1" customWidth="1"/>
    <col min="13" max="13" width="13.09765625" style="6" hidden="1" customWidth="1"/>
    <col min="14" max="14" width="13.59765625" style="6" hidden="1" customWidth="1"/>
    <col min="15" max="15" width="14.8984375" style="6" hidden="1" customWidth="1"/>
    <col min="16" max="16" width="13.5" style="6" customWidth="1"/>
    <col min="17" max="17" width="13" style="6" customWidth="1"/>
    <col min="18" max="18" width="1.3984375" style="5" customWidth="1"/>
    <col min="19" max="19" width="45.8984375" style="5" customWidth="1"/>
    <col min="20" max="20" width="31.3984375" style="5" bestFit="1"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s="18" customFormat="1" ht="21" x14ac:dyDescent="0.35">
      <c r="A4" s="523" t="s">
        <v>536</v>
      </c>
      <c r="B4" s="523"/>
      <c r="C4" s="523"/>
      <c r="D4" s="523"/>
      <c r="E4" s="523"/>
      <c r="F4" s="523"/>
      <c r="G4" s="523"/>
      <c r="H4" s="523"/>
      <c r="I4" s="523"/>
      <c r="J4" s="523"/>
      <c r="K4" s="523"/>
      <c r="L4" s="523"/>
      <c r="M4" s="523"/>
      <c r="N4" s="398"/>
      <c r="O4" s="399"/>
      <c r="P4" s="399"/>
      <c r="Q4" s="399"/>
      <c r="R4" s="39"/>
    </row>
    <row r="5" spans="1:21" ht="16.2" thickBot="1" x14ac:dyDescent="0.35">
      <c r="A5" s="106"/>
      <c r="B5" s="107"/>
      <c r="C5" s="107"/>
      <c r="D5" s="107"/>
      <c r="E5" s="107"/>
      <c r="F5" s="139"/>
      <c r="G5" s="319"/>
      <c r="H5" s="132"/>
      <c r="I5" s="132"/>
      <c r="J5" s="132"/>
      <c r="K5" s="132"/>
      <c r="L5" s="132"/>
      <c r="M5" s="132"/>
      <c r="N5" s="132"/>
      <c r="O5" s="132"/>
      <c r="P5" s="132"/>
      <c r="Q5" s="132"/>
      <c r="R5" s="83"/>
    </row>
    <row r="6" spans="1:21" ht="24.9" customHeight="1" thickBot="1" x14ac:dyDescent="0.35">
      <c r="A6" s="95" t="s">
        <v>28</v>
      </c>
      <c r="B6" s="88"/>
      <c r="C6" s="86" t="s">
        <v>29</v>
      </c>
      <c r="D6" s="88"/>
      <c r="E6" s="88"/>
      <c r="F6" s="492" t="str">
        <f>IF('Algemene kostprijsfactoren'!E4="",'Algemene kostprijsfactoren'!C4,'Algemene kostprijsfactoren'!E4)</f>
        <v>Cao_GGZ</v>
      </c>
      <c r="G6" s="493"/>
      <c r="H6" s="492" t="str">
        <f>F6</f>
        <v>Cao_GGZ</v>
      </c>
      <c r="I6" s="493"/>
      <c r="J6" s="492" t="str">
        <f>F6</f>
        <v>Cao_GGZ</v>
      </c>
      <c r="K6" s="493"/>
      <c r="L6" s="492" t="str">
        <f>F6</f>
        <v>Cao_GGZ</v>
      </c>
      <c r="M6" s="493"/>
      <c r="N6" s="492" t="str">
        <f>F6</f>
        <v>Cao_GGZ</v>
      </c>
      <c r="O6" s="493"/>
      <c r="P6" s="492" t="str">
        <f>F6</f>
        <v>Cao_GGZ</v>
      </c>
      <c r="Q6" s="493"/>
      <c r="R6" s="89"/>
      <c r="T6" s="133"/>
    </row>
    <row r="7" spans="1:21" ht="24.9" customHeight="1" thickBot="1" x14ac:dyDescent="0.35">
      <c r="A7" s="90" t="s">
        <v>219</v>
      </c>
      <c r="B7" s="88"/>
      <c r="C7" s="86"/>
      <c r="D7" s="88"/>
      <c r="E7" s="88"/>
      <c r="F7" s="519" t="s">
        <v>518</v>
      </c>
      <c r="G7" s="520"/>
      <c r="H7" s="519" t="s">
        <v>519</v>
      </c>
      <c r="I7" s="520"/>
      <c r="J7" s="519" t="s">
        <v>520</v>
      </c>
      <c r="K7" s="520"/>
      <c r="L7" s="519"/>
      <c r="M7" s="520"/>
      <c r="N7" s="519"/>
      <c r="O7" s="520"/>
      <c r="P7" s="519" t="s">
        <v>220</v>
      </c>
      <c r="Q7" s="520"/>
      <c r="R7" s="89"/>
      <c r="U7"/>
    </row>
    <row r="8" spans="1:21" ht="15.9" customHeight="1" thickBot="1" x14ac:dyDescent="0.35">
      <c r="A8" s="97" t="s">
        <v>230</v>
      </c>
      <c r="B8" s="156"/>
      <c r="C8" s="99"/>
      <c r="D8" s="156"/>
      <c r="E8" s="156"/>
      <c r="F8" s="401" t="s">
        <v>231</v>
      </c>
      <c r="G8" s="402">
        <v>3558.0047023593756</v>
      </c>
      <c r="H8" s="401" t="s">
        <v>231</v>
      </c>
      <c r="I8" s="402"/>
      <c r="J8" s="401" t="s">
        <v>231</v>
      </c>
      <c r="K8" s="402"/>
      <c r="L8" s="401" t="s">
        <v>210</v>
      </c>
      <c r="M8" s="402"/>
      <c r="N8" s="401" t="s">
        <v>210</v>
      </c>
      <c r="O8" s="402"/>
      <c r="P8" s="401" t="s">
        <v>231</v>
      </c>
      <c r="Q8" s="402"/>
      <c r="R8" s="82"/>
      <c r="S8" s="325"/>
      <c r="T8" s="133"/>
    </row>
    <row r="9" spans="1:21" ht="15.9" customHeight="1" x14ac:dyDescent="0.3">
      <c r="A9" s="97" t="s">
        <v>71</v>
      </c>
      <c r="B9" s="156"/>
      <c r="C9" s="99"/>
      <c r="D9" s="156"/>
      <c r="E9" s="156"/>
      <c r="F9" s="158"/>
      <c r="G9" s="160">
        <f>G8/156.5</f>
        <v>22.734854328174926</v>
      </c>
      <c r="H9" s="158"/>
      <c r="I9" s="160">
        <f>I8/156.5</f>
        <v>0</v>
      </c>
      <c r="J9" s="158"/>
      <c r="K9" s="160">
        <f>K8/156.5</f>
        <v>0</v>
      </c>
      <c r="L9" s="158"/>
      <c r="M9" s="160">
        <f>M8/156.5</f>
        <v>0</v>
      </c>
      <c r="N9" s="158"/>
      <c r="O9" s="160">
        <f>O8/156.5</f>
        <v>0</v>
      </c>
      <c r="P9" s="158"/>
      <c r="Q9" s="160">
        <f>Q8/156.5</f>
        <v>0</v>
      </c>
      <c r="R9" s="82"/>
      <c r="S9" s="133"/>
      <c r="T9" s="133"/>
    </row>
    <row r="10" spans="1:21" ht="15.9" customHeight="1" x14ac:dyDescent="0.3">
      <c r="A10" s="94" t="s">
        <v>4</v>
      </c>
      <c r="B10" s="156"/>
      <c r="C10" s="99" t="s">
        <v>31</v>
      </c>
      <c r="D10" s="156"/>
      <c r="E10" s="156"/>
      <c r="F10" s="158">
        <f>IF(F6&lt;&gt;"",'Algemene kostprijsfactoren'!$C$5,"")</f>
        <v>8.0750000000000002E-2</v>
      </c>
      <c r="G10" s="157">
        <f>MAX(1.07,F10*G9)</f>
        <v>1.8358394870001253</v>
      </c>
      <c r="H10" s="158">
        <f>IF(H6&lt;&gt;"",'Algemene kostprijsfactoren'!$C$5,"")</f>
        <v>8.0750000000000002E-2</v>
      </c>
      <c r="I10" s="157">
        <f>MAX(1.07,H10*I9)</f>
        <v>1.07</v>
      </c>
      <c r="J10" s="158">
        <f>IF(J6&lt;&gt;"",'Algemene kostprijsfactoren'!$C$5,"")</f>
        <v>8.0750000000000002E-2</v>
      </c>
      <c r="K10" s="157">
        <f>MAX(1.07,J10*K9)</f>
        <v>1.07</v>
      </c>
      <c r="L10" s="158">
        <f>IF(L6&lt;&gt;"",8%,"")</f>
        <v>0.08</v>
      </c>
      <c r="M10" s="157">
        <f>MAX(1.07,L10*M9)</f>
        <v>1.07</v>
      </c>
      <c r="N10" s="158">
        <f>IF(N6&lt;&gt;"",8%,"")</f>
        <v>0.08</v>
      </c>
      <c r="O10" s="157">
        <f>MAX(1.07,N10*O9)</f>
        <v>1.07</v>
      </c>
      <c r="P10" s="158">
        <f>IF(P6&lt;&gt;"",'Algemene kostprijsfactoren'!$C$5,"")</f>
        <v>8.0750000000000002E-2</v>
      </c>
      <c r="Q10" s="157">
        <f>MAX(1.07,P10*Q9)</f>
        <v>1.07</v>
      </c>
      <c r="R10" s="83"/>
      <c r="S10" s="134"/>
      <c r="T10" s="134"/>
    </row>
    <row r="11" spans="1:21" ht="15.9" customHeight="1" x14ac:dyDescent="0.3">
      <c r="A11" s="111" t="s">
        <v>32</v>
      </c>
      <c r="B11" s="156"/>
      <c r="C11" s="99"/>
      <c r="D11" s="156"/>
      <c r="E11" s="156"/>
      <c r="F11" s="158"/>
      <c r="G11" s="160">
        <f>G9+G10</f>
        <v>24.570693815175051</v>
      </c>
      <c r="H11" s="158"/>
      <c r="I11" s="160">
        <f>I9+I10</f>
        <v>1.07</v>
      </c>
      <c r="J11" s="158"/>
      <c r="K11" s="160">
        <f>K9+K10</f>
        <v>1.07</v>
      </c>
      <c r="L11" s="158"/>
      <c r="M11" s="160">
        <f>M9+M10</f>
        <v>1.07</v>
      </c>
      <c r="N11" s="158"/>
      <c r="O11" s="160">
        <f>O9+O10</f>
        <v>1.07</v>
      </c>
      <c r="P11" s="158"/>
      <c r="Q11" s="160">
        <f>Q9+Q10</f>
        <v>1.07</v>
      </c>
      <c r="R11" s="83"/>
      <c r="S11" s="134"/>
      <c r="T11" s="134"/>
    </row>
    <row r="12" spans="1:21" ht="15.9" customHeight="1" x14ac:dyDescent="0.3">
      <c r="A12" s="94" t="s">
        <v>33</v>
      </c>
      <c r="B12" s="156"/>
      <c r="C12" s="99" t="s">
        <v>31</v>
      </c>
      <c r="D12" s="156"/>
      <c r="E12" s="156"/>
      <c r="F12" s="379">
        <f>IF(F6&lt;&gt;"",'Algemene kostprijsfactoren'!$C$6,"")</f>
        <v>8.3299999999999999E-2</v>
      </c>
      <c r="G12" s="159">
        <f>MAX(1.14,F12*G9)</f>
        <v>1.8938133655369713</v>
      </c>
      <c r="H12" s="379">
        <f>IF(H6&lt;&gt;"",'Algemene kostprijsfactoren'!$C$6,"")</f>
        <v>8.3299999999999999E-2</v>
      </c>
      <c r="I12" s="159">
        <f>MAX(1.14,H12*I9)</f>
        <v>1.1399999999999999</v>
      </c>
      <c r="J12" s="379">
        <f>IF(J6&lt;&gt;"",'Algemene kostprijsfactoren'!$C$6,"")</f>
        <v>8.3299999999999999E-2</v>
      </c>
      <c r="K12" s="159">
        <f>MAX(1.14,J12*K9)</f>
        <v>1.1399999999999999</v>
      </c>
      <c r="L12" s="379">
        <f>VLOOKUP(L$6,Toelichting!$A$28:$B$31,2,TRUE)</f>
        <v>8.3299999999999999E-2</v>
      </c>
      <c r="M12" s="159">
        <f>MAX(1.14,L12*M9)</f>
        <v>1.1399999999999999</v>
      </c>
      <c r="N12" s="379">
        <f>VLOOKUP(N$6,Toelichting!$A$28:$B$31,2,TRUE)</f>
        <v>8.3299999999999999E-2</v>
      </c>
      <c r="O12" s="159">
        <f>MAX(1.14,N12*O9)</f>
        <v>1.1399999999999999</v>
      </c>
      <c r="P12" s="379">
        <f>IF(P6&lt;&gt;"",'Algemene kostprijsfactoren'!$C$6,"")</f>
        <v>8.3299999999999999E-2</v>
      </c>
      <c r="Q12" s="159">
        <f>MAX(1.14,P12*Q9)</f>
        <v>1.1399999999999999</v>
      </c>
      <c r="R12" s="83"/>
      <c r="S12" s="134"/>
      <c r="T12" s="134"/>
    </row>
    <row r="13" spans="1:21" ht="16.2" hidden="1" thickBot="1" x14ac:dyDescent="0.35">
      <c r="A13" s="97" t="s">
        <v>216</v>
      </c>
      <c r="B13" s="156"/>
      <c r="C13" s="99"/>
      <c r="D13" s="156"/>
      <c r="E13" s="156"/>
      <c r="F13" s="403"/>
      <c r="G13" s="378">
        <f>F13*G9</f>
        <v>0</v>
      </c>
      <c r="H13" s="403"/>
      <c r="I13" s="378">
        <f>H13*I9</f>
        <v>0</v>
      </c>
      <c r="J13" s="403">
        <v>0</v>
      </c>
      <c r="K13" s="378">
        <f>J13*K9</f>
        <v>0</v>
      </c>
      <c r="L13" s="403">
        <v>0</v>
      </c>
      <c r="M13" s="378">
        <f>L13*M9</f>
        <v>0</v>
      </c>
      <c r="N13" s="403">
        <v>0</v>
      </c>
      <c r="O13" s="378">
        <f>N13*O9</f>
        <v>0</v>
      </c>
      <c r="P13" s="403">
        <v>0</v>
      </c>
      <c r="Q13" s="320">
        <f>P13*Q9</f>
        <v>0</v>
      </c>
      <c r="R13" s="82"/>
    </row>
    <row r="14" spans="1:21" x14ac:dyDescent="0.3">
      <c r="A14" s="108" t="s">
        <v>35</v>
      </c>
      <c r="B14" s="126"/>
      <c r="C14" s="98"/>
      <c r="D14" s="126"/>
      <c r="E14" s="135">
        <f>SUM(E$10:E$12)</f>
        <v>0</v>
      </c>
      <c r="F14" s="321"/>
      <c r="G14" s="272">
        <f>SUM(G$11:G$13)</f>
        <v>26.464507180712022</v>
      </c>
      <c r="H14" s="404"/>
      <c r="I14" s="272">
        <f>SUM(I$11:I$13)</f>
        <v>2.21</v>
      </c>
      <c r="J14" s="404"/>
      <c r="K14" s="272">
        <f>SUM(K$11:K$13)</f>
        <v>2.21</v>
      </c>
      <c r="L14" s="405"/>
      <c r="M14" s="272">
        <f>SUM(M$11:M$13)</f>
        <v>2.21</v>
      </c>
      <c r="N14" s="406"/>
      <c r="O14" s="272">
        <f>SUM(O$11:O$13)</f>
        <v>2.21</v>
      </c>
      <c r="P14" s="405"/>
      <c r="Q14" s="272">
        <f>SUM(Q$11:Q$13)</f>
        <v>2.21</v>
      </c>
      <c r="R14" s="136"/>
      <c r="S14" s="133"/>
      <c r="T14" s="133"/>
    </row>
    <row r="15" spans="1:21" x14ac:dyDescent="0.3">
      <c r="A15" s="144" t="s">
        <v>36</v>
      </c>
      <c r="B15" s="126"/>
      <c r="C15" s="98"/>
      <c r="D15" s="126"/>
      <c r="E15" s="135"/>
      <c r="F15" s="276">
        <f>$F$61</f>
        <v>0.19260000000000002</v>
      </c>
      <c r="G15" s="277"/>
      <c r="H15" s="276">
        <f>$F$61</f>
        <v>0.19260000000000002</v>
      </c>
      <c r="I15" s="277"/>
      <c r="J15" s="276">
        <f>$F$61</f>
        <v>0.19260000000000002</v>
      </c>
      <c r="K15" s="277"/>
      <c r="L15" s="276">
        <f>$F$61</f>
        <v>0.19260000000000002</v>
      </c>
      <c r="M15" s="277"/>
      <c r="N15" s="276">
        <f>$F$61</f>
        <v>0.19260000000000002</v>
      </c>
      <c r="O15" s="163"/>
      <c r="P15" s="276">
        <f>$F$61</f>
        <v>0.19260000000000002</v>
      </c>
      <c r="Q15" s="277"/>
      <c r="R15" s="143"/>
      <c r="S15" s="325" t="s">
        <v>224</v>
      </c>
      <c r="T15" s="133"/>
    </row>
    <row r="16" spans="1:21" x14ac:dyDescent="0.3">
      <c r="A16" s="144" t="s">
        <v>38</v>
      </c>
      <c r="B16" s="126"/>
      <c r="C16" s="98"/>
      <c r="D16" s="126"/>
      <c r="E16" s="135"/>
      <c r="F16" s="276">
        <f>G49</f>
        <v>8.5771023978875455E-2</v>
      </c>
      <c r="G16" s="277"/>
      <c r="H16" s="276">
        <f>H49</f>
        <v>-0.38866223815650608</v>
      </c>
      <c r="I16" s="277"/>
      <c r="J16" s="276">
        <f>I49</f>
        <v>-0.38866223815650608</v>
      </c>
      <c r="K16" s="277"/>
      <c r="L16" s="276">
        <f>J49</f>
        <v>-0.38866223815650608</v>
      </c>
      <c r="M16" s="277"/>
      <c r="N16" s="276">
        <f>K49</f>
        <v>-0.38866223815650608</v>
      </c>
      <c r="O16" s="163"/>
      <c r="P16" s="276">
        <f>L49</f>
        <v>-0.38866223815650608</v>
      </c>
      <c r="Q16" s="277"/>
      <c r="R16" s="143"/>
      <c r="S16" s="133"/>
      <c r="T16" s="133"/>
    </row>
    <row r="17" spans="1:20" x14ac:dyDescent="0.3">
      <c r="A17" s="144" t="s">
        <v>39</v>
      </c>
      <c r="B17" s="126"/>
      <c r="C17" s="98"/>
      <c r="D17" s="126"/>
      <c r="E17" s="135"/>
      <c r="F17" s="276">
        <f>G53</f>
        <v>1.0711869658993354E-3</v>
      </c>
      <c r="G17" s="277"/>
      <c r="H17" s="276">
        <f>H53</f>
        <v>-1.460987909540813E-2</v>
      </c>
      <c r="I17" s="277"/>
      <c r="J17" s="276">
        <f>I53</f>
        <v>-1.460987909540813E-2</v>
      </c>
      <c r="K17" s="277"/>
      <c r="L17" s="276">
        <f>J53</f>
        <v>-1.460987909540813E-2</v>
      </c>
      <c r="M17" s="277"/>
      <c r="N17" s="276">
        <f>K53</f>
        <v>-1.460987909540813E-2</v>
      </c>
      <c r="O17" s="163"/>
      <c r="P17" s="276">
        <f>L53</f>
        <v>-1.460987909540813E-2</v>
      </c>
      <c r="Q17" s="277"/>
      <c r="R17" s="143"/>
      <c r="S17" s="133"/>
      <c r="T17" s="133"/>
    </row>
    <row r="18" spans="1:20" x14ac:dyDescent="0.3">
      <c r="A18" s="109" t="s">
        <v>40</v>
      </c>
      <c r="B18" s="126"/>
      <c r="C18" s="98"/>
      <c r="D18" s="126"/>
      <c r="E18" s="126"/>
      <c r="F18" s="278">
        <f>F15+F16+F17</f>
        <v>0.27944221094477484</v>
      </c>
      <c r="G18" s="279">
        <f>F18*G14</f>
        <v>7.3953003981420373</v>
      </c>
      <c r="H18" s="278">
        <f>H15+H16+H17</f>
        <v>-0.21067211725191418</v>
      </c>
      <c r="I18" s="279">
        <f>H18*I14</f>
        <v>-0.46558537912673031</v>
      </c>
      <c r="J18" s="278">
        <f>J15+J16+J17</f>
        <v>-0.21067211725191418</v>
      </c>
      <c r="K18" s="279">
        <f>J18*K14</f>
        <v>-0.46558537912673031</v>
      </c>
      <c r="L18" s="278">
        <f>L15+L16+L17</f>
        <v>-0.21067211725191418</v>
      </c>
      <c r="M18" s="279">
        <f>L18*M14</f>
        <v>-0.46558537912673031</v>
      </c>
      <c r="N18" s="280">
        <f>N15+N16+N17</f>
        <v>-0.21067211725191418</v>
      </c>
      <c r="O18" s="281">
        <f>N18*O14</f>
        <v>-0.46558537912673031</v>
      </c>
      <c r="P18" s="278">
        <f>P15+P16+P17</f>
        <v>-0.21067211725191418</v>
      </c>
      <c r="Q18" s="279">
        <f>P18*Q14</f>
        <v>-0.46558537912673031</v>
      </c>
      <c r="R18" s="137"/>
      <c r="S18" s="325" t="s">
        <v>224</v>
      </c>
      <c r="T18" s="133"/>
    </row>
    <row r="19" spans="1:20" x14ac:dyDescent="0.3">
      <c r="A19" s="110" t="s">
        <v>41</v>
      </c>
      <c r="B19" s="126"/>
      <c r="C19" s="98"/>
      <c r="D19" s="126"/>
      <c r="E19" s="126"/>
      <c r="F19" s="282"/>
      <c r="G19" s="283">
        <f>G14+G18</f>
        <v>33.85980757885406</v>
      </c>
      <c r="H19" s="284"/>
      <c r="I19" s="283">
        <f>I14+I18</f>
        <v>1.7444146208732696</v>
      </c>
      <c r="J19" s="284"/>
      <c r="K19" s="283">
        <f>K14+K18</f>
        <v>1.7444146208732696</v>
      </c>
      <c r="L19" s="285"/>
      <c r="M19" s="283">
        <f>M14+M18</f>
        <v>1.7444146208732696</v>
      </c>
      <c r="N19" s="286"/>
      <c r="O19" s="287">
        <f>O14+O18</f>
        <v>1.7444146208732696</v>
      </c>
      <c r="P19" s="285"/>
      <c r="Q19" s="283">
        <f>Q14+Q18</f>
        <v>1.7444146208732696</v>
      </c>
      <c r="R19" s="346"/>
    </row>
    <row r="20" spans="1:20" ht="16.2" thickBot="1" x14ac:dyDescent="0.35">
      <c r="A20" s="96" t="s">
        <v>42</v>
      </c>
      <c r="B20" s="87"/>
      <c r="C20" s="125"/>
      <c r="D20" s="87"/>
      <c r="E20" s="87"/>
      <c r="F20" s="87"/>
      <c r="G20" s="114"/>
      <c r="H20" s="116"/>
      <c r="I20" s="114"/>
      <c r="J20" s="116"/>
      <c r="K20" s="114"/>
      <c r="L20" s="87"/>
      <c r="M20" s="87"/>
      <c r="N20" s="116"/>
      <c r="O20" s="114"/>
      <c r="P20" s="116"/>
      <c r="Q20" s="114"/>
      <c r="R20" s="1"/>
    </row>
    <row r="21" spans="1:20" ht="16.2" thickBot="1" x14ac:dyDescent="0.35">
      <c r="A21" s="105" t="s">
        <v>43</v>
      </c>
      <c r="B21" s="156"/>
      <c r="C21" s="99"/>
      <c r="D21" s="156"/>
      <c r="E21" s="156"/>
      <c r="F21" s="244">
        <f>G73</f>
        <v>0.73348892438764635</v>
      </c>
      <c r="G21" s="247">
        <f>G19/F21</f>
        <v>46.162670564006049</v>
      </c>
      <c r="H21" s="164">
        <f>F21</f>
        <v>0.73348892438764635</v>
      </c>
      <c r="I21" s="165">
        <f>I19/H21</f>
        <v>2.3782426194500417</v>
      </c>
      <c r="J21" s="164">
        <f>F21</f>
        <v>0.73348892438764635</v>
      </c>
      <c r="K21" s="165">
        <f>K19/J21</f>
        <v>2.3782426194500417</v>
      </c>
      <c r="L21" s="164">
        <f>F21</f>
        <v>0.73348892438764635</v>
      </c>
      <c r="M21" s="165">
        <f>M19/L21</f>
        <v>2.3782426194500417</v>
      </c>
      <c r="N21" s="166">
        <f>F21</f>
        <v>0.73348892438764635</v>
      </c>
      <c r="O21" s="165">
        <f>O19/N21</f>
        <v>2.3782426194500417</v>
      </c>
      <c r="P21" s="166">
        <f>F21</f>
        <v>0.73348892438764635</v>
      </c>
      <c r="Q21" s="165">
        <f>Q19/P21</f>
        <v>2.3782426194500417</v>
      </c>
      <c r="R21" s="82"/>
      <c r="S21" s="5" t="s">
        <v>225</v>
      </c>
    </row>
    <row r="22" spans="1:20" ht="16.2" hidden="1" thickBot="1" x14ac:dyDescent="0.35">
      <c r="A22" s="94" t="s">
        <v>45</v>
      </c>
      <c r="B22" s="156"/>
      <c r="C22" s="99"/>
      <c r="D22" s="156"/>
      <c r="E22" s="156"/>
      <c r="F22" s="164"/>
      <c r="G22" s="407"/>
      <c r="H22" s="164"/>
      <c r="I22" s="288">
        <f>G22</f>
        <v>0</v>
      </c>
      <c r="J22" s="232"/>
      <c r="K22" s="288">
        <f>G22</f>
        <v>0</v>
      </c>
      <c r="L22" s="232"/>
      <c r="M22" s="288">
        <f>G22</f>
        <v>0</v>
      </c>
      <c r="N22" s="233"/>
      <c r="O22" s="288">
        <f>G22</f>
        <v>0</v>
      </c>
      <c r="P22" s="233"/>
      <c r="Q22" s="288">
        <f>G22</f>
        <v>0</v>
      </c>
      <c r="R22" s="82"/>
    </row>
    <row r="23" spans="1:20" x14ac:dyDescent="0.3">
      <c r="A23" s="105"/>
      <c r="B23" s="167"/>
      <c r="C23" s="98"/>
      <c r="D23" s="167"/>
      <c r="E23" s="167"/>
      <c r="F23" s="168"/>
      <c r="G23" s="248"/>
      <c r="H23" s="170"/>
      <c r="I23" s="169"/>
      <c r="J23" s="170"/>
      <c r="K23" s="169"/>
      <c r="L23" s="171"/>
      <c r="M23" s="169"/>
      <c r="N23" s="170"/>
      <c r="O23" s="169"/>
      <c r="P23" s="170"/>
      <c r="Q23" s="169"/>
      <c r="R23" s="1"/>
    </row>
    <row r="24" spans="1:20" ht="18.899999999999999" customHeight="1" x14ac:dyDescent="0.3">
      <c r="A24" s="129" t="s">
        <v>46</v>
      </c>
      <c r="B24" s="130"/>
      <c r="C24" s="131"/>
      <c r="D24" s="130"/>
      <c r="E24" s="130"/>
      <c r="F24" s="138"/>
      <c r="G24" s="290">
        <f>G21+G22</f>
        <v>46.162670564006049</v>
      </c>
      <c r="H24" s="289"/>
      <c r="I24" s="290">
        <f>I21+I22</f>
        <v>2.3782426194500417</v>
      </c>
      <c r="J24" s="289"/>
      <c r="K24" s="290">
        <f>K21+K22</f>
        <v>2.3782426194500417</v>
      </c>
      <c r="L24" s="291"/>
      <c r="M24" s="290">
        <f>M21+M22</f>
        <v>2.3782426194500417</v>
      </c>
      <c r="N24" s="292"/>
      <c r="O24" s="290">
        <f>O21+O22</f>
        <v>2.3782426194500417</v>
      </c>
      <c r="P24" s="289"/>
      <c r="Q24" s="290">
        <f>Q21+Q22</f>
        <v>2.3782426194500417</v>
      </c>
      <c r="R24" s="1"/>
    </row>
    <row r="25" spans="1:20" ht="18" customHeight="1" x14ac:dyDescent="0.3">
      <c r="A25" s="104"/>
      <c r="B25" s="87"/>
      <c r="C25" s="99"/>
      <c r="D25" s="87"/>
      <c r="E25" s="87"/>
      <c r="F25" s="139"/>
      <c r="G25" s="115"/>
      <c r="H25" s="117"/>
      <c r="I25" s="118"/>
      <c r="J25" s="117"/>
      <c r="K25" s="118"/>
      <c r="L25" s="112"/>
      <c r="M25" s="113"/>
      <c r="N25" s="117"/>
      <c r="O25" s="118"/>
      <c r="P25" s="117"/>
      <c r="Q25" s="118"/>
      <c r="R25" s="1"/>
    </row>
    <row r="26" spans="1:20" ht="16.2" thickBot="1" x14ac:dyDescent="0.35">
      <c r="A26" s="96" t="s">
        <v>47</v>
      </c>
      <c r="B26" s="87"/>
      <c r="C26" s="125"/>
      <c r="D26" s="87"/>
      <c r="E26" s="87"/>
      <c r="F26" s="87"/>
      <c r="G26" s="114"/>
      <c r="H26" s="116"/>
      <c r="I26" s="114"/>
      <c r="J26" s="116"/>
      <c r="K26" s="114"/>
      <c r="L26" s="87"/>
      <c r="M26" s="87"/>
      <c r="N26" s="116"/>
      <c r="O26" s="114"/>
      <c r="P26" s="116"/>
      <c r="Q26" s="114"/>
      <c r="R26" s="1"/>
    </row>
    <row r="27" spans="1:20" ht="16.2" thickBot="1" x14ac:dyDescent="0.35">
      <c r="A27" s="111" t="s">
        <v>213</v>
      </c>
      <c r="B27" s="100"/>
      <c r="C27" s="99"/>
      <c r="D27" s="100"/>
      <c r="E27" s="100"/>
      <c r="F27" s="244">
        <f>'Algemene kostprijsfactoren'!D34</f>
        <v>0.253</v>
      </c>
      <c r="G27" s="245">
        <f>F27*G24</f>
        <v>11.679155652693531</v>
      </c>
      <c r="H27" s="293">
        <f>F27</f>
        <v>0.253</v>
      </c>
      <c r="I27" s="172">
        <f>H27*I24</f>
        <v>0.60169538272086054</v>
      </c>
      <c r="J27" s="294">
        <f>F27</f>
        <v>0.253</v>
      </c>
      <c r="K27" s="172">
        <f>J27*K24</f>
        <v>0.60169538272086054</v>
      </c>
      <c r="L27" s="294">
        <f>F27</f>
        <v>0.253</v>
      </c>
      <c r="M27" s="173">
        <f>L27*M24</f>
        <v>0.60169538272086054</v>
      </c>
      <c r="N27" s="295">
        <f>F27</f>
        <v>0.253</v>
      </c>
      <c r="O27" s="296">
        <f>N27*O24</f>
        <v>0.60169538272086054</v>
      </c>
      <c r="P27" s="297">
        <f>F27</f>
        <v>0.253</v>
      </c>
      <c r="Q27" s="172">
        <f>P27*Q24</f>
        <v>0.60169538272086054</v>
      </c>
      <c r="R27" s="1"/>
      <c r="S27" s="5" t="s">
        <v>48</v>
      </c>
    </row>
    <row r="28" spans="1:20" x14ac:dyDescent="0.3">
      <c r="A28" s="127"/>
      <c r="B28" s="100"/>
      <c r="C28" s="99"/>
      <c r="D28" s="100"/>
      <c r="E28" s="100"/>
      <c r="F28" s="246"/>
      <c r="G28" s="175"/>
      <c r="H28" s="176"/>
      <c r="I28" s="177"/>
      <c r="J28" s="174"/>
      <c r="K28" s="177"/>
      <c r="L28" s="174"/>
      <c r="M28" s="178"/>
      <c r="N28" s="298"/>
      <c r="O28" s="299"/>
      <c r="P28" s="179"/>
      <c r="Q28" s="177"/>
      <c r="R28" s="1"/>
    </row>
    <row r="29" spans="1:20" ht="16.2" thickBot="1" x14ac:dyDescent="0.35">
      <c r="A29" s="96" t="s">
        <v>49</v>
      </c>
      <c r="B29" s="100"/>
      <c r="C29" s="87"/>
      <c r="D29" s="100"/>
      <c r="E29" s="100"/>
      <c r="F29" s="180"/>
      <c r="G29" s="181"/>
      <c r="H29" s="182"/>
      <c r="I29" s="183"/>
      <c r="J29" s="180"/>
      <c r="K29" s="183"/>
      <c r="L29" s="180"/>
      <c r="M29" s="184"/>
      <c r="N29" s="300"/>
      <c r="O29" s="301"/>
      <c r="P29" s="185"/>
      <c r="Q29" s="183"/>
      <c r="R29" s="1"/>
    </row>
    <row r="30" spans="1:20" ht="16.2" thickBot="1" x14ac:dyDescent="0.35">
      <c r="A30" s="121" t="s">
        <v>527</v>
      </c>
      <c r="B30" s="87"/>
      <c r="C30" s="87"/>
      <c r="D30" s="87"/>
      <c r="E30" s="87"/>
      <c r="F30" s="408">
        <v>0.02</v>
      </c>
      <c r="G30" s="302">
        <f>F30*G24</f>
        <v>0.92325341128012095</v>
      </c>
      <c r="H30" s="294">
        <f>F30</f>
        <v>0.02</v>
      </c>
      <c r="I30" s="303">
        <f>H30*I24</f>
        <v>4.7564852389000836E-2</v>
      </c>
      <c r="J30" s="294">
        <f>F30</f>
        <v>0.02</v>
      </c>
      <c r="K30" s="303">
        <f>J30*K24</f>
        <v>4.7564852389000836E-2</v>
      </c>
      <c r="L30" s="294">
        <f>F30</f>
        <v>0.02</v>
      </c>
      <c r="M30" s="304">
        <f>L30*M24</f>
        <v>4.7564852389000836E-2</v>
      </c>
      <c r="N30" s="295">
        <f>F30</f>
        <v>0.02</v>
      </c>
      <c r="O30" s="303">
        <f>N30*O24</f>
        <v>4.7564852389000836E-2</v>
      </c>
      <c r="P30" s="297">
        <f>F30</f>
        <v>0.02</v>
      </c>
      <c r="Q30" s="303">
        <f>P30*Q24</f>
        <v>4.7564852389000836E-2</v>
      </c>
      <c r="R30" s="1"/>
    </row>
    <row r="31" spans="1:20" ht="18" x14ac:dyDescent="0.3">
      <c r="A31" s="92" t="s">
        <v>51</v>
      </c>
      <c r="B31" s="122"/>
      <c r="C31" s="123"/>
      <c r="D31" s="122"/>
      <c r="E31" s="122"/>
      <c r="F31" s="103"/>
      <c r="G31" s="305">
        <f>IF(F6&lt;&gt;"",SUM(G24+G27+G30),0)</f>
        <v>58.765079627979702</v>
      </c>
      <c r="H31" s="306"/>
      <c r="I31" s="305">
        <f>IF(H6&lt;&gt;"",SUM(I24+I27+I30),0)</f>
        <v>3.027502854559903</v>
      </c>
      <c r="J31" s="306"/>
      <c r="K31" s="309">
        <f>IF(J6&lt;&gt;"",SUM(K24+K27+K30),0)</f>
        <v>3.027502854559903</v>
      </c>
      <c r="L31" s="307"/>
      <c r="M31" s="305">
        <f>IF(L6&lt;&gt;"",SUM(M24+M27+M30),0)</f>
        <v>3.027502854559903</v>
      </c>
      <c r="N31" s="308"/>
      <c r="O31" s="309">
        <f>IF(N6&lt;&gt;"",SUM(O24+O27+O30),0)</f>
        <v>3.027502854559903</v>
      </c>
      <c r="P31" s="306"/>
      <c r="Q31" s="309">
        <f>IF(P6&lt;&gt;"",SUM(Q24+Q27+Q30),0)</f>
        <v>3.027502854559903</v>
      </c>
      <c r="R31" s="1"/>
      <c r="S31" s="140"/>
      <c r="T31" s="140"/>
    </row>
    <row r="32" spans="1:20" ht="16.2" thickBot="1" x14ac:dyDescent="0.35">
      <c r="A32" s="96"/>
      <c r="B32" s="87"/>
      <c r="C32" s="125"/>
      <c r="D32" s="87"/>
      <c r="E32" s="87"/>
      <c r="F32" s="87"/>
      <c r="G32" s="114"/>
      <c r="H32" s="116"/>
      <c r="I32" s="114"/>
      <c r="J32" s="116"/>
      <c r="K32" s="114"/>
      <c r="L32" s="87"/>
      <c r="M32" s="87"/>
      <c r="N32" s="141"/>
      <c r="O32" s="186"/>
      <c r="P32" s="116"/>
      <c r="Q32" s="114"/>
      <c r="R32" s="1"/>
    </row>
    <row r="33" spans="1:20" ht="16.2" thickBot="1" x14ac:dyDescent="0.35">
      <c r="A33" s="22" t="s">
        <v>53</v>
      </c>
      <c r="B33" s="124"/>
      <c r="C33" s="124"/>
      <c r="D33" s="124"/>
      <c r="E33" s="124"/>
      <c r="F33" s="517">
        <v>1</v>
      </c>
      <c r="G33" s="518"/>
      <c r="H33" s="517"/>
      <c r="I33" s="518"/>
      <c r="J33" s="517">
        <v>0</v>
      </c>
      <c r="K33" s="518"/>
      <c r="L33" s="517">
        <v>0</v>
      </c>
      <c r="M33" s="518"/>
      <c r="N33" s="517">
        <v>0</v>
      </c>
      <c r="O33" s="518"/>
      <c r="P33" s="517">
        <v>0</v>
      </c>
      <c r="Q33" s="518"/>
      <c r="R33" s="1"/>
      <c r="S33" s="5" t="s">
        <v>52</v>
      </c>
      <c r="T33" s="235">
        <f>SUM(F33:Q33)</f>
        <v>1</v>
      </c>
    </row>
    <row r="34" spans="1:20" ht="17.25" customHeight="1" thickBot="1" x14ac:dyDescent="0.35">
      <c r="A34" s="187" t="s">
        <v>54</v>
      </c>
      <c r="B34" s="188"/>
      <c r="C34" s="188"/>
      <c r="D34" s="188"/>
      <c r="E34" s="155"/>
      <c r="F34" s="340">
        <f>(F33*G31+H33*I31+J33*K31+L33*M31+N33*O31+P33*Q31)</f>
        <v>58.765079627979702</v>
      </c>
      <c r="G34" s="20"/>
      <c r="H34" s="20"/>
      <c r="I34" s="20"/>
      <c r="J34" s="20"/>
      <c r="K34" s="20"/>
      <c r="L34" s="20"/>
      <c r="M34" s="194"/>
      <c r="N34" s="20"/>
      <c r="O34" s="189"/>
      <c r="P34" s="190"/>
      <c r="R34" s="1"/>
    </row>
    <row r="35" spans="1:20" ht="17.25" customHeight="1" thickBot="1" x14ac:dyDescent="0.35">
      <c r="A35" s="9" t="s">
        <v>83</v>
      </c>
      <c r="B35" s="155"/>
      <c r="C35" s="155"/>
      <c r="D35" s="155"/>
      <c r="E35" s="155"/>
      <c r="F35" s="409">
        <v>4</v>
      </c>
      <c r="G35" s="242"/>
      <c r="M35" s="13"/>
      <c r="O35" s="191"/>
      <c r="P35" s="192"/>
      <c r="Q35" s="410"/>
      <c r="R35" s="1"/>
    </row>
    <row r="36" spans="1:20" ht="18.600000000000001" thickBot="1" x14ac:dyDescent="0.35">
      <c r="A36" s="9" t="s">
        <v>206</v>
      </c>
      <c r="B36" s="155"/>
      <c r="C36" s="155"/>
      <c r="D36" s="155"/>
      <c r="E36" s="155"/>
      <c r="F36" s="409">
        <v>4.7</v>
      </c>
      <c r="M36" s="13"/>
      <c r="O36" s="191"/>
      <c r="P36" s="192"/>
      <c r="Q36" s="192"/>
    </row>
    <row r="37" spans="1:20" ht="18.600000000000001" thickBot="1" x14ac:dyDescent="0.35">
      <c r="A37" s="9" t="s">
        <v>209</v>
      </c>
      <c r="B37" s="155"/>
      <c r="C37" s="155"/>
      <c r="D37" s="155"/>
      <c r="E37" s="155"/>
      <c r="F37" s="394">
        <f>IF('Algemene kostprijsfactoren'!D38&gt;0,'Algemene kostprijsfactoren'!D38,'Algemene kostprijsfactoren'!C38)</f>
        <v>1.85</v>
      </c>
      <c r="M37" s="13"/>
      <c r="O37" s="191"/>
      <c r="P37" s="192"/>
      <c r="Q37" s="192"/>
    </row>
    <row r="38" spans="1:20" ht="18.600000000000001" thickBot="1" x14ac:dyDescent="0.35">
      <c r="A38" s="9" t="s">
        <v>84</v>
      </c>
      <c r="B38" s="155"/>
      <c r="C38" s="155"/>
      <c r="D38" s="155"/>
      <c r="E38" s="155"/>
      <c r="F38" s="394">
        <f>IF('Algemene kostprijsfactoren'!D39&gt;0,'Algemene kostprijsfactoren'!D39,'Algemene kostprijsfactoren'!C39)</f>
        <v>8.1199999999999992</v>
      </c>
      <c r="M38" s="13"/>
      <c r="O38" s="191"/>
      <c r="P38" s="192"/>
      <c r="Q38" s="192"/>
    </row>
    <row r="39" spans="1:20" ht="18.600000000000001" thickBot="1" x14ac:dyDescent="0.35">
      <c r="A39" s="9" t="s">
        <v>85</v>
      </c>
      <c r="B39" s="155"/>
      <c r="C39" s="155"/>
      <c r="D39" s="155"/>
      <c r="E39" s="155"/>
      <c r="F39" s="340">
        <f>F34*F35/F36+F37+F38</f>
        <v>59.982833725940168</v>
      </c>
      <c r="M39" s="13"/>
      <c r="O39" s="191"/>
      <c r="P39" s="192"/>
      <c r="Q39" s="192"/>
    </row>
    <row r="40" spans="1:20" ht="18" x14ac:dyDescent="0.3">
      <c r="A40" s="9"/>
      <c r="B40" s="155"/>
      <c r="C40" s="155"/>
      <c r="D40" s="155"/>
      <c r="E40" s="155"/>
      <c r="F40" s="410"/>
      <c r="M40" s="13"/>
      <c r="O40" s="191"/>
      <c r="P40" s="192"/>
      <c r="Q40" s="192"/>
    </row>
    <row r="41" spans="1:20" ht="15" customHeight="1" x14ac:dyDescent="0.3">
      <c r="F41" s="201" t="s">
        <v>55</v>
      </c>
      <c r="G41" s="202">
        <v>1878</v>
      </c>
      <c r="M41" s="242"/>
      <c r="P41" s="243"/>
    </row>
    <row r="42" spans="1:20" x14ac:dyDescent="0.3">
      <c r="M42" s="242"/>
      <c r="N42" s="5"/>
      <c r="P42" s="243"/>
    </row>
    <row r="43" spans="1:20" x14ac:dyDescent="0.3">
      <c r="F43" s="203"/>
      <c r="G43" s="202" t="s">
        <v>72</v>
      </c>
      <c r="H43" s="202" t="s">
        <v>73</v>
      </c>
      <c r="I43" s="202" t="s">
        <v>74</v>
      </c>
      <c r="J43" s="202" t="s">
        <v>75</v>
      </c>
      <c r="K43" s="412" t="s">
        <v>76</v>
      </c>
      <c r="L43" s="413" t="s">
        <v>77</v>
      </c>
      <c r="M43" s="5"/>
    </row>
    <row r="44" spans="1:20" x14ac:dyDescent="0.3">
      <c r="F44" s="5"/>
      <c r="G44" s="203"/>
      <c r="H44" s="203"/>
      <c r="I44" s="203"/>
      <c r="J44" s="203"/>
      <c r="K44" s="414"/>
      <c r="L44" s="203"/>
      <c r="M44" s="5"/>
    </row>
    <row r="45" spans="1:20" ht="16.2" thickBot="1" x14ac:dyDescent="0.35">
      <c r="F45" s="253" t="s">
        <v>57</v>
      </c>
      <c r="G45" s="204">
        <f>$G$41*G14</f>
        <v>49700.34448537718</v>
      </c>
      <c r="H45" s="204">
        <f>$G$41*I14</f>
        <v>4150.38</v>
      </c>
      <c r="I45" s="204">
        <f>$G$41*K14</f>
        <v>4150.38</v>
      </c>
      <c r="J45" s="204">
        <f>$G$41*M14</f>
        <v>4150.38</v>
      </c>
      <c r="K45" s="384">
        <f>$G$41*O14</f>
        <v>4150.38</v>
      </c>
      <c r="L45" s="380">
        <f>$G$41*Q14</f>
        <v>4150.38</v>
      </c>
      <c r="M45" s="5"/>
      <c r="P45" s="5"/>
      <c r="Q45" s="5"/>
    </row>
    <row r="46" spans="1:20" ht="16.2" thickBot="1" x14ac:dyDescent="0.35">
      <c r="A46" s="197" t="s">
        <v>543</v>
      </c>
      <c r="F46" s="331">
        <f>IF('Algemene kostprijsfactoren'!$F$12&lt;&gt;"",'Algemene kostprijsfactoren'!$F$12,'Algemene kostprijsfactoren'!$C$12)</f>
        <v>0.25800000000000001</v>
      </c>
      <c r="G46" s="252">
        <f>$F$46</f>
        <v>0.25800000000000001</v>
      </c>
      <c r="H46" s="205">
        <f t="shared" ref="H46:L46" si="0">$F$46</f>
        <v>0.25800000000000001</v>
      </c>
      <c r="I46" s="205">
        <f t="shared" si="0"/>
        <v>0.25800000000000001</v>
      </c>
      <c r="J46" s="205">
        <f t="shared" si="0"/>
        <v>0.25800000000000001</v>
      </c>
      <c r="K46" s="385">
        <f t="shared" si="0"/>
        <v>0.25800000000000001</v>
      </c>
      <c r="L46" s="252">
        <f t="shared" si="0"/>
        <v>0.25800000000000001</v>
      </c>
      <c r="M46" s="5"/>
      <c r="O46" s="209"/>
      <c r="P46" s="5"/>
      <c r="Q46" s="5"/>
    </row>
    <row r="47" spans="1:20" ht="16.2" thickBot="1" x14ac:dyDescent="0.35">
      <c r="A47" s="197" t="s">
        <v>544</v>
      </c>
      <c r="F47" s="332">
        <f>IF('Algemene kostprijsfactoren'!$F$13&lt;&gt;"",'Algemene kostprijsfactoren'!$F$13,'Algemene kostprijsfactoren'!$C$13)</f>
        <v>16655</v>
      </c>
      <c r="G47" s="310">
        <f>$F$47</f>
        <v>16655</v>
      </c>
      <c r="H47" s="311">
        <f t="shared" ref="H47:L47" si="1">$F$47</f>
        <v>16655</v>
      </c>
      <c r="I47" s="311">
        <f t="shared" si="1"/>
        <v>16655</v>
      </c>
      <c r="J47" s="311">
        <f t="shared" si="1"/>
        <v>16655</v>
      </c>
      <c r="K47" s="415">
        <f t="shared" si="1"/>
        <v>16655</v>
      </c>
      <c r="L47" s="310">
        <f t="shared" si="1"/>
        <v>16655</v>
      </c>
      <c r="M47"/>
      <c r="O47" s="209"/>
      <c r="P47" s="5"/>
      <c r="Q47" s="5"/>
    </row>
    <row r="48" spans="1:20" ht="16.2" thickBot="1" x14ac:dyDescent="0.35">
      <c r="A48" s="197" t="s">
        <v>12</v>
      </c>
      <c r="F48" s="254"/>
      <c r="G48" s="204">
        <f>(G45-G47)*G46</f>
        <v>8525.6988772273126</v>
      </c>
      <c r="H48" s="204">
        <f t="shared" ref="H48:K48" si="2">(H45-H47)*H46</f>
        <v>-3226.1919599999997</v>
      </c>
      <c r="I48" s="204">
        <f t="shared" si="2"/>
        <v>-3226.1919599999997</v>
      </c>
      <c r="J48" s="204">
        <f t="shared" si="2"/>
        <v>-3226.1919599999997</v>
      </c>
      <c r="K48" s="384">
        <f t="shared" si="2"/>
        <v>-3226.1919599999997</v>
      </c>
      <c r="L48" s="380">
        <f>(L45-L47)*L46</f>
        <v>-3226.1919599999997</v>
      </c>
      <c r="M48" s="5"/>
      <c r="P48" s="5"/>
      <c r="Q48" s="5"/>
    </row>
    <row r="49" spans="1:19" ht="16.8" thickTop="1" thickBot="1" x14ac:dyDescent="0.35">
      <c r="A49" s="198" t="s">
        <v>13</v>
      </c>
      <c r="F49" s="331">
        <f>IF('Algemene kostprijsfactoren'!$F$15&lt;&gt;"",'Algemene kostprijsfactoren'!$F$15,'Algemene kostprijsfactoren'!$C$15)</f>
        <v>0.5</v>
      </c>
      <c r="G49" s="206">
        <f>(G48/G45)*$F$49</f>
        <v>8.5771023978875455E-2</v>
      </c>
      <c r="H49" s="206">
        <f t="shared" ref="H49:L49" si="3">(H48/H45)*$F$49</f>
        <v>-0.38866223815650608</v>
      </c>
      <c r="I49" s="206">
        <f t="shared" si="3"/>
        <v>-0.38866223815650608</v>
      </c>
      <c r="J49" s="206">
        <f t="shared" si="3"/>
        <v>-0.38866223815650608</v>
      </c>
      <c r="K49" s="386">
        <f t="shared" si="3"/>
        <v>-0.38866223815650608</v>
      </c>
      <c r="L49" s="381">
        <f t="shared" si="3"/>
        <v>-0.38866223815650608</v>
      </c>
      <c r="M49" s="5"/>
      <c r="P49" s="5"/>
      <c r="Q49" s="5"/>
    </row>
    <row r="50" spans="1:19" ht="16.8" thickTop="1" thickBot="1" x14ac:dyDescent="0.35">
      <c r="A50" s="197" t="s">
        <v>545</v>
      </c>
      <c r="F50" s="331">
        <f>IF('Algemene kostprijsfactoren'!$F$16&lt;&gt;"",'Algemene kostprijsfactoren'!$F$16,'Algemene kostprijsfactoren'!$C$16)</f>
        <v>5.0000000000000001E-3</v>
      </c>
      <c r="G50" s="252">
        <f>$F$50</f>
        <v>5.0000000000000001E-3</v>
      </c>
      <c r="H50" s="205">
        <f t="shared" ref="H50:L50" si="4">$F$50</f>
        <v>5.0000000000000001E-3</v>
      </c>
      <c r="I50" s="205">
        <f t="shared" si="4"/>
        <v>5.0000000000000001E-3</v>
      </c>
      <c r="J50" s="205">
        <f t="shared" si="4"/>
        <v>5.0000000000000001E-3</v>
      </c>
      <c r="K50" s="385">
        <f t="shared" si="4"/>
        <v>5.0000000000000001E-3</v>
      </c>
      <c r="L50" s="252">
        <f t="shared" si="4"/>
        <v>5.0000000000000001E-3</v>
      </c>
      <c r="M50" s="5"/>
      <c r="O50" s="209"/>
      <c r="P50" s="5"/>
      <c r="Q50" s="5"/>
    </row>
    <row r="51" spans="1:19" ht="16.2" thickBot="1" x14ac:dyDescent="0.35">
      <c r="A51" s="197" t="s">
        <v>546</v>
      </c>
      <c r="F51" s="332">
        <f>IF('Algemene kostprijsfactoren'!$F$17&lt;&gt;"",'Algemene kostprijsfactoren'!$F$17,'Algemene kostprijsfactoren'!$C$17)</f>
        <v>28405</v>
      </c>
      <c r="G51" s="310">
        <f>$F51</f>
        <v>28405</v>
      </c>
      <c r="H51" s="311">
        <f t="shared" ref="H51:L51" si="5">$F51</f>
        <v>28405</v>
      </c>
      <c r="I51" s="311">
        <f t="shared" si="5"/>
        <v>28405</v>
      </c>
      <c r="J51" s="311">
        <f t="shared" si="5"/>
        <v>28405</v>
      </c>
      <c r="K51" s="415">
        <f t="shared" si="5"/>
        <v>28405</v>
      </c>
      <c r="L51" s="310">
        <f t="shared" si="5"/>
        <v>28405</v>
      </c>
      <c r="M51"/>
      <c r="O51" s="209"/>
      <c r="P51" s="5"/>
      <c r="Q51" s="5"/>
    </row>
    <row r="52" spans="1:19" ht="16.2" thickBot="1" x14ac:dyDescent="0.35">
      <c r="A52" s="199" t="s">
        <v>14</v>
      </c>
      <c r="F52" s="255"/>
      <c r="G52" s="207">
        <f>(G45-G51)*G50</f>
        <v>106.4767224268859</v>
      </c>
      <c r="H52" s="207">
        <f t="shared" ref="H52:L52" si="6">(H45-H51)*H50</f>
        <v>-121.2731</v>
      </c>
      <c r="I52" s="207">
        <f t="shared" si="6"/>
        <v>-121.2731</v>
      </c>
      <c r="J52" s="207">
        <f t="shared" si="6"/>
        <v>-121.2731</v>
      </c>
      <c r="K52" s="384">
        <f>(K45-K51)*K50</f>
        <v>-121.2731</v>
      </c>
      <c r="L52" s="382">
        <f t="shared" si="6"/>
        <v>-121.2731</v>
      </c>
      <c r="M52" s="5"/>
      <c r="P52" s="5"/>
      <c r="Q52" s="5"/>
    </row>
    <row r="53" spans="1:19" ht="16.8" thickTop="1" thickBot="1" x14ac:dyDescent="0.35">
      <c r="A53" s="198" t="s">
        <v>15</v>
      </c>
      <c r="F53" s="331">
        <f>IF('Algemene kostprijsfactoren'!$F$19&lt;&gt;"",'Algemene kostprijsfactoren'!$F$19,'Algemene kostprijsfactoren'!$C$19)</f>
        <v>0.5</v>
      </c>
      <c r="G53" s="206">
        <f>(G52/G45)*$F53</f>
        <v>1.0711869658993354E-3</v>
      </c>
      <c r="H53" s="206">
        <f t="shared" ref="H53:L53" si="7">(H52/H45)*$F53</f>
        <v>-1.460987909540813E-2</v>
      </c>
      <c r="I53" s="206">
        <f t="shared" si="7"/>
        <v>-1.460987909540813E-2</v>
      </c>
      <c r="J53" s="206">
        <f t="shared" si="7"/>
        <v>-1.460987909540813E-2</v>
      </c>
      <c r="K53" s="386">
        <f t="shared" si="7"/>
        <v>-1.460987909540813E-2</v>
      </c>
      <c r="L53" s="381">
        <f t="shared" si="7"/>
        <v>-1.460987909540813E-2</v>
      </c>
      <c r="M53" s="5"/>
    </row>
    <row r="54" spans="1:19" ht="16.2" thickTop="1" x14ac:dyDescent="0.3">
      <c r="F54" s="333" t="s">
        <v>58</v>
      </c>
      <c r="G54" s="208">
        <f>G53+G49</f>
        <v>8.6842210944774789E-2</v>
      </c>
      <c r="H54" s="208">
        <f t="shared" ref="H54:L54" si="8">H53+H49</f>
        <v>-0.4032721172519142</v>
      </c>
      <c r="I54" s="208">
        <f t="shared" si="8"/>
        <v>-0.4032721172519142</v>
      </c>
      <c r="J54" s="208">
        <f t="shared" si="8"/>
        <v>-0.4032721172519142</v>
      </c>
      <c r="K54" s="387">
        <f t="shared" si="8"/>
        <v>-0.4032721172519142</v>
      </c>
      <c r="L54" s="383">
        <f t="shared" si="8"/>
        <v>-0.4032721172519142</v>
      </c>
      <c r="M54" s="5"/>
    </row>
    <row r="56" spans="1:19" x14ac:dyDescent="0.3">
      <c r="A56" s="197" t="s">
        <v>16</v>
      </c>
      <c r="F56" s="330">
        <f>IF('Algemene kostprijsfactoren'!$F$22&lt;&gt;"",'Algemene kostprijsfactoren'!$F$22,'Algemene kostprijsfactoren'!$C$22)</f>
        <v>7.5800000000000006E-2</v>
      </c>
      <c r="G56" s="195"/>
      <c r="H56" s="209">
        <v>7.5800000000000006E-2</v>
      </c>
      <c r="I56" s="496" t="s">
        <v>537</v>
      </c>
      <c r="J56" s="497"/>
      <c r="K56" s="497"/>
      <c r="L56" s="497"/>
      <c r="M56" s="497"/>
      <c r="N56" s="497"/>
      <c r="O56" s="497"/>
      <c r="P56" s="497"/>
      <c r="Q56" s="497"/>
      <c r="R56" s="497"/>
      <c r="S56" s="498"/>
    </row>
    <row r="57" spans="1:19" x14ac:dyDescent="0.3">
      <c r="A57" s="197" t="s">
        <v>17</v>
      </c>
      <c r="F57" s="330">
        <f>IF('Algemene kostprijsfactoren'!$F$23&lt;&gt;"",'Algemene kostprijsfactoren'!$F$23,'Algemene kostprijsfactoren'!$C$23)</f>
        <v>3.49E-2</v>
      </c>
      <c r="G57" s="195"/>
      <c r="H57" s="499" t="s">
        <v>538</v>
      </c>
      <c r="I57" s="500"/>
      <c r="J57" s="500" t="s">
        <v>181</v>
      </c>
      <c r="K57" s="500"/>
      <c r="L57" s="500" t="s">
        <v>181</v>
      </c>
      <c r="M57" s="500"/>
      <c r="N57" s="500" t="s">
        <v>181</v>
      </c>
      <c r="O57" s="500"/>
      <c r="P57" s="500" t="s">
        <v>181</v>
      </c>
      <c r="Q57" s="500"/>
      <c r="R57" s="500" t="s">
        <v>181</v>
      </c>
      <c r="S57" s="501"/>
    </row>
    <row r="58" spans="1:19" x14ac:dyDescent="0.3">
      <c r="A58" s="197" t="s">
        <v>18</v>
      </c>
      <c r="F58" s="330">
        <f>IF('Algemene kostprijsfactoren'!$F$24&lt;&gt;"",'Algemene kostprijsfactoren'!$F$24,'Algemene kostprijsfactoren'!$C$24)</f>
        <v>6.5100000000000005E-2</v>
      </c>
      <c r="G58" s="195"/>
      <c r="H58" s="209">
        <v>6.5100000000000005E-2</v>
      </c>
      <c r="I58" s="496" t="s">
        <v>539</v>
      </c>
      <c r="J58" s="497"/>
      <c r="K58" s="497"/>
      <c r="L58" s="497"/>
      <c r="M58" s="497"/>
      <c r="N58" s="497"/>
      <c r="O58" s="497"/>
      <c r="P58" s="497"/>
      <c r="Q58" s="497"/>
      <c r="R58" s="497"/>
      <c r="S58" s="498"/>
    </row>
    <row r="59" spans="1:19" x14ac:dyDescent="0.3">
      <c r="A59" s="197" t="s">
        <v>19</v>
      </c>
      <c r="F59" s="330">
        <f>IF('Algemene kostprijsfactoren'!$F$25&lt;&gt;"",'Algemene kostprijsfactoren'!$F$25,'Algemene kostprijsfactoren'!$C$25)</f>
        <v>1.3299999999999999E-2</v>
      </c>
      <c r="G59" s="195"/>
      <c r="H59" s="496" t="s">
        <v>226</v>
      </c>
      <c r="I59" s="497"/>
      <c r="J59" s="497"/>
      <c r="K59" s="497"/>
      <c r="L59" s="497"/>
      <c r="M59" s="497"/>
      <c r="N59" s="497"/>
      <c r="O59" s="497"/>
      <c r="P59" s="497"/>
      <c r="Q59" s="497"/>
      <c r="R59" s="497"/>
      <c r="S59" s="498"/>
    </row>
    <row r="60" spans="1:19" ht="16.2" thickBot="1" x14ac:dyDescent="0.35">
      <c r="A60" s="199" t="s">
        <v>21</v>
      </c>
      <c r="F60" s="330">
        <f>IF('Algemene kostprijsfactoren'!$F$26&lt;&gt;"",'Algemene kostprijsfactoren'!$F$26,'Algemene kostprijsfactoren'!$C$26)</f>
        <v>3.5000000000000001E-3</v>
      </c>
      <c r="G60" s="195"/>
      <c r="H60" s="496" t="s">
        <v>22</v>
      </c>
      <c r="I60" s="497"/>
      <c r="J60" s="497"/>
      <c r="K60" s="497"/>
      <c r="L60" s="497"/>
      <c r="M60" s="497"/>
      <c r="N60" s="497"/>
      <c r="O60" s="497"/>
      <c r="P60" s="497"/>
      <c r="Q60" s="497"/>
      <c r="R60" s="497"/>
      <c r="S60" s="498"/>
    </row>
    <row r="61" spans="1:19" ht="16.2" thickTop="1" x14ac:dyDescent="0.3">
      <c r="A61" s="200" t="s">
        <v>23</v>
      </c>
      <c r="F61" s="328">
        <f>SUM(F56:F60)</f>
        <v>0.19260000000000002</v>
      </c>
      <c r="G61" s="195"/>
      <c r="H61" s="196"/>
      <c r="I61" s="196"/>
    </row>
    <row r="63" spans="1:19" x14ac:dyDescent="0.3">
      <c r="F63" s="6" t="s">
        <v>59</v>
      </c>
      <c r="G63" s="6" t="s">
        <v>60</v>
      </c>
      <c r="H63" s="6" t="s">
        <v>61</v>
      </c>
    </row>
    <row r="64" spans="1:19" ht="16.2" thickBot="1" x14ac:dyDescent="0.35">
      <c r="A64" s="215" t="s">
        <v>62</v>
      </c>
      <c r="F64" s="218"/>
      <c r="G64" s="219">
        <v>1878</v>
      </c>
      <c r="H64" s="220"/>
      <c r="I64" s="211"/>
      <c r="J64" s="514" t="s">
        <v>222</v>
      </c>
      <c r="K64" s="515"/>
      <c r="L64" s="515"/>
      <c r="M64" s="515"/>
      <c r="N64" s="515"/>
      <c r="O64" s="515"/>
      <c r="P64" s="515"/>
      <c r="Q64" s="515"/>
      <c r="R64" s="515"/>
      <c r="S64" s="516"/>
    </row>
    <row r="65" spans="1:19" ht="16.2" thickTop="1" x14ac:dyDescent="0.3">
      <c r="A65" s="197" t="s">
        <v>11</v>
      </c>
      <c r="F65" s="419" t="s">
        <v>31</v>
      </c>
      <c r="G65" s="221">
        <v>150.42780000000002</v>
      </c>
      <c r="H65" s="329">
        <v>8.0100000000000005E-2</v>
      </c>
      <c r="I65" s="211"/>
      <c r="J65" s="514" t="s">
        <v>221</v>
      </c>
      <c r="K65" s="515"/>
      <c r="L65" s="515"/>
      <c r="M65" s="515"/>
      <c r="N65" s="515"/>
      <c r="O65" s="515"/>
      <c r="P65" s="515"/>
      <c r="Q65" s="515"/>
      <c r="R65" s="515"/>
      <c r="S65" s="516"/>
    </row>
    <row r="66" spans="1:19" x14ac:dyDescent="0.3">
      <c r="A66" s="197" t="s">
        <v>64</v>
      </c>
      <c r="F66" s="419" t="s">
        <v>31</v>
      </c>
      <c r="G66" s="420">
        <v>237.4</v>
      </c>
      <c r="H66" s="222"/>
      <c r="I66" s="211"/>
      <c r="J66" s="514" t="s">
        <v>65</v>
      </c>
      <c r="K66" s="515"/>
      <c r="L66" s="515"/>
      <c r="M66" s="515"/>
      <c r="N66" s="515"/>
      <c r="O66" s="515"/>
      <c r="P66" s="515"/>
      <c r="Q66" s="515"/>
      <c r="R66" s="515"/>
      <c r="S66" s="516"/>
    </row>
    <row r="67" spans="1:19" x14ac:dyDescent="0.3">
      <c r="A67" s="197" t="s">
        <v>66</v>
      </c>
      <c r="F67" s="419" t="s">
        <v>31</v>
      </c>
      <c r="G67" s="221">
        <v>37.56</v>
      </c>
      <c r="H67" s="421">
        <v>0.02</v>
      </c>
      <c r="I67" s="211"/>
      <c r="J67" s="514" t="s">
        <v>78</v>
      </c>
      <c r="K67" s="515"/>
      <c r="L67" s="515"/>
      <c r="M67" s="515"/>
      <c r="N67" s="515"/>
      <c r="O67" s="515"/>
      <c r="P67" s="515"/>
      <c r="Q67" s="515"/>
      <c r="R67" s="515"/>
      <c r="S67" s="516"/>
    </row>
    <row r="68" spans="1:19" x14ac:dyDescent="0.3">
      <c r="A68" s="197" t="s">
        <v>218</v>
      </c>
      <c r="F68" s="419" t="s">
        <v>137</v>
      </c>
      <c r="G68" s="221">
        <v>0</v>
      </c>
      <c r="H68" s="423"/>
      <c r="I68" s="211"/>
      <c r="J68" s="514" t="s">
        <v>506</v>
      </c>
      <c r="K68" s="515"/>
      <c r="L68" s="515"/>
      <c r="M68" s="515"/>
      <c r="N68" s="515"/>
      <c r="O68" s="515"/>
      <c r="P68" s="515"/>
      <c r="Q68" s="515"/>
      <c r="R68" s="515"/>
      <c r="S68" s="516"/>
    </row>
    <row r="69" spans="1:19" x14ac:dyDescent="0.3">
      <c r="A69" s="197" t="s">
        <v>215</v>
      </c>
      <c r="F69" s="419" t="s">
        <v>31</v>
      </c>
      <c r="G69" s="221">
        <v>75.12</v>
      </c>
      <c r="H69" s="421">
        <v>0.04</v>
      </c>
      <c r="I69" s="211"/>
      <c r="J69" s="514" t="s">
        <v>505</v>
      </c>
      <c r="K69" s="515"/>
      <c r="L69" s="515"/>
      <c r="M69" s="515"/>
      <c r="N69" s="515"/>
      <c r="O69" s="515"/>
      <c r="P69" s="515"/>
      <c r="Q69" s="515"/>
      <c r="R69" s="515"/>
      <c r="S69" s="516"/>
    </row>
    <row r="70" spans="1:19" ht="16.2" thickBot="1" x14ac:dyDescent="0.35">
      <c r="A70" s="197" t="s">
        <v>67</v>
      </c>
      <c r="F70" s="419" t="s">
        <v>137</v>
      </c>
      <c r="G70" s="342">
        <v>0</v>
      </c>
      <c r="H70" s="396"/>
      <c r="I70" s="211"/>
      <c r="J70" s="514" t="s">
        <v>507</v>
      </c>
      <c r="K70" s="515"/>
      <c r="L70" s="515"/>
      <c r="M70" s="515"/>
      <c r="N70" s="515"/>
      <c r="O70" s="515"/>
      <c r="P70" s="515"/>
      <c r="Q70" s="515"/>
      <c r="R70" s="515"/>
      <c r="S70" s="516"/>
    </row>
    <row r="71" spans="1:19" ht="16.2" thickTop="1" x14ac:dyDescent="0.3">
      <c r="A71" s="231" t="s">
        <v>68</v>
      </c>
      <c r="F71" s="223"/>
      <c r="G71" s="314">
        <f>G64-SUMIFS(G65:G70,F65:F70,"Ja")</f>
        <v>1377.4921999999999</v>
      </c>
      <c r="H71" s="224"/>
      <c r="I71" s="212"/>
      <c r="J71" s="213"/>
    </row>
    <row r="72" spans="1:19" x14ac:dyDescent="0.3">
      <c r="A72" s="214"/>
      <c r="F72" s="225"/>
      <c r="G72" s="226"/>
      <c r="H72" s="226"/>
      <c r="I72" s="213"/>
      <c r="J72" s="213"/>
    </row>
    <row r="73" spans="1:19" x14ac:dyDescent="0.3">
      <c r="A73" s="216" t="s">
        <v>69</v>
      </c>
      <c r="F73" s="217"/>
      <c r="G73" s="503">
        <f>G71/G64</f>
        <v>0.73348892438764635</v>
      </c>
      <c r="H73" s="504"/>
      <c r="I73" s="213"/>
      <c r="J73" s="213"/>
    </row>
    <row r="76" spans="1:19" x14ac:dyDescent="0.3">
      <c r="A76" s="5" t="s">
        <v>70</v>
      </c>
    </row>
    <row r="77" spans="1:19" x14ac:dyDescent="0.3">
      <c r="A77" s="505"/>
      <c r="B77" s="506"/>
      <c r="C77" s="506"/>
      <c r="D77" s="506"/>
      <c r="E77" s="506"/>
      <c r="F77" s="506"/>
      <c r="G77" s="506"/>
      <c r="H77" s="506"/>
      <c r="I77" s="506"/>
      <c r="J77" s="506"/>
      <c r="K77" s="506"/>
      <c r="L77" s="506"/>
      <c r="M77" s="506"/>
      <c r="N77" s="506"/>
      <c r="O77" s="506"/>
      <c r="P77" s="506"/>
      <c r="Q77" s="506"/>
      <c r="R77" s="506"/>
      <c r="S77" s="507"/>
    </row>
    <row r="78" spans="1:19" x14ac:dyDescent="0.3">
      <c r="A78" s="508"/>
      <c r="B78" s="509"/>
      <c r="C78" s="509"/>
      <c r="D78" s="509"/>
      <c r="E78" s="509"/>
      <c r="F78" s="509"/>
      <c r="G78" s="509"/>
      <c r="H78" s="509"/>
      <c r="I78" s="509"/>
      <c r="J78" s="509"/>
      <c r="K78" s="509"/>
      <c r="L78" s="509"/>
      <c r="M78" s="509"/>
      <c r="N78" s="509"/>
      <c r="O78" s="509"/>
      <c r="P78" s="509"/>
      <c r="Q78" s="509"/>
      <c r="R78" s="509"/>
      <c r="S78" s="510"/>
    </row>
    <row r="79" spans="1:19" x14ac:dyDescent="0.3">
      <c r="A79" s="508"/>
      <c r="B79" s="509"/>
      <c r="C79" s="509"/>
      <c r="D79" s="509"/>
      <c r="E79" s="509"/>
      <c r="F79" s="509"/>
      <c r="G79" s="509"/>
      <c r="H79" s="509"/>
      <c r="I79" s="509"/>
      <c r="J79" s="509"/>
      <c r="K79" s="509"/>
      <c r="L79" s="509"/>
      <c r="M79" s="509"/>
      <c r="N79" s="509"/>
      <c r="O79" s="509"/>
      <c r="P79" s="509"/>
      <c r="Q79" s="509"/>
      <c r="R79" s="509"/>
      <c r="S79" s="510"/>
    </row>
    <row r="80" spans="1:19" x14ac:dyDescent="0.3">
      <c r="A80" s="508"/>
      <c r="B80" s="509"/>
      <c r="C80" s="509"/>
      <c r="D80" s="509"/>
      <c r="E80" s="509"/>
      <c r="F80" s="509"/>
      <c r="G80" s="509"/>
      <c r="H80" s="509"/>
      <c r="I80" s="509"/>
      <c r="J80" s="509"/>
      <c r="K80" s="509"/>
      <c r="L80" s="509"/>
      <c r="M80" s="509"/>
      <c r="N80" s="509"/>
      <c r="O80" s="509"/>
      <c r="P80" s="509"/>
      <c r="Q80" s="509"/>
      <c r="R80" s="509"/>
      <c r="S80" s="510"/>
    </row>
    <row r="81" spans="1:19" x14ac:dyDescent="0.3">
      <c r="A81" s="508"/>
      <c r="B81" s="509"/>
      <c r="C81" s="509"/>
      <c r="D81" s="509"/>
      <c r="E81" s="509"/>
      <c r="F81" s="509"/>
      <c r="G81" s="509"/>
      <c r="H81" s="509"/>
      <c r="I81" s="509"/>
      <c r="J81" s="509"/>
      <c r="K81" s="509"/>
      <c r="L81" s="509"/>
      <c r="M81" s="509"/>
      <c r="N81" s="509"/>
      <c r="O81" s="509"/>
      <c r="P81" s="509"/>
      <c r="Q81" s="509"/>
      <c r="R81" s="509"/>
      <c r="S81" s="510"/>
    </row>
    <row r="82" spans="1:19" x14ac:dyDescent="0.3">
      <c r="A82" s="511"/>
      <c r="B82" s="512"/>
      <c r="C82" s="512"/>
      <c r="D82" s="512"/>
      <c r="E82" s="512"/>
      <c r="F82" s="512"/>
      <c r="G82" s="512"/>
      <c r="H82" s="512"/>
      <c r="I82" s="512"/>
      <c r="J82" s="512"/>
      <c r="K82" s="512"/>
      <c r="L82" s="512"/>
      <c r="M82" s="512"/>
      <c r="N82" s="512"/>
      <c r="O82" s="512"/>
      <c r="P82" s="512"/>
      <c r="Q82" s="512"/>
      <c r="R82" s="512"/>
      <c r="S82" s="513"/>
    </row>
  </sheetData>
  <sheetProtection algorithmName="SHA-512" hashValue="Iu/j6EfpSmIcEUUkjuYWl7UNM0FByqktLOQLcWj2OUv1iSC811K5JH/5nvinr6VCG3fzlT2JLiXQvuF48dd9jg==" saltValue="l/W5sEU12ligCz3bKIDhiA==" spinCount="100000" sheet="1"/>
  <protectedRanges>
    <protectedRange algorithmName="SHA-512" hashValue="zrr1YC170iD4z5ngO6i+dvye2WxwMuZwyCItKXOM0Fb0EC895yDhie8vErJXeoL6fSMcx6aoO1sn5XcoWfI8lg==" saltValue="T/jZUAo6mJPMXMKTIHv+sw==" spinCount="100000" sqref="H65 F65:F70 H67:H70" name="Inputcellen_3"/>
  </protectedRanges>
  <mergeCells count="33">
    <mergeCell ref="A4:M4"/>
    <mergeCell ref="P33:Q33"/>
    <mergeCell ref="P6:Q6"/>
    <mergeCell ref="F7:G7"/>
    <mergeCell ref="H7:I7"/>
    <mergeCell ref="J7:K7"/>
    <mergeCell ref="L7:M7"/>
    <mergeCell ref="N7:O7"/>
    <mergeCell ref="P7:Q7"/>
    <mergeCell ref="N6:O6"/>
    <mergeCell ref="F33:G33"/>
    <mergeCell ref="H33:I33"/>
    <mergeCell ref="J33:K33"/>
    <mergeCell ref="L33:M33"/>
    <mergeCell ref="A77:S82"/>
    <mergeCell ref="I56:S56"/>
    <mergeCell ref="H57:S57"/>
    <mergeCell ref="I58:S58"/>
    <mergeCell ref="H59:S59"/>
    <mergeCell ref="H60:S60"/>
    <mergeCell ref="J64:S64"/>
    <mergeCell ref="J65:S65"/>
    <mergeCell ref="J66:S66"/>
    <mergeCell ref="J67:S67"/>
    <mergeCell ref="J69:S69"/>
    <mergeCell ref="J68:S68"/>
    <mergeCell ref="G73:H73"/>
    <mergeCell ref="J70:S70"/>
    <mergeCell ref="N33:O33"/>
    <mergeCell ref="F6:G6"/>
    <mergeCell ref="H6:I6"/>
    <mergeCell ref="J6:K6"/>
    <mergeCell ref="L6:M6"/>
  </mergeCells>
  <conditionalFormatting sqref="F46:F47 F53 F56:F60">
    <cfRule type="expression" dxfId="24" priority="3">
      <formula>$C$79="Opslag"</formula>
    </cfRule>
  </conditionalFormatting>
  <conditionalFormatting sqref="F49:F51">
    <cfRule type="expression" dxfId="23" priority="4">
      <formula>$C$79="Opslag"</formula>
    </cfRule>
  </conditionalFormatting>
  <conditionalFormatting sqref="F61">
    <cfRule type="expression" dxfId="22" priority="7">
      <formula>$C$78="Opslag"</formula>
    </cfRule>
  </conditionalFormatting>
  <conditionalFormatting sqref="T33">
    <cfRule type="expression" dxfId="21" priority="5">
      <formula>$T$33=1</formula>
    </cfRule>
    <cfRule type="expression" dxfId="20" priority="6">
      <formula>$T$33&lt;&gt;1</formula>
    </cfRule>
  </conditionalFormatting>
  <dataValidations count="1">
    <dataValidation errorStyle="information" allowBlank="1" showInputMessage="1" showErrorMessage="1" errorTitle="Verplicht veld" error="Vul hier de gemiddelde inschaling in voor de desbetreffende functie." sqref="F8 H8 J8 P8" xr:uid="{C8D3C5F6-8BEB-40B5-BD01-05D816424FA2}"/>
  </dataValidations>
  <pageMargins left="0.7" right="0.7" top="0.75" bottom="0.75" header="0.3" footer="0.3"/>
  <pageSetup paperSize="9" scale="44"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B8CC8-218B-444C-AC46-8D03A403084A}">
  <sheetPr codeName="Sheet8">
    <tabColor rgb="FF7030A0"/>
    <pageSetUpPr fitToPage="1"/>
  </sheetPr>
  <dimension ref="A2:U81"/>
  <sheetViews>
    <sheetView zoomScale="80" zoomScaleNormal="80" workbookViewId="0">
      <pane ySplit="4" topLeftCell="A5" activePane="bottomLeft" state="frozen"/>
      <selection activeCell="F16" sqref="F16"/>
      <selection pane="bottomLeft" activeCell="F16" sqref="F16"/>
    </sheetView>
  </sheetViews>
  <sheetFormatPr defaultColWidth="10.5" defaultRowHeight="15.6" x14ac:dyDescent="0.3"/>
  <cols>
    <col min="1" max="1" width="64" style="5" customWidth="1"/>
    <col min="2" max="2" width="0.5" style="6" customWidth="1"/>
    <col min="3" max="3" width="14" style="6" hidden="1" customWidth="1"/>
    <col min="4" max="5" width="0.5" style="6" customWidth="1"/>
    <col min="6" max="6" width="14.8984375" style="6" customWidth="1"/>
    <col min="7" max="7" width="14.3984375" style="6" customWidth="1"/>
    <col min="8" max="8" width="13.8984375" style="6" customWidth="1"/>
    <col min="9" max="9" width="12.8984375" style="6" customWidth="1"/>
    <col min="10" max="10" width="12.09765625" style="6" customWidth="1"/>
    <col min="11" max="11" width="12.3984375" style="6" customWidth="1"/>
    <col min="12" max="12" width="12.5" style="6" customWidth="1"/>
    <col min="13" max="13" width="13.09765625" style="6" customWidth="1"/>
    <col min="14" max="14" width="13.59765625" style="6" customWidth="1"/>
    <col min="15" max="15" width="14.8984375" style="6" customWidth="1"/>
    <col min="16" max="16" width="13.5" style="6" customWidth="1"/>
    <col min="17" max="17" width="13" style="6" customWidth="1"/>
    <col min="18" max="18" width="1.3984375" style="5" customWidth="1"/>
    <col min="19" max="19" width="33" style="5" customWidth="1"/>
    <col min="20" max="20" width="4.5" style="5" customWidth="1"/>
    <col min="21" max="16384" width="10.5" style="5"/>
  </cols>
  <sheetData>
    <row r="2" spans="1:21" ht="18" customHeight="1" x14ac:dyDescent="0.3">
      <c r="A2" s="236" t="s">
        <v>26</v>
      </c>
      <c r="B2" s="237"/>
      <c r="C2" s="237"/>
      <c r="D2" s="237"/>
      <c r="E2" s="237"/>
      <c r="F2" s="238"/>
    </row>
    <row r="3" spans="1:21" x14ac:dyDescent="0.3">
      <c r="A3" s="239" t="s">
        <v>27</v>
      </c>
      <c r="B3" s="240"/>
      <c r="C3" s="240"/>
      <c r="D3" s="240"/>
      <c r="E3" s="240"/>
      <c r="F3" s="241"/>
    </row>
    <row r="4" spans="1:21" s="18" customFormat="1" ht="18" x14ac:dyDescent="0.35">
      <c r="A4" s="352" t="s">
        <v>190</v>
      </c>
      <c r="B4" s="93"/>
      <c r="C4" s="93"/>
      <c r="D4" s="93"/>
      <c r="E4" s="93"/>
      <c r="F4" s="524"/>
      <c r="G4" s="524"/>
      <c r="H4" s="524"/>
      <c r="I4" s="524"/>
      <c r="J4" s="524"/>
      <c r="K4" s="524"/>
      <c r="L4" s="524"/>
      <c r="M4" s="524"/>
      <c r="N4" s="119"/>
      <c r="O4" s="119"/>
      <c r="P4" s="92"/>
      <c r="Q4" s="92"/>
      <c r="R4" s="39"/>
    </row>
    <row r="5" spans="1:21" ht="16.2" thickBot="1" x14ac:dyDescent="0.35">
      <c r="A5" s="106"/>
      <c r="B5" s="107"/>
      <c r="C5" s="107"/>
      <c r="D5" s="107"/>
      <c r="E5" s="107"/>
      <c r="F5" s="139"/>
      <c r="G5" s="319"/>
      <c r="H5" s="132"/>
      <c r="I5" s="132"/>
      <c r="J5" s="132"/>
      <c r="K5" s="132"/>
      <c r="L5" s="132"/>
      <c r="M5" s="132"/>
      <c r="N5" s="132"/>
      <c r="O5" s="132"/>
      <c r="P5" s="132"/>
      <c r="Q5" s="132"/>
      <c r="R5" s="83"/>
    </row>
    <row r="6" spans="1:21" ht="24.9" customHeight="1" thickBot="1" x14ac:dyDescent="0.35">
      <c r="A6" s="95" t="s">
        <v>28</v>
      </c>
      <c r="B6" s="88"/>
      <c r="C6" s="86" t="s">
        <v>29</v>
      </c>
      <c r="D6" s="88"/>
      <c r="E6" s="88"/>
      <c r="F6" s="492" t="str">
        <f>'Algemene kostprijsfactoren'!C4</f>
        <v>Cao_GGZ</v>
      </c>
      <c r="G6" s="493"/>
      <c r="H6" s="492" t="str">
        <f>F6</f>
        <v>Cao_GGZ</v>
      </c>
      <c r="I6" s="493"/>
      <c r="J6" s="492" t="str">
        <f>F6</f>
        <v>Cao_GGZ</v>
      </c>
      <c r="K6" s="493"/>
      <c r="L6" s="492" t="str">
        <f>F6</f>
        <v>Cao_GGZ</v>
      </c>
      <c r="M6" s="493"/>
      <c r="N6" s="492" t="str">
        <f>F6</f>
        <v>Cao_GGZ</v>
      </c>
      <c r="O6" s="493"/>
      <c r="P6" s="492" t="str">
        <f>F6</f>
        <v>Cao_GGZ</v>
      </c>
      <c r="Q6" s="493"/>
      <c r="R6" s="89"/>
      <c r="U6"/>
    </row>
    <row r="7" spans="1:21" ht="16.2" thickBot="1" x14ac:dyDescent="0.35">
      <c r="A7" s="96" t="s">
        <v>30</v>
      </c>
      <c r="B7" s="87"/>
      <c r="C7" s="87"/>
      <c r="D7" s="87"/>
      <c r="E7" s="87"/>
      <c r="F7" s="87"/>
      <c r="G7" s="114"/>
      <c r="H7" s="116"/>
      <c r="I7" s="114"/>
      <c r="J7" s="116"/>
      <c r="K7" s="114"/>
      <c r="L7" s="87"/>
      <c r="M7" s="87"/>
      <c r="N7" s="116"/>
      <c r="O7" s="114"/>
      <c r="P7" s="116"/>
      <c r="Q7" s="114"/>
      <c r="R7" s="1"/>
      <c r="S7" s="193" t="s">
        <v>8</v>
      </c>
    </row>
    <row r="8" spans="1:21" ht="15.9" customHeight="1" thickBot="1" x14ac:dyDescent="0.35">
      <c r="A8" s="97" t="s">
        <v>201</v>
      </c>
      <c r="B8" s="156"/>
      <c r="C8" s="99"/>
      <c r="D8" s="156"/>
      <c r="E8" s="156"/>
      <c r="F8" s="334" t="s">
        <v>210</v>
      </c>
      <c r="G8" s="335"/>
      <c r="H8" s="334" t="s">
        <v>210</v>
      </c>
      <c r="I8" s="335"/>
      <c r="J8" s="334" t="s">
        <v>210</v>
      </c>
      <c r="K8" s="335"/>
      <c r="L8" s="334" t="s">
        <v>210</v>
      </c>
      <c r="M8" s="335"/>
      <c r="N8" s="334" t="s">
        <v>210</v>
      </c>
      <c r="O8" s="335"/>
      <c r="P8" s="334" t="s">
        <v>210</v>
      </c>
      <c r="Q8" s="335"/>
      <c r="R8" s="82"/>
      <c r="S8" s="325"/>
      <c r="T8" s="133"/>
    </row>
    <row r="9" spans="1:21" ht="15.9" customHeight="1" x14ac:dyDescent="0.3">
      <c r="A9" s="97" t="s">
        <v>71</v>
      </c>
      <c r="B9" s="156"/>
      <c r="C9" s="99"/>
      <c r="D9" s="156"/>
      <c r="E9" s="156"/>
      <c r="F9" s="158"/>
      <c r="G9" s="160">
        <f>G8/156.5</f>
        <v>0</v>
      </c>
      <c r="H9" s="158"/>
      <c r="I9" s="160">
        <f>I8/156.5</f>
        <v>0</v>
      </c>
      <c r="J9" s="158"/>
      <c r="K9" s="160">
        <f>K8/156.5</f>
        <v>0</v>
      </c>
      <c r="L9" s="158"/>
      <c r="M9" s="160">
        <f>M8/156.5</f>
        <v>0</v>
      </c>
      <c r="N9" s="158"/>
      <c r="O9" s="160">
        <f>O8/156.5</f>
        <v>0</v>
      </c>
      <c r="P9" s="158"/>
      <c r="Q9" s="160">
        <f>Q8/156.5</f>
        <v>0</v>
      </c>
      <c r="R9" s="82"/>
      <c r="S9" s="133"/>
      <c r="T9" s="133"/>
    </row>
    <row r="10" spans="1:21" ht="15.9" customHeight="1" x14ac:dyDescent="0.3">
      <c r="A10" s="94" t="s">
        <v>4</v>
      </c>
      <c r="B10" s="156"/>
      <c r="C10" s="99" t="s">
        <v>31</v>
      </c>
      <c r="D10" s="156"/>
      <c r="E10" s="156"/>
      <c r="F10" s="158">
        <f>IF(F6&lt;&gt;"",8%,"")</f>
        <v>0.08</v>
      </c>
      <c r="G10" s="157">
        <f>MAX(1.07,F10*G9)</f>
        <v>1.07</v>
      </c>
      <c r="H10" s="158">
        <f>IF(H6&lt;&gt;"",8%,"")</f>
        <v>0.08</v>
      </c>
      <c r="I10" s="157">
        <f>MAX(1.07,H10*I9)</f>
        <v>1.07</v>
      </c>
      <c r="J10" s="158">
        <f>IF(J6&lt;&gt;"",8%,"")</f>
        <v>0.08</v>
      </c>
      <c r="K10" s="157">
        <f>MAX(1.07,J10*K9)</f>
        <v>1.07</v>
      </c>
      <c r="L10" s="158">
        <f>IF(L6&lt;&gt;"",8%,"")</f>
        <v>0.08</v>
      </c>
      <c r="M10" s="157">
        <f>MAX(1.07,L10*M9)</f>
        <v>1.07</v>
      </c>
      <c r="N10" s="158">
        <f>IF(N6&lt;&gt;"",8%,"")</f>
        <v>0.08</v>
      </c>
      <c r="O10" s="157">
        <f>MAX(1.07,N10*O9)</f>
        <v>1.07</v>
      </c>
      <c r="P10" s="158">
        <f>IF(P6&lt;&gt;"",8%,"")</f>
        <v>0.08</v>
      </c>
      <c r="Q10" s="157">
        <f>MAX(1.07,P10*Q9)</f>
        <v>1.07</v>
      </c>
      <c r="R10" s="83"/>
      <c r="S10" s="134"/>
      <c r="T10" s="134"/>
    </row>
    <row r="11" spans="1:21" ht="15.9" customHeight="1" x14ac:dyDescent="0.3">
      <c r="A11" s="111" t="s">
        <v>32</v>
      </c>
      <c r="B11" s="156"/>
      <c r="C11" s="99"/>
      <c r="D11" s="156"/>
      <c r="E11" s="156"/>
      <c r="F11" s="158"/>
      <c r="G11" s="160">
        <f>G9+G10</f>
        <v>1.07</v>
      </c>
      <c r="H11" s="158"/>
      <c r="I11" s="160">
        <f>I9+I10</f>
        <v>1.07</v>
      </c>
      <c r="J11" s="158"/>
      <c r="K11" s="160">
        <f>K9+K10</f>
        <v>1.07</v>
      </c>
      <c r="L11" s="158"/>
      <c r="M11" s="160">
        <f>M9+M10</f>
        <v>1.07</v>
      </c>
      <c r="N11" s="158"/>
      <c r="O11" s="160">
        <f>O9+O10</f>
        <v>1.07</v>
      </c>
      <c r="P11" s="158"/>
      <c r="Q11" s="160">
        <f>Q9+Q10</f>
        <v>1.07</v>
      </c>
      <c r="R11" s="83"/>
      <c r="S11" s="134"/>
      <c r="T11" s="134"/>
    </row>
    <row r="12" spans="1:21" ht="15.9" customHeight="1" x14ac:dyDescent="0.3">
      <c r="A12" s="94" t="s">
        <v>33</v>
      </c>
      <c r="B12" s="156"/>
      <c r="C12" s="99" t="s">
        <v>31</v>
      </c>
      <c r="D12" s="156"/>
      <c r="E12" s="156"/>
      <c r="F12" s="161">
        <f>VLOOKUP(F$6,Toelichting!$A$28:$B$31,2,TRUE)</f>
        <v>8.3299999999999999E-2</v>
      </c>
      <c r="G12" s="159">
        <f>MAX(1.14,F12*G9)</f>
        <v>1.1399999999999999</v>
      </c>
      <c r="H12" s="161">
        <f>VLOOKUP(H$6,Toelichting!$A$28:$B$31,2,TRUE)</f>
        <v>8.3299999999999999E-2</v>
      </c>
      <c r="I12" s="159">
        <f>MAX(1.14,H12*I9)</f>
        <v>1.1399999999999999</v>
      </c>
      <c r="J12" s="161">
        <f>VLOOKUP(J$6,Toelichting!$A$28:$B$31,2,TRUE)</f>
        <v>8.3299999999999999E-2</v>
      </c>
      <c r="K12" s="159">
        <f>MAX(1.14,J12*K9)</f>
        <v>1.1399999999999999</v>
      </c>
      <c r="L12" s="161">
        <f>VLOOKUP(L$6,Toelichting!$A$28:$B$31,2,TRUE)</f>
        <v>8.3299999999999999E-2</v>
      </c>
      <c r="M12" s="159">
        <f>MAX(1.14,L12*M9)</f>
        <v>1.1399999999999999</v>
      </c>
      <c r="N12" s="161">
        <f>VLOOKUP(N$6,Toelichting!$A$28:$B$31,2,TRUE)</f>
        <v>8.3299999999999999E-2</v>
      </c>
      <c r="O12" s="159">
        <f>MAX(1.14,N12*O9)</f>
        <v>1.1399999999999999</v>
      </c>
      <c r="P12" s="161">
        <f>VLOOKUP(P$6,Toelichting!$A$28:$B$31,2,TRUE)</f>
        <v>8.3299999999999999E-2</v>
      </c>
      <c r="Q12" s="159">
        <f>MAX(1.14,P12*Q9)</f>
        <v>1.1399999999999999</v>
      </c>
      <c r="R12" s="83"/>
      <c r="S12" s="134"/>
      <c r="T12" s="134"/>
    </row>
    <row r="13" spans="1:21" ht="16.2" hidden="1" thickBot="1" x14ac:dyDescent="0.35">
      <c r="A13" s="97" t="s">
        <v>34</v>
      </c>
      <c r="B13" s="156"/>
      <c r="C13" s="99"/>
      <c r="D13" s="156"/>
      <c r="E13" s="156"/>
      <c r="F13" s="345">
        <v>0</v>
      </c>
      <c r="G13" s="320">
        <f>F13*G11</f>
        <v>0</v>
      </c>
      <c r="H13" s="345">
        <v>0</v>
      </c>
      <c r="I13" s="162">
        <f>H13*I11</f>
        <v>0</v>
      </c>
      <c r="J13" s="345">
        <v>0</v>
      </c>
      <c r="K13" s="162">
        <f>J13*K11</f>
        <v>0</v>
      </c>
      <c r="L13" s="345"/>
      <c r="M13" s="162">
        <f>L13*M11</f>
        <v>0</v>
      </c>
      <c r="N13" s="345"/>
      <c r="O13" s="162">
        <f>N13*O11</f>
        <v>0</v>
      </c>
      <c r="P13" s="345"/>
      <c r="Q13" s="162">
        <f>P13*Q11</f>
        <v>0</v>
      </c>
      <c r="R13" s="82"/>
    </row>
    <row r="14" spans="1:21" x14ac:dyDescent="0.3">
      <c r="A14" s="108" t="s">
        <v>35</v>
      </c>
      <c r="B14" s="126"/>
      <c r="C14" s="98"/>
      <c r="D14" s="126"/>
      <c r="E14" s="135">
        <f>SUM(E$10:E$12)</f>
        <v>0</v>
      </c>
      <c r="F14" s="321"/>
      <c r="G14" s="272">
        <f>SUM(G$11:G$13)</f>
        <v>2.21</v>
      </c>
      <c r="H14" s="273"/>
      <c r="I14" s="272">
        <f>SUM(I$11:I$13)</f>
        <v>2.21</v>
      </c>
      <c r="J14" s="273"/>
      <c r="K14" s="272">
        <f>SUM(K$11:K$13)</f>
        <v>2.21</v>
      </c>
      <c r="L14" s="274"/>
      <c r="M14" s="272">
        <f>SUM(M$11:M$13)</f>
        <v>2.21</v>
      </c>
      <c r="N14" s="275"/>
      <c r="O14" s="272">
        <f>SUM(O$11:O$13)</f>
        <v>2.21</v>
      </c>
      <c r="P14" s="274"/>
      <c r="Q14" s="272">
        <f>SUM(Q$11:Q$13)</f>
        <v>2.21</v>
      </c>
      <c r="R14" s="136"/>
      <c r="S14" s="133"/>
      <c r="T14" s="133"/>
    </row>
    <row r="15" spans="1:21" x14ac:dyDescent="0.3">
      <c r="A15" s="144" t="s">
        <v>36</v>
      </c>
      <c r="B15" s="126"/>
      <c r="C15" s="98"/>
      <c r="D15" s="126"/>
      <c r="E15" s="135"/>
      <c r="F15" s="276">
        <f>$F$61</f>
        <v>0.19260000000000002</v>
      </c>
      <c r="G15" s="277"/>
      <c r="H15" s="276">
        <f>$F$61</f>
        <v>0.19260000000000002</v>
      </c>
      <c r="I15" s="277"/>
      <c r="J15" s="276">
        <f>$F$61</f>
        <v>0.19260000000000002</v>
      </c>
      <c r="K15" s="277"/>
      <c r="L15" s="276">
        <f>$F$61</f>
        <v>0.19260000000000002</v>
      </c>
      <c r="M15" s="277"/>
      <c r="N15" s="276">
        <f>$F$61</f>
        <v>0.19260000000000002</v>
      </c>
      <c r="O15" s="163"/>
      <c r="P15" s="276">
        <f>$F$61</f>
        <v>0.19260000000000002</v>
      </c>
      <c r="Q15" s="277"/>
      <c r="R15" s="143"/>
      <c r="S15" s="325" t="s">
        <v>82</v>
      </c>
      <c r="T15" s="133"/>
    </row>
    <row r="16" spans="1:21" x14ac:dyDescent="0.3">
      <c r="A16" s="144" t="s">
        <v>38</v>
      </c>
      <c r="B16" s="126"/>
      <c r="C16" s="98"/>
      <c r="D16" s="126"/>
      <c r="E16" s="135"/>
      <c r="F16" s="276">
        <f>G49</f>
        <v>-0.38866223815650608</v>
      </c>
      <c r="G16" s="277"/>
      <c r="H16" s="276">
        <f>H49</f>
        <v>-0.38866223815650608</v>
      </c>
      <c r="I16" s="277"/>
      <c r="J16" s="276">
        <f>I49</f>
        <v>-0.38866223815650608</v>
      </c>
      <c r="K16" s="277"/>
      <c r="L16" s="276">
        <f>J49</f>
        <v>-0.38866223815650608</v>
      </c>
      <c r="M16" s="277"/>
      <c r="N16" s="276">
        <f>K49</f>
        <v>-0.38866223815650608</v>
      </c>
      <c r="O16" s="163"/>
      <c r="P16" s="276">
        <f>L49</f>
        <v>-0.38866223815650608</v>
      </c>
      <c r="Q16" s="277"/>
      <c r="R16" s="143"/>
      <c r="S16" s="133"/>
      <c r="T16" s="133"/>
    </row>
    <row r="17" spans="1:20" x14ac:dyDescent="0.3">
      <c r="A17" s="144" t="s">
        <v>39</v>
      </c>
      <c r="B17" s="126"/>
      <c r="C17" s="98"/>
      <c r="D17" s="126"/>
      <c r="E17" s="135"/>
      <c r="F17" s="276">
        <f>G53</f>
        <v>-1.460987909540813E-2</v>
      </c>
      <c r="G17" s="277"/>
      <c r="H17" s="276">
        <f>H53</f>
        <v>-1.460987909540813E-2</v>
      </c>
      <c r="I17" s="277"/>
      <c r="J17" s="276">
        <f>I53</f>
        <v>-1.460987909540813E-2</v>
      </c>
      <c r="K17" s="277"/>
      <c r="L17" s="276">
        <f>J53</f>
        <v>-1.460987909540813E-2</v>
      </c>
      <c r="M17" s="277"/>
      <c r="N17" s="276">
        <f>K53</f>
        <v>-1.460987909540813E-2</v>
      </c>
      <c r="O17" s="163"/>
      <c r="P17" s="276">
        <f>L53</f>
        <v>-1.460987909540813E-2</v>
      </c>
      <c r="Q17" s="277"/>
      <c r="R17" s="143"/>
      <c r="S17" s="133"/>
      <c r="T17" s="133"/>
    </row>
    <row r="18" spans="1:20" x14ac:dyDescent="0.3">
      <c r="A18" s="109" t="s">
        <v>40</v>
      </c>
      <c r="B18" s="126"/>
      <c r="C18" s="98"/>
      <c r="D18" s="126"/>
      <c r="E18" s="126"/>
      <c r="F18" s="278">
        <f>F15+F16+F17</f>
        <v>-0.21067211725191418</v>
      </c>
      <c r="G18" s="279">
        <f>F18*G14</f>
        <v>-0.46558537912673031</v>
      </c>
      <c r="H18" s="278">
        <f>H15+H16+H17</f>
        <v>-0.21067211725191418</v>
      </c>
      <c r="I18" s="279">
        <f>H18*I14</f>
        <v>-0.46558537912673031</v>
      </c>
      <c r="J18" s="278">
        <f>J15+J16+J17</f>
        <v>-0.21067211725191418</v>
      </c>
      <c r="K18" s="279">
        <f>J18*K14</f>
        <v>-0.46558537912673031</v>
      </c>
      <c r="L18" s="278">
        <f>L15+L16+L17</f>
        <v>-0.21067211725191418</v>
      </c>
      <c r="M18" s="279">
        <f>L18*M14</f>
        <v>-0.46558537912673031</v>
      </c>
      <c r="N18" s="280">
        <f>N15+N16+N17</f>
        <v>-0.21067211725191418</v>
      </c>
      <c r="O18" s="281">
        <f>N18*O14</f>
        <v>-0.46558537912673031</v>
      </c>
      <c r="P18" s="278">
        <f>P15+P16+P17</f>
        <v>-0.21067211725191418</v>
      </c>
      <c r="Q18" s="279">
        <f>P18*Q14</f>
        <v>-0.46558537912673031</v>
      </c>
      <c r="R18" s="137"/>
      <c r="S18" s="325" t="s">
        <v>82</v>
      </c>
      <c r="T18" s="133"/>
    </row>
    <row r="19" spans="1:20" x14ac:dyDescent="0.3">
      <c r="A19" s="110" t="s">
        <v>41</v>
      </c>
      <c r="B19" s="126"/>
      <c r="C19" s="98"/>
      <c r="D19" s="126"/>
      <c r="E19" s="126"/>
      <c r="F19" s="282"/>
      <c r="G19" s="283">
        <f>G14+G18</f>
        <v>1.7444146208732696</v>
      </c>
      <c r="H19" s="284"/>
      <c r="I19" s="283">
        <f>I14+I18</f>
        <v>1.7444146208732696</v>
      </c>
      <c r="J19" s="284"/>
      <c r="K19" s="283">
        <f>K14+K18</f>
        <v>1.7444146208732696</v>
      </c>
      <c r="L19" s="285"/>
      <c r="M19" s="283">
        <f>M14+M18</f>
        <v>1.7444146208732696</v>
      </c>
      <c r="N19" s="286"/>
      <c r="O19" s="287">
        <f>O14+O18</f>
        <v>1.7444146208732696</v>
      </c>
      <c r="P19" s="285"/>
      <c r="Q19" s="283">
        <f>Q14+Q18</f>
        <v>1.7444146208732696</v>
      </c>
      <c r="R19" s="346"/>
    </row>
    <row r="20" spans="1:20" ht="16.2" thickBot="1" x14ac:dyDescent="0.35">
      <c r="A20" s="96" t="s">
        <v>42</v>
      </c>
      <c r="B20" s="87"/>
      <c r="C20" s="125"/>
      <c r="D20" s="87"/>
      <c r="E20" s="87"/>
      <c r="F20" s="87"/>
      <c r="G20" s="114"/>
      <c r="H20" s="116"/>
      <c r="I20" s="114"/>
      <c r="J20" s="116"/>
      <c r="K20" s="114"/>
      <c r="L20" s="87"/>
      <c r="M20" s="87"/>
      <c r="N20" s="116"/>
      <c r="O20" s="114"/>
      <c r="P20" s="116"/>
      <c r="Q20" s="114"/>
      <c r="R20" s="1"/>
    </row>
    <row r="21" spans="1:20" ht="16.2" thickBot="1" x14ac:dyDescent="0.35">
      <c r="A21" s="105" t="s">
        <v>43</v>
      </c>
      <c r="B21" s="156"/>
      <c r="C21" s="99"/>
      <c r="D21" s="156"/>
      <c r="E21" s="156"/>
      <c r="F21" s="244">
        <f>G72</f>
        <v>0.73348892438764635</v>
      </c>
      <c r="G21" s="247">
        <f>G19/F21</f>
        <v>2.3782426194500417</v>
      </c>
      <c r="H21" s="164">
        <f>F21</f>
        <v>0.73348892438764635</v>
      </c>
      <c r="I21" s="165">
        <f>I19/H21</f>
        <v>2.3782426194500417</v>
      </c>
      <c r="J21" s="164">
        <f>F21</f>
        <v>0.73348892438764635</v>
      </c>
      <c r="K21" s="165">
        <f>K19/J21</f>
        <v>2.3782426194500417</v>
      </c>
      <c r="L21" s="164">
        <f>F21</f>
        <v>0.73348892438764635</v>
      </c>
      <c r="M21" s="165">
        <f>M19/L21</f>
        <v>2.3782426194500417</v>
      </c>
      <c r="N21" s="166">
        <f>F21</f>
        <v>0.73348892438764635</v>
      </c>
      <c r="O21" s="165">
        <f>O19/N21</f>
        <v>2.3782426194500417</v>
      </c>
      <c r="P21" s="166">
        <f>F21</f>
        <v>0.73348892438764635</v>
      </c>
      <c r="Q21" s="165">
        <f>Q19/P21</f>
        <v>2.3782426194500417</v>
      </c>
      <c r="R21" s="82"/>
      <c r="S21" s="5" t="s">
        <v>91</v>
      </c>
    </row>
    <row r="22" spans="1:20" x14ac:dyDescent="0.3">
      <c r="A22" s="94"/>
      <c r="B22" s="156"/>
      <c r="C22" s="99"/>
      <c r="D22" s="156"/>
      <c r="E22" s="156"/>
      <c r="F22" s="164"/>
      <c r="G22" s="322"/>
      <c r="H22" s="164"/>
      <c r="I22" s="288"/>
      <c r="J22" s="232"/>
      <c r="K22" s="288"/>
      <c r="L22" s="232"/>
      <c r="M22" s="288"/>
      <c r="N22" s="233"/>
      <c r="O22" s="288"/>
      <c r="P22" s="233"/>
      <c r="Q22" s="288"/>
      <c r="R22" s="82"/>
    </row>
    <row r="23" spans="1:20" x14ac:dyDescent="0.3">
      <c r="A23" s="105"/>
      <c r="B23" s="167"/>
      <c r="C23" s="98"/>
      <c r="D23" s="167"/>
      <c r="E23" s="167"/>
      <c r="F23" s="168"/>
      <c r="G23" s="248"/>
      <c r="H23" s="170"/>
      <c r="I23" s="169"/>
      <c r="J23" s="170"/>
      <c r="K23" s="169"/>
      <c r="L23" s="171"/>
      <c r="M23" s="169"/>
      <c r="N23" s="170"/>
      <c r="O23" s="169"/>
      <c r="P23" s="170"/>
      <c r="Q23" s="169"/>
      <c r="R23" s="1"/>
    </row>
    <row r="24" spans="1:20" ht="18.899999999999999" customHeight="1" x14ac:dyDescent="0.3">
      <c r="A24" s="129" t="s">
        <v>46</v>
      </c>
      <c r="B24" s="130"/>
      <c r="C24" s="131"/>
      <c r="D24" s="130"/>
      <c r="E24" s="130"/>
      <c r="F24" s="138"/>
      <c r="G24" s="290">
        <f>G21+G22</f>
        <v>2.3782426194500417</v>
      </c>
      <c r="H24" s="289"/>
      <c r="I24" s="290">
        <f>I21+I22</f>
        <v>2.3782426194500417</v>
      </c>
      <c r="J24" s="289"/>
      <c r="K24" s="290">
        <f>K21+K22</f>
        <v>2.3782426194500417</v>
      </c>
      <c r="L24" s="291"/>
      <c r="M24" s="290">
        <f>M21+M22</f>
        <v>2.3782426194500417</v>
      </c>
      <c r="N24" s="292"/>
      <c r="O24" s="290">
        <f>O21+O22</f>
        <v>2.3782426194500417</v>
      </c>
      <c r="P24" s="289"/>
      <c r="Q24" s="290">
        <f>Q21+Q22</f>
        <v>2.3782426194500417</v>
      </c>
      <c r="R24" s="1"/>
    </row>
    <row r="25" spans="1:20" ht="18" customHeight="1" x14ac:dyDescent="0.3">
      <c r="A25" s="104"/>
      <c r="B25" s="87"/>
      <c r="C25" s="99"/>
      <c r="D25" s="87"/>
      <c r="E25" s="87"/>
      <c r="F25" s="139"/>
      <c r="G25" s="115"/>
      <c r="H25" s="117"/>
      <c r="I25" s="118"/>
      <c r="J25" s="117"/>
      <c r="K25" s="118"/>
      <c r="L25" s="112"/>
      <c r="M25" s="113"/>
      <c r="N25" s="117"/>
      <c r="O25" s="118"/>
      <c r="P25" s="117"/>
      <c r="Q25" s="118"/>
      <c r="R25" s="1"/>
    </row>
    <row r="26" spans="1:20" ht="16.2" thickBot="1" x14ac:dyDescent="0.35">
      <c r="A26" s="96" t="s">
        <v>47</v>
      </c>
      <c r="B26" s="87"/>
      <c r="C26" s="125"/>
      <c r="D26" s="87"/>
      <c r="E26" s="87"/>
      <c r="F26" s="87"/>
      <c r="G26" s="114"/>
      <c r="H26" s="116"/>
      <c r="I26" s="114"/>
      <c r="J26" s="116"/>
      <c r="K26" s="114"/>
      <c r="L26" s="87"/>
      <c r="M26" s="87"/>
      <c r="N26" s="116"/>
      <c r="O26" s="114"/>
      <c r="P26" s="116"/>
      <c r="Q26" s="114"/>
      <c r="R26" s="1"/>
    </row>
    <row r="27" spans="1:20" ht="16.2" thickBot="1" x14ac:dyDescent="0.35">
      <c r="A27" s="111" t="s">
        <v>214</v>
      </c>
      <c r="B27" s="100"/>
      <c r="C27" s="99"/>
      <c r="D27" s="100"/>
      <c r="E27" s="100"/>
      <c r="F27" s="244" t="e">
        <f>IF('Algemene kostprijsfactoren'!#REF!&lt;&gt;"",'Algemene kostprijsfactoren'!#REF!,'Algemene kostprijsfactoren'!#REF!)</f>
        <v>#REF!</v>
      </c>
      <c r="G27" s="245" t="e">
        <f>F27*G24</f>
        <v>#REF!</v>
      </c>
      <c r="H27" s="293" t="e">
        <f>F27</f>
        <v>#REF!</v>
      </c>
      <c r="I27" s="172" t="e">
        <f>H27*I24</f>
        <v>#REF!</v>
      </c>
      <c r="J27" s="294" t="e">
        <f>F27</f>
        <v>#REF!</v>
      </c>
      <c r="K27" s="172" t="e">
        <f>J27*K24</f>
        <v>#REF!</v>
      </c>
      <c r="L27" s="294" t="e">
        <f>F27</f>
        <v>#REF!</v>
      </c>
      <c r="M27" s="173" t="e">
        <f>L27*M24</f>
        <v>#REF!</v>
      </c>
      <c r="N27" s="295" t="e">
        <f>F27</f>
        <v>#REF!</v>
      </c>
      <c r="O27" s="296" t="e">
        <f>N27*O24</f>
        <v>#REF!</v>
      </c>
      <c r="P27" s="297" t="e">
        <f>F27</f>
        <v>#REF!</v>
      </c>
      <c r="Q27" s="172" t="e">
        <f>P27*Q24</f>
        <v>#REF!</v>
      </c>
      <c r="R27" s="1"/>
      <c r="S27" s="5" t="s">
        <v>48</v>
      </c>
    </row>
    <row r="28" spans="1:20" x14ac:dyDescent="0.3">
      <c r="A28" s="127"/>
      <c r="B28" s="100"/>
      <c r="C28" s="99"/>
      <c r="D28" s="100"/>
      <c r="E28" s="100"/>
      <c r="F28" s="246"/>
      <c r="G28" s="175"/>
      <c r="H28" s="176"/>
      <c r="I28" s="177"/>
      <c r="J28" s="174"/>
      <c r="K28" s="177"/>
      <c r="L28" s="174"/>
      <c r="M28" s="178"/>
      <c r="N28" s="298"/>
      <c r="O28" s="299"/>
      <c r="P28" s="179"/>
      <c r="Q28" s="177"/>
      <c r="R28" s="1"/>
    </row>
    <row r="29" spans="1:20" ht="16.2" thickBot="1" x14ac:dyDescent="0.35">
      <c r="A29" s="96" t="s">
        <v>49</v>
      </c>
      <c r="B29" s="100"/>
      <c r="C29" s="87"/>
      <c r="D29" s="100"/>
      <c r="E29" s="100"/>
      <c r="F29" s="180"/>
      <c r="G29" s="181"/>
      <c r="H29" s="182"/>
      <c r="I29" s="183"/>
      <c r="J29" s="180"/>
      <c r="K29" s="183"/>
      <c r="L29" s="180"/>
      <c r="M29" s="184"/>
      <c r="N29" s="300"/>
      <c r="O29" s="301"/>
      <c r="P29" s="185"/>
      <c r="Q29" s="183"/>
      <c r="R29" s="1"/>
    </row>
    <row r="30" spans="1:20" ht="16.2" thickBot="1" x14ac:dyDescent="0.35">
      <c r="A30" s="121" t="s">
        <v>50</v>
      </c>
      <c r="B30" s="87"/>
      <c r="C30" s="87"/>
      <c r="D30" s="87"/>
      <c r="E30" s="87"/>
      <c r="F30" s="250">
        <v>0.02</v>
      </c>
      <c r="G30" s="302">
        <f>F30*G24</f>
        <v>4.7564852389000836E-2</v>
      </c>
      <c r="H30" s="294">
        <f>F30</f>
        <v>0.02</v>
      </c>
      <c r="I30" s="303">
        <f>H30*I24</f>
        <v>4.7564852389000836E-2</v>
      </c>
      <c r="J30" s="294">
        <f>F30</f>
        <v>0.02</v>
      </c>
      <c r="K30" s="303">
        <f>J30*K24</f>
        <v>4.7564852389000836E-2</v>
      </c>
      <c r="L30" s="294">
        <f>F30</f>
        <v>0.02</v>
      </c>
      <c r="M30" s="304">
        <f>L30*M24</f>
        <v>4.7564852389000836E-2</v>
      </c>
      <c r="N30" s="295">
        <f>F30</f>
        <v>0.02</v>
      </c>
      <c r="O30" s="303">
        <f>N30*O24</f>
        <v>4.7564852389000836E-2</v>
      </c>
      <c r="P30" s="297">
        <f>F30</f>
        <v>0.02</v>
      </c>
      <c r="Q30" s="303">
        <f>P30*Q24</f>
        <v>4.7564852389000836E-2</v>
      </c>
      <c r="R30" s="1"/>
    </row>
    <row r="31" spans="1:20" ht="18" x14ac:dyDescent="0.3">
      <c r="A31" s="92" t="s">
        <v>51</v>
      </c>
      <c r="B31" s="122"/>
      <c r="C31" s="123"/>
      <c r="D31" s="122"/>
      <c r="E31" s="122"/>
      <c r="F31" s="103"/>
      <c r="G31" s="305" t="e">
        <f>IF(F6&lt;&gt;"",SUM(G24+G27+G30),0)</f>
        <v>#REF!</v>
      </c>
      <c r="H31" s="306"/>
      <c r="I31" s="305" t="e">
        <f>IF(H6&lt;&gt;"",SUM(I24+I27+I30),0)</f>
        <v>#REF!</v>
      </c>
      <c r="J31" s="306"/>
      <c r="K31" s="309" t="e">
        <f>IF(J6&lt;&gt;"",SUM(K24+K27+K30),0)</f>
        <v>#REF!</v>
      </c>
      <c r="L31" s="307"/>
      <c r="M31" s="305" t="e">
        <f>IF(L6&lt;&gt;"",SUM(M24+M27+M30),0)</f>
        <v>#REF!</v>
      </c>
      <c r="N31" s="308"/>
      <c r="O31" s="309" t="e">
        <f>IF(N6&lt;&gt;"",SUM(O24+O27+O30),0)</f>
        <v>#REF!</v>
      </c>
      <c r="P31" s="306"/>
      <c r="Q31" s="309" t="e">
        <f>IF(P6&lt;&gt;"",SUM(Q24+Q27+Q30),0)</f>
        <v>#REF!</v>
      </c>
      <c r="R31" s="1"/>
      <c r="S31" s="140"/>
      <c r="T31" s="140"/>
    </row>
    <row r="32" spans="1:20" ht="16.2" thickBot="1" x14ac:dyDescent="0.35">
      <c r="A32" s="96"/>
      <c r="B32" s="87"/>
      <c r="C32" s="125"/>
      <c r="D32" s="87"/>
      <c r="E32" s="87"/>
      <c r="F32" s="87"/>
      <c r="G32" s="114"/>
      <c r="H32" s="116"/>
      <c r="I32" s="114"/>
      <c r="J32" s="116"/>
      <c r="K32" s="114"/>
      <c r="L32" s="87"/>
      <c r="M32" s="87"/>
      <c r="N32" s="141"/>
      <c r="O32" s="186"/>
      <c r="P32" s="116"/>
      <c r="Q32" s="114"/>
      <c r="R32" s="1"/>
      <c r="S32" s="5" t="s">
        <v>52</v>
      </c>
      <c r="T32" s="145"/>
    </row>
    <row r="33" spans="1:20" ht="16.2" thickBot="1" x14ac:dyDescent="0.35">
      <c r="A33" s="22" t="s">
        <v>53</v>
      </c>
      <c r="B33" s="124"/>
      <c r="C33" s="124"/>
      <c r="D33" s="124"/>
      <c r="E33" s="124"/>
      <c r="F33" s="494">
        <v>1</v>
      </c>
      <c r="G33" s="495"/>
      <c r="H33" s="494">
        <v>0</v>
      </c>
      <c r="I33" s="495"/>
      <c r="J33" s="494">
        <v>0</v>
      </c>
      <c r="K33" s="495"/>
      <c r="L33" s="494">
        <v>0</v>
      </c>
      <c r="M33" s="495"/>
      <c r="N33" s="494">
        <v>0</v>
      </c>
      <c r="O33" s="495"/>
      <c r="P33" s="494">
        <v>0</v>
      </c>
      <c r="Q33" s="495"/>
      <c r="R33" s="1"/>
      <c r="S33" s="235">
        <f>SUM(F33:Q33)</f>
        <v>1</v>
      </c>
      <c r="T33" s="140"/>
    </row>
    <row r="34" spans="1:20" ht="17.25" customHeight="1" thickBot="1" x14ac:dyDescent="0.35">
      <c r="A34" s="187" t="s">
        <v>54</v>
      </c>
      <c r="B34" s="188"/>
      <c r="C34" s="188"/>
      <c r="D34" s="188"/>
      <c r="E34" s="188"/>
      <c r="F34" s="251" t="e">
        <f>(F33*G31+H33*I31+J33*K31+L33*M31+N33*O31+P33*Q31)</f>
        <v>#REF!</v>
      </c>
      <c r="G34" s="20"/>
      <c r="H34" s="20"/>
      <c r="I34" s="20"/>
      <c r="J34" s="20"/>
      <c r="K34" s="20"/>
      <c r="L34" s="20"/>
      <c r="M34" s="194"/>
      <c r="N34" s="20"/>
      <c r="O34" s="189"/>
      <c r="P34" s="190"/>
      <c r="R34" s="1"/>
    </row>
    <row r="35" spans="1:20" ht="18.600000000000001" thickBot="1" x14ac:dyDescent="0.35">
      <c r="A35" s="9" t="s">
        <v>83</v>
      </c>
      <c r="B35" s="155"/>
      <c r="C35" s="155"/>
      <c r="D35" s="155"/>
      <c r="E35" s="155"/>
      <c r="F35" s="341">
        <v>4</v>
      </c>
      <c r="H35" s="242"/>
      <c r="M35" s="13"/>
      <c r="O35" s="191"/>
      <c r="P35" s="192"/>
      <c r="Q35" s="192"/>
    </row>
    <row r="36" spans="1:20" ht="18.600000000000001" thickBot="1" x14ac:dyDescent="0.35">
      <c r="A36" s="9" t="s">
        <v>206</v>
      </c>
      <c r="B36" s="155"/>
      <c r="C36" s="155"/>
      <c r="D36" s="155"/>
      <c r="E36" s="155"/>
      <c r="F36" s="343">
        <v>11</v>
      </c>
      <c r="H36" s="242" t="s">
        <v>207</v>
      </c>
      <c r="M36" s="242"/>
      <c r="P36" s="243"/>
      <c r="Q36" s="192"/>
    </row>
    <row r="37" spans="1:20" ht="18.600000000000001" thickBot="1" x14ac:dyDescent="0.35">
      <c r="A37" s="9" t="s">
        <v>209</v>
      </c>
      <c r="B37" s="155"/>
      <c r="C37" s="155"/>
      <c r="D37" s="155"/>
      <c r="E37" s="155"/>
      <c r="F37" s="344">
        <v>1</v>
      </c>
      <c r="H37" s="242" t="s">
        <v>205</v>
      </c>
      <c r="M37" s="242"/>
      <c r="N37" s="5"/>
      <c r="P37" s="243"/>
      <c r="Q37" s="192"/>
    </row>
    <row r="38" spans="1:20" ht="18.600000000000001" thickBot="1" x14ac:dyDescent="0.35">
      <c r="A38" s="9" t="s">
        <v>84</v>
      </c>
      <c r="B38" s="155"/>
      <c r="C38" s="155"/>
      <c r="D38" s="155"/>
      <c r="E38" s="155"/>
      <c r="F38" s="344">
        <v>6.5</v>
      </c>
      <c r="H38" s="242" t="s">
        <v>205</v>
      </c>
      <c r="M38" s="13"/>
      <c r="O38" s="191"/>
      <c r="P38" s="192"/>
      <c r="Q38" s="192"/>
    </row>
    <row r="39" spans="1:20" ht="18.600000000000001" thickBot="1" x14ac:dyDescent="0.35">
      <c r="A39" s="9" t="s">
        <v>85</v>
      </c>
      <c r="B39" s="155"/>
      <c r="C39" s="155"/>
      <c r="D39" s="155"/>
      <c r="E39" s="155"/>
      <c r="F39" s="340" t="e">
        <f>F34*F35/F36+F37+F38</f>
        <v>#REF!</v>
      </c>
      <c r="M39" s="13"/>
      <c r="O39" s="192"/>
      <c r="P39" s="192"/>
      <c r="Q39" s="192"/>
    </row>
    <row r="40" spans="1:20" ht="18" x14ac:dyDescent="0.3">
      <c r="A40" s="9"/>
      <c r="B40" s="155"/>
      <c r="C40" s="155"/>
      <c r="D40" s="155"/>
      <c r="E40" s="155"/>
      <c r="M40" s="13"/>
      <c r="O40" s="191"/>
      <c r="P40" s="192"/>
      <c r="Q40" s="192"/>
    </row>
    <row r="41" spans="1:20" x14ac:dyDescent="0.3">
      <c r="F41" s="201" t="s">
        <v>55</v>
      </c>
      <c r="G41" s="202">
        <v>1878</v>
      </c>
    </row>
    <row r="42" spans="1:20" x14ac:dyDescent="0.3">
      <c r="M42" s="5"/>
      <c r="N42" s="5"/>
      <c r="O42" s="5"/>
      <c r="P42" s="5"/>
    </row>
    <row r="43" spans="1:20" x14ac:dyDescent="0.3">
      <c r="F43" s="201"/>
      <c r="G43" s="202" t="s">
        <v>72</v>
      </c>
      <c r="H43" s="202" t="s">
        <v>73</v>
      </c>
      <c r="I43" s="202" t="s">
        <v>74</v>
      </c>
      <c r="J43" s="202" t="s">
        <v>75</v>
      </c>
      <c r="K43" s="202" t="s">
        <v>76</v>
      </c>
      <c r="L43" s="202" t="s">
        <v>77</v>
      </c>
      <c r="M43" s="5"/>
    </row>
    <row r="44" spans="1:20" x14ac:dyDescent="0.3">
      <c r="F44" s="203"/>
      <c r="G44" s="203"/>
      <c r="H44" s="203"/>
      <c r="I44" s="203"/>
      <c r="J44" s="203"/>
      <c r="K44" s="203"/>
      <c r="L44" s="203"/>
      <c r="M44" s="5"/>
    </row>
    <row r="45" spans="1:20" ht="16.2" thickBot="1" x14ac:dyDescent="0.35">
      <c r="F45" s="253" t="s">
        <v>57</v>
      </c>
      <c r="G45" s="204">
        <f>$G$41*G14</f>
        <v>4150.38</v>
      </c>
      <c r="H45" s="204">
        <f>$G$41*I14</f>
        <v>4150.38</v>
      </c>
      <c r="I45" s="204">
        <f>$G$41*K14</f>
        <v>4150.38</v>
      </c>
      <c r="J45" s="204">
        <f>$G$41*M14</f>
        <v>4150.38</v>
      </c>
      <c r="K45" s="204">
        <f>$G$41*O14</f>
        <v>4150.38</v>
      </c>
      <c r="L45" s="204">
        <f>$G$41*Q14</f>
        <v>4150.38</v>
      </c>
      <c r="M45" s="5"/>
    </row>
    <row r="46" spans="1:20" ht="16.2" thickBot="1" x14ac:dyDescent="0.35">
      <c r="A46" s="197" t="s">
        <v>202</v>
      </c>
      <c r="F46" s="331">
        <f>IF('Algemene kostprijsfactoren'!$F$12&lt;&gt;"",'Algemene kostprijsfactoren'!$F$12,'Algemene kostprijsfactoren'!$C$12)</f>
        <v>0.25800000000000001</v>
      </c>
      <c r="G46" s="252">
        <f>$F$46</f>
        <v>0.25800000000000001</v>
      </c>
      <c r="H46" s="205">
        <f t="shared" ref="H46:L46" si="0">$F$46</f>
        <v>0.25800000000000001</v>
      </c>
      <c r="I46" s="205">
        <f t="shared" si="0"/>
        <v>0.25800000000000001</v>
      </c>
      <c r="J46" s="205">
        <f t="shared" si="0"/>
        <v>0.25800000000000001</v>
      </c>
      <c r="K46" s="205">
        <f t="shared" si="0"/>
        <v>0.25800000000000001</v>
      </c>
      <c r="L46" s="205">
        <f t="shared" si="0"/>
        <v>0.25800000000000001</v>
      </c>
      <c r="M46" s="5"/>
      <c r="N46" s="256" t="s">
        <v>177</v>
      </c>
      <c r="O46" s="209"/>
      <c r="P46" s="209"/>
      <c r="Q46" s="209"/>
    </row>
    <row r="47" spans="1:20" ht="16.2" thickBot="1" x14ac:dyDescent="0.35">
      <c r="A47" s="197" t="s">
        <v>179</v>
      </c>
      <c r="F47" s="332">
        <f>IF('Algemene kostprijsfactoren'!$F$13&lt;&gt;"",'Algemene kostprijsfactoren'!$F$13,'Algemene kostprijsfactoren'!$C$13)</f>
        <v>16655</v>
      </c>
      <c r="G47" s="310">
        <f>$F$47</f>
        <v>16655</v>
      </c>
      <c r="H47" s="311">
        <f t="shared" ref="H47:L47" si="1">$F$47</f>
        <v>16655</v>
      </c>
      <c r="I47" s="311">
        <f t="shared" si="1"/>
        <v>16655</v>
      </c>
      <c r="J47" s="311">
        <f t="shared" si="1"/>
        <v>16655</v>
      </c>
      <c r="K47" s="311">
        <f t="shared" si="1"/>
        <v>16655</v>
      </c>
      <c r="L47" s="311">
        <f t="shared" si="1"/>
        <v>16655</v>
      </c>
      <c r="M47"/>
      <c r="N47" s="256" t="s">
        <v>180</v>
      </c>
      <c r="O47" s="209"/>
      <c r="P47" s="209"/>
      <c r="Q47" s="209"/>
    </row>
    <row r="48" spans="1:20" ht="16.2" thickBot="1" x14ac:dyDescent="0.35">
      <c r="A48" s="197" t="s">
        <v>12</v>
      </c>
      <c r="F48" s="254"/>
      <c r="G48" s="204">
        <f>(G45-G47)*G46</f>
        <v>-3226.1919599999997</v>
      </c>
      <c r="H48" s="204">
        <f t="shared" ref="H48:K48" si="2">(H45-H47)*H46</f>
        <v>-3226.1919599999997</v>
      </c>
      <c r="I48" s="204">
        <f t="shared" si="2"/>
        <v>-3226.1919599999997</v>
      </c>
      <c r="J48" s="204">
        <f t="shared" si="2"/>
        <v>-3226.1919599999997</v>
      </c>
      <c r="K48" s="204">
        <f t="shared" si="2"/>
        <v>-3226.1919599999997</v>
      </c>
      <c r="L48" s="204">
        <f>(L45-L47)*L46</f>
        <v>-3226.1919599999997</v>
      </c>
      <c r="M48" s="5"/>
    </row>
    <row r="49" spans="1:19" ht="16.8" thickTop="1" thickBot="1" x14ac:dyDescent="0.35">
      <c r="A49" s="198" t="s">
        <v>13</v>
      </c>
      <c r="F49" s="331">
        <f>IF('Algemene kostprijsfactoren'!$F$15&lt;&gt;"",'Algemene kostprijsfactoren'!$F$15,'Algemene kostprijsfactoren'!$C$15)</f>
        <v>0.5</v>
      </c>
      <c r="G49" s="206">
        <f>(G48/G45)*$F$49</f>
        <v>-0.38866223815650608</v>
      </c>
      <c r="H49" s="206">
        <f t="shared" ref="H49:L49" si="3">(H48/H45)*$F$49</f>
        <v>-0.38866223815650608</v>
      </c>
      <c r="I49" s="206">
        <f t="shared" si="3"/>
        <v>-0.38866223815650608</v>
      </c>
      <c r="J49" s="206">
        <f t="shared" si="3"/>
        <v>-0.38866223815650608</v>
      </c>
      <c r="K49" s="206">
        <f t="shared" si="3"/>
        <v>-0.38866223815650608</v>
      </c>
      <c r="L49" s="206">
        <f t="shared" si="3"/>
        <v>-0.38866223815650608</v>
      </c>
      <c r="M49" s="5"/>
    </row>
    <row r="50" spans="1:19" ht="16.8" thickTop="1" thickBot="1" x14ac:dyDescent="0.35">
      <c r="A50" s="197" t="s">
        <v>203</v>
      </c>
      <c r="F50" s="331">
        <f>IF('Algemene kostprijsfactoren'!$F$16&lt;&gt;"",'Algemene kostprijsfactoren'!$F$16,'Algemene kostprijsfactoren'!$C$16)</f>
        <v>5.0000000000000001E-3</v>
      </c>
      <c r="G50" s="252">
        <f>$F$50</f>
        <v>5.0000000000000001E-3</v>
      </c>
      <c r="H50" s="205">
        <f t="shared" ref="H50:L50" si="4">$F$50</f>
        <v>5.0000000000000001E-3</v>
      </c>
      <c r="I50" s="205">
        <f t="shared" si="4"/>
        <v>5.0000000000000001E-3</v>
      </c>
      <c r="J50" s="205">
        <f t="shared" si="4"/>
        <v>5.0000000000000001E-3</v>
      </c>
      <c r="K50" s="205">
        <f t="shared" si="4"/>
        <v>5.0000000000000001E-3</v>
      </c>
      <c r="L50" s="205">
        <f t="shared" si="4"/>
        <v>5.0000000000000001E-3</v>
      </c>
      <c r="M50" s="5"/>
      <c r="N50" s="256" t="s">
        <v>178</v>
      </c>
      <c r="O50" s="209"/>
      <c r="P50" s="209"/>
      <c r="Q50" s="209"/>
    </row>
    <row r="51" spans="1:19" ht="16.2" thickBot="1" x14ac:dyDescent="0.35">
      <c r="A51" s="197" t="s">
        <v>204</v>
      </c>
      <c r="F51" s="332">
        <f>IF('Algemene kostprijsfactoren'!$F$17&lt;&gt;"",'Algemene kostprijsfactoren'!$F$17,'Algemene kostprijsfactoren'!$C$17)</f>
        <v>28405</v>
      </c>
      <c r="G51" s="310">
        <f>$F51</f>
        <v>28405</v>
      </c>
      <c r="H51" s="311">
        <f t="shared" ref="H51:L51" si="5">$F51</f>
        <v>28405</v>
      </c>
      <c r="I51" s="311">
        <f t="shared" si="5"/>
        <v>28405</v>
      </c>
      <c r="J51" s="311">
        <f t="shared" si="5"/>
        <v>28405</v>
      </c>
      <c r="K51" s="311">
        <f t="shared" si="5"/>
        <v>28405</v>
      </c>
      <c r="L51" s="311">
        <f t="shared" si="5"/>
        <v>28405</v>
      </c>
      <c r="M51"/>
      <c r="N51" s="256" t="s">
        <v>180</v>
      </c>
      <c r="O51" s="209"/>
      <c r="P51" s="209"/>
      <c r="Q51" s="209"/>
    </row>
    <row r="52" spans="1:19" ht="16.2" thickBot="1" x14ac:dyDescent="0.35">
      <c r="A52" s="199" t="s">
        <v>14</v>
      </c>
      <c r="F52" s="255"/>
      <c r="G52" s="207">
        <f>(G45-G51)*G50</f>
        <v>-121.2731</v>
      </c>
      <c r="H52" s="207">
        <f t="shared" ref="H52:L52" si="6">(H45-H51)*H50</f>
        <v>-121.2731</v>
      </c>
      <c r="I52" s="207">
        <f t="shared" si="6"/>
        <v>-121.2731</v>
      </c>
      <c r="J52" s="207">
        <f t="shared" si="6"/>
        <v>-121.2731</v>
      </c>
      <c r="K52" s="207">
        <f>(K45-K51)*K50</f>
        <v>-121.2731</v>
      </c>
      <c r="L52" s="207">
        <f t="shared" si="6"/>
        <v>-121.2731</v>
      </c>
      <c r="M52" s="5"/>
    </row>
    <row r="53" spans="1:19" ht="16.8" thickTop="1" thickBot="1" x14ac:dyDescent="0.35">
      <c r="A53" s="198" t="s">
        <v>15</v>
      </c>
      <c r="F53" s="331">
        <f>IF('Algemene kostprijsfactoren'!$F$19&lt;&gt;"",'Algemene kostprijsfactoren'!$F$19,'Algemene kostprijsfactoren'!$C$19)</f>
        <v>0.5</v>
      </c>
      <c r="G53" s="206">
        <f>(G52/G45)*$F53</f>
        <v>-1.460987909540813E-2</v>
      </c>
      <c r="H53" s="206">
        <f t="shared" ref="H53:L53" si="7">(H52/H45)*$F53</f>
        <v>-1.460987909540813E-2</v>
      </c>
      <c r="I53" s="206">
        <f t="shared" si="7"/>
        <v>-1.460987909540813E-2</v>
      </c>
      <c r="J53" s="206">
        <f t="shared" si="7"/>
        <v>-1.460987909540813E-2</v>
      </c>
      <c r="K53" s="206">
        <f t="shared" si="7"/>
        <v>-1.460987909540813E-2</v>
      </c>
      <c r="L53" s="206">
        <f t="shared" si="7"/>
        <v>-1.460987909540813E-2</v>
      </c>
      <c r="M53" s="5"/>
    </row>
    <row r="54" spans="1:19" ht="16.2" thickTop="1" x14ac:dyDescent="0.3">
      <c r="F54" s="333" t="s">
        <v>58</v>
      </c>
      <c r="G54" s="208">
        <f>G53+G49</f>
        <v>-0.4032721172519142</v>
      </c>
      <c r="H54" s="208">
        <f t="shared" ref="H54:L54" si="8">H53+H49</f>
        <v>-0.4032721172519142</v>
      </c>
      <c r="I54" s="208">
        <f t="shared" si="8"/>
        <v>-0.4032721172519142</v>
      </c>
      <c r="J54" s="208">
        <f t="shared" si="8"/>
        <v>-0.4032721172519142</v>
      </c>
      <c r="K54" s="208">
        <f t="shared" si="8"/>
        <v>-0.4032721172519142</v>
      </c>
      <c r="L54" s="208">
        <f t="shared" si="8"/>
        <v>-0.4032721172519142</v>
      </c>
      <c r="M54" s="5"/>
    </row>
    <row r="56" spans="1:19" x14ac:dyDescent="0.3">
      <c r="A56" s="197" t="s">
        <v>16</v>
      </c>
      <c r="F56" s="330">
        <f>IF('Algemene kostprijsfactoren'!$F$22&lt;&gt;"",'Algemene kostprijsfactoren'!$F$22,'Algemene kostprijsfactoren'!$C$22)</f>
        <v>7.5800000000000006E-2</v>
      </c>
      <c r="G56" s="195"/>
      <c r="H56" s="209">
        <v>7.1099999999999997E-2</v>
      </c>
      <c r="I56" s="496" t="s">
        <v>193</v>
      </c>
      <c r="J56" s="497"/>
      <c r="K56" s="497"/>
      <c r="L56" s="497"/>
      <c r="M56" s="497"/>
      <c r="N56" s="497"/>
      <c r="O56" s="497"/>
      <c r="P56" s="497"/>
      <c r="Q56" s="497"/>
      <c r="R56" s="497"/>
      <c r="S56" s="498"/>
    </row>
    <row r="57" spans="1:19" x14ac:dyDescent="0.3">
      <c r="A57" s="197" t="s">
        <v>17</v>
      </c>
      <c r="F57" s="330">
        <f>IF('Algemene kostprijsfactoren'!$F$23&lt;&gt;"",'Algemene kostprijsfactoren'!$F$23,'Algemene kostprijsfactoren'!$C$23)</f>
        <v>3.49E-2</v>
      </c>
      <c r="G57" s="195"/>
      <c r="H57" s="499" t="s">
        <v>181</v>
      </c>
      <c r="I57" s="500"/>
      <c r="J57" s="500" t="s">
        <v>181</v>
      </c>
      <c r="K57" s="500"/>
      <c r="L57" s="500" t="s">
        <v>181</v>
      </c>
      <c r="M57" s="500"/>
      <c r="N57" s="500" t="s">
        <v>181</v>
      </c>
      <c r="O57" s="500"/>
      <c r="P57" s="500" t="s">
        <v>181</v>
      </c>
      <c r="Q57" s="500"/>
      <c r="R57" s="500" t="s">
        <v>181</v>
      </c>
      <c r="S57" s="501"/>
    </row>
    <row r="58" spans="1:19" x14ac:dyDescent="0.3">
      <c r="A58" s="197" t="s">
        <v>18</v>
      </c>
      <c r="F58" s="330">
        <f>IF('Algemene kostprijsfactoren'!$F$24&lt;&gt;"",'Algemene kostprijsfactoren'!$F$24,'Algemene kostprijsfactoren'!$C$24)</f>
        <v>6.5100000000000005E-2</v>
      </c>
      <c r="G58" s="195"/>
      <c r="H58" s="209">
        <v>6.6799999999999998E-2</v>
      </c>
      <c r="I58" s="496" t="s">
        <v>182</v>
      </c>
      <c r="J58" s="497"/>
      <c r="K58" s="497"/>
      <c r="L58" s="497"/>
      <c r="M58" s="497"/>
      <c r="N58" s="497"/>
      <c r="O58" s="497"/>
      <c r="P58" s="497"/>
      <c r="Q58" s="497"/>
      <c r="R58" s="497"/>
      <c r="S58" s="498"/>
    </row>
    <row r="59" spans="1:19" x14ac:dyDescent="0.3">
      <c r="A59" s="197" t="s">
        <v>19</v>
      </c>
      <c r="F59" s="330">
        <f>IF('Algemene kostprijsfactoren'!$F$25&lt;&gt;"",'Algemene kostprijsfactoren'!$F$25,'Algemene kostprijsfactoren'!$C$25)</f>
        <v>1.3299999999999999E-2</v>
      </c>
      <c r="G59" s="195"/>
      <c r="H59" s="496" t="s">
        <v>20</v>
      </c>
      <c r="I59" s="497"/>
      <c r="J59" s="497"/>
      <c r="K59" s="497"/>
      <c r="L59" s="497"/>
      <c r="M59" s="497"/>
      <c r="N59" s="497"/>
      <c r="O59" s="497"/>
      <c r="P59" s="497"/>
      <c r="Q59" s="497"/>
      <c r="R59" s="497"/>
      <c r="S59" s="498"/>
    </row>
    <row r="60" spans="1:19" ht="16.2" thickBot="1" x14ac:dyDescent="0.35">
      <c r="A60" s="199" t="s">
        <v>21</v>
      </c>
      <c r="F60" s="330">
        <f>IF('Algemene kostprijsfactoren'!$F$26&lt;&gt;"",'Algemene kostprijsfactoren'!$F$26,'Algemene kostprijsfactoren'!$C$26)</f>
        <v>3.5000000000000001E-3</v>
      </c>
      <c r="G60" s="195"/>
      <c r="H60" s="496" t="s">
        <v>22</v>
      </c>
      <c r="I60" s="497"/>
      <c r="J60" s="497"/>
      <c r="K60" s="497"/>
      <c r="L60" s="497"/>
      <c r="M60" s="497"/>
      <c r="N60" s="497"/>
      <c r="O60" s="497"/>
      <c r="P60" s="497"/>
      <c r="Q60" s="497"/>
      <c r="R60" s="497"/>
      <c r="S60" s="498"/>
    </row>
    <row r="61" spans="1:19" ht="16.2" thickTop="1" x14ac:dyDescent="0.3">
      <c r="A61" s="200" t="s">
        <v>23</v>
      </c>
      <c r="F61" s="328">
        <f>SUM(F56:F60)</f>
        <v>0.19260000000000002</v>
      </c>
      <c r="G61" s="195"/>
      <c r="H61" s="196"/>
      <c r="I61" s="196"/>
    </row>
    <row r="63" spans="1:19" x14ac:dyDescent="0.3">
      <c r="F63" s="6" t="s">
        <v>59</v>
      </c>
      <c r="G63" s="6" t="s">
        <v>60</v>
      </c>
      <c r="H63" s="6" t="s">
        <v>61</v>
      </c>
    </row>
    <row r="64" spans="1:19" ht="16.2" thickBot="1" x14ac:dyDescent="0.35">
      <c r="A64" s="215" t="s">
        <v>62</v>
      </c>
      <c r="F64" s="218"/>
      <c r="G64" s="219">
        <v>1878</v>
      </c>
      <c r="H64" s="220"/>
      <c r="I64" s="211"/>
      <c r="J64" s="478" t="s">
        <v>63</v>
      </c>
      <c r="K64" s="479"/>
      <c r="L64" s="479"/>
      <c r="M64" s="479"/>
      <c r="N64" s="479"/>
      <c r="O64" s="479"/>
      <c r="P64" s="479"/>
      <c r="Q64" s="479"/>
      <c r="R64" s="479"/>
      <c r="S64" s="480"/>
    </row>
    <row r="65" spans="1:19" ht="16.2" thickTop="1" x14ac:dyDescent="0.3">
      <c r="A65" s="197" t="s">
        <v>11</v>
      </c>
      <c r="F65" s="234" t="s">
        <v>31</v>
      </c>
      <c r="G65" s="221">
        <f>$G$64*H65</f>
        <v>150.42780000000002</v>
      </c>
      <c r="H65" s="329">
        <f>IF('Algemene kostprijsfactoren'!F8&lt;&gt;"",'Algemene kostprijsfactoren'!F8,'Algemene kostprijsfactoren'!C8)</f>
        <v>8.0100000000000005E-2</v>
      </c>
      <c r="I65" s="211"/>
      <c r="J65" s="230">
        <f>'Algemene kostprijsfactoren'!C8</f>
        <v>8.0100000000000005E-2</v>
      </c>
      <c r="K65" s="257" t="s">
        <v>195</v>
      </c>
      <c r="L65" s="258"/>
      <c r="M65" s="258"/>
      <c r="N65" s="258"/>
      <c r="O65" s="258"/>
      <c r="P65" s="258"/>
      <c r="Q65" s="258"/>
      <c r="R65" s="259"/>
      <c r="S65" s="260"/>
    </row>
    <row r="66" spans="1:19" x14ac:dyDescent="0.3">
      <c r="A66" s="197" t="s">
        <v>64</v>
      </c>
      <c r="F66" s="234" t="s">
        <v>31</v>
      </c>
      <c r="G66" s="337">
        <f>(144+58.4+35)</f>
        <v>237.4</v>
      </c>
      <c r="H66" s="222"/>
      <c r="I66" s="211"/>
      <c r="J66" s="312" t="s">
        <v>65</v>
      </c>
      <c r="K66" s="261"/>
      <c r="L66" s="261"/>
      <c r="M66" s="261"/>
      <c r="N66" s="261"/>
      <c r="O66" s="261"/>
      <c r="P66" s="261"/>
      <c r="Q66" s="261"/>
      <c r="R66" s="226"/>
      <c r="S66" s="262"/>
    </row>
    <row r="67" spans="1:19" x14ac:dyDescent="0.3">
      <c r="A67" s="197" t="s">
        <v>66</v>
      </c>
      <c r="F67" s="234" t="s">
        <v>31</v>
      </c>
      <c r="G67" s="221">
        <f>G64*H67</f>
        <v>37.56</v>
      </c>
      <c r="H67" s="227">
        <v>0.02</v>
      </c>
      <c r="I67" s="211"/>
      <c r="J67" s="263" t="s">
        <v>78</v>
      </c>
      <c r="K67" s="264"/>
      <c r="L67" s="264"/>
      <c r="M67" s="264"/>
      <c r="N67" s="264"/>
      <c r="O67" s="264"/>
      <c r="P67" s="264"/>
      <c r="Q67" s="264"/>
      <c r="R67" s="265"/>
      <c r="S67" s="266"/>
    </row>
    <row r="68" spans="1:19" x14ac:dyDescent="0.3">
      <c r="A68" s="197" t="s">
        <v>215</v>
      </c>
      <c r="F68" s="234" t="s">
        <v>31</v>
      </c>
      <c r="G68" s="221">
        <f>G64*H68</f>
        <v>75.12</v>
      </c>
      <c r="H68" s="228">
        <v>0.04</v>
      </c>
      <c r="I68" s="211"/>
      <c r="J68" s="313" t="s">
        <v>79</v>
      </c>
      <c r="K68" s="267"/>
      <c r="L68" s="267"/>
      <c r="M68" s="267"/>
      <c r="N68" s="267"/>
      <c r="O68" s="267"/>
      <c r="P68" s="267"/>
      <c r="Q68" s="267"/>
      <c r="R68" s="268"/>
      <c r="S68" s="269"/>
    </row>
    <row r="69" spans="1:19" ht="16.2" thickBot="1" x14ac:dyDescent="0.35">
      <c r="A69" s="197" t="s">
        <v>67</v>
      </c>
      <c r="F69" s="234" t="s">
        <v>137</v>
      </c>
      <c r="G69" s="342">
        <f>G64*H69</f>
        <v>0</v>
      </c>
      <c r="H69" s="229">
        <v>0</v>
      </c>
      <c r="I69" s="211"/>
      <c r="J69" s="312" t="s">
        <v>212</v>
      </c>
      <c r="K69" s="270"/>
      <c r="L69" s="270"/>
      <c r="M69" s="270"/>
      <c r="N69" s="270"/>
      <c r="O69" s="270"/>
      <c r="P69" s="270"/>
      <c r="Q69" s="270"/>
      <c r="R69" s="225"/>
      <c r="S69" s="217"/>
    </row>
    <row r="70" spans="1:19" ht="16.2" thickTop="1" x14ac:dyDescent="0.3">
      <c r="A70" s="231" t="s">
        <v>68</v>
      </c>
      <c r="F70" s="223"/>
      <c r="G70" s="314">
        <f>G64-SUMIFS(G65:G69,F65:F69,"Ja")</f>
        <v>1377.4921999999999</v>
      </c>
      <c r="H70" s="224"/>
      <c r="I70" s="212"/>
      <c r="J70" s="213"/>
    </row>
    <row r="71" spans="1:19" x14ac:dyDescent="0.3">
      <c r="A71" s="214"/>
      <c r="F71" s="225"/>
      <c r="G71" s="226"/>
      <c r="H71" s="226"/>
      <c r="I71" s="213"/>
      <c r="J71" s="213"/>
    </row>
    <row r="72" spans="1:19" x14ac:dyDescent="0.3">
      <c r="A72" s="216" t="s">
        <v>69</v>
      </c>
      <c r="F72" s="217"/>
      <c r="G72" s="481">
        <f>G70/G64</f>
        <v>0.73348892438764635</v>
      </c>
      <c r="H72" s="482"/>
      <c r="I72" s="213"/>
      <c r="J72" s="213"/>
    </row>
    <row r="75" spans="1:19" x14ac:dyDescent="0.3">
      <c r="A75" s="5" t="s">
        <v>70</v>
      </c>
    </row>
    <row r="76" spans="1:19" x14ac:dyDescent="0.3">
      <c r="A76" s="483"/>
      <c r="B76" s="484"/>
      <c r="C76" s="484"/>
      <c r="D76" s="484"/>
      <c r="E76" s="484"/>
      <c r="F76" s="484"/>
      <c r="G76" s="484"/>
      <c r="H76" s="484"/>
      <c r="I76" s="484"/>
      <c r="J76" s="484"/>
      <c r="K76" s="484"/>
      <c r="L76" s="484"/>
      <c r="M76" s="484"/>
      <c r="N76" s="484"/>
      <c r="O76" s="484"/>
      <c r="P76" s="484"/>
      <c r="Q76" s="484"/>
      <c r="R76" s="484"/>
      <c r="S76" s="485"/>
    </row>
    <row r="77" spans="1:19" x14ac:dyDescent="0.3">
      <c r="A77" s="486"/>
      <c r="B77" s="487"/>
      <c r="C77" s="487"/>
      <c r="D77" s="487"/>
      <c r="E77" s="487"/>
      <c r="F77" s="487"/>
      <c r="G77" s="487"/>
      <c r="H77" s="487"/>
      <c r="I77" s="487"/>
      <c r="J77" s="487"/>
      <c r="K77" s="487"/>
      <c r="L77" s="487"/>
      <c r="M77" s="487"/>
      <c r="N77" s="487"/>
      <c r="O77" s="487"/>
      <c r="P77" s="487"/>
      <c r="Q77" s="487"/>
      <c r="R77" s="487"/>
      <c r="S77" s="488"/>
    </row>
    <row r="78" spans="1:19" x14ac:dyDescent="0.3">
      <c r="A78" s="486"/>
      <c r="B78" s="487"/>
      <c r="C78" s="487"/>
      <c r="D78" s="487"/>
      <c r="E78" s="487"/>
      <c r="F78" s="487"/>
      <c r="G78" s="487"/>
      <c r="H78" s="487"/>
      <c r="I78" s="487"/>
      <c r="J78" s="487"/>
      <c r="K78" s="487"/>
      <c r="L78" s="487"/>
      <c r="M78" s="487"/>
      <c r="N78" s="487"/>
      <c r="O78" s="487"/>
      <c r="P78" s="487"/>
      <c r="Q78" s="487"/>
      <c r="R78" s="487"/>
      <c r="S78" s="488"/>
    </row>
    <row r="79" spans="1:19" x14ac:dyDescent="0.3">
      <c r="A79" s="486"/>
      <c r="B79" s="487"/>
      <c r="C79" s="487"/>
      <c r="D79" s="487"/>
      <c r="E79" s="487"/>
      <c r="F79" s="487"/>
      <c r="G79" s="487"/>
      <c r="H79" s="487"/>
      <c r="I79" s="487"/>
      <c r="J79" s="487"/>
      <c r="K79" s="487"/>
      <c r="L79" s="487"/>
      <c r="M79" s="487"/>
      <c r="N79" s="487"/>
      <c r="O79" s="487"/>
      <c r="P79" s="487"/>
      <c r="Q79" s="487"/>
      <c r="R79" s="487"/>
      <c r="S79" s="488"/>
    </row>
    <row r="80" spans="1:19" x14ac:dyDescent="0.3">
      <c r="A80" s="486"/>
      <c r="B80" s="487"/>
      <c r="C80" s="487"/>
      <c r="D80" s="487"/>
      <c r="E80" s="487"/>
      <c r="F80" s="487"/>
      <c r="G80" s="487"/>
      <c r="H80" s="487"/>
      <c r="I80" s="487"/>
      <c r="J80" s="487"/>
      <c r="K80" s="487"/>
      <c r="L80" s="487"/>
      <c r="M80" s="487"/>
      <c r="N80" s="487"/>
      <c r="O80" s="487"/>
      <c r="P80" s="487"/>
      <c r="Q80" s="487"/>
      <c r="R80" s="487"/>
      <c r="S80" s="488"/>
    </row>
    <row r="81" spans="1:19" x14ac:dyDescent="0.3">
      <c r="A81" s="489"/>
      <c r="B81" s="490"/>
      <c r="C81" s="490"/>
      <c r="D81" s="490"/>
      <c r="E81" s="490"/>
      <c r="F81" s="490"/>
      <c r="G81" s="490"/>
      <c r="H81" s="490"/>
      <c r="I81" s="490"/>
      <c r="J81" s="490"/>
      <c r="K81" s="490"/>
      <c r="L81" s="490"/>
      <c r="M81" s="490"/>
      <c r="N81" s="490"/>
      <c r="O81" s="490"/>
      <c r="P81" s="490"/>
      <c r="Q81" s="490"/>
      <c r="R81" s="490"/>
      <c r="S81" s="491"/>
    </row>
  </sheetData>
  <sheetProtection algorithmName="SHA-512" hashValue="VgZcR3DyKD7fhxNSuViO9n6TgJiL5WYuJnvaJN7AkXRnpOV+oITDwZpParWe9MZhn6z51qhIWGU9db3Q25rZQw==" saltValue="9WdlHWJi5bPwp/9fUS/CwQ==" spinCount="100000" sheet="1" objects="1" scenarios="1"/>
  <protectedRanges>
    <protectedRange algorithmName="SHA-512" hashValue="zrr1YC170iD4z5ngO6i+dvye2WxwMuZwyCItKXOM0Fb0EC895yDhie8vErJXeoL6fSMcx6aoO1sn5XcoWfI8lg==" saltValue="T/jZUAo6mJPMXMKTIHv+sw==" spinCount="100000" sqref="H65 F65:F69 H67:H69" name="Inputcellen_3"/>
  </protectedRanges>
  <mergeCells count="21">
    <mergeCell ref="G72:H72"/>
    <mergeCell ref="A76:S81"/>
    <mergeCell ref="I56:S56"/>
    <mergeCell ref="H57:S57"/>
    <mergeCell ref="I58:S58"/>
    <mergeCell ref="H59:S59"/>
    <mergeCell ref="H60:S60"/>
    <mergeCell ref="J64:S64"/>
    <mergeCell ref="P6:Q6"/>
    <mergeCell ref="F33:G33"/>
    <mergeCell ref="H33:I33"/>
    <mergeCell ref="J33:K33"/>
    <mergeCell ref="L33:M33"/>
    <mergeCell ref="N33:O33"/>
    <mergeCell ref="P33:Q33"/>
    <mergeCell ref="N6:O6"/>
    <mergeCell ref="F4:M4"/>
    <mergeCell ref="F6:G6"/>
    <mergeCell ref="H6:I6"/>
    <mergeCell ref="J6:K6"/>
    <mergeCell ref="L6:M6"/>
  </mergeCells>
  <conditionalFormatting sqref="F46:F47">
    <cfRule type="expression" dxfId="19" priority="1">
      <formula>$C$72="Opslag"</formula>
    </cfRule>
  </conditionalFormatting>
  <conditionalFormatting sqref="F49:F51 F53 F56:F60">
    <cfRule type="expression" dxfId="18" priority="2">
      <formula>$C$72="Opslag"</formula>
    </cfRule>
  </conditionalFormatting>
  <conditionalFormatting sqref="F61">
    <cfRule type="expression" dxfId="17" priority="5">
      <formula>$C$77="Opslag"</formula>
    </cfRule>
  </conditionalFormatting>
  <conditionalFormatting sqref="S33">
    <cfRule type="expression" dxfId="16" priority="3">
      <formula>$S$33=1</formula>
    </cfRule>
    <cfRule type="expression" dxfId="15" priority="4">
      <formula>$S$33&lt;&gt;1</formula>
    </cfRule>
  </conditionalFormatting>
  <conditionalFormatting sqref="T32">
    <cfRule type="cellIs" dxfId="14" priority="6" operator="equal">
      <formula>1</formula>
    </cfRule>
  </conditionalFormatting>
  <pageMargins left="0.7" right="0.7" top="0.75" bottom="0.75" header="0.3" footer="0.3"/>
  <pageSetup paperSize="9" scale="42"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8c601a-c172-4142-980b-33deeaa1e95d" xsi:nil="true"/>
    <lcf76f155ced4ddcb4097134ff3c332f xmlns="128ee3f7-829e-4555-9a1a-4c53ac6fd304">
      <Terms xmlns="http://schemas.microsoft.com/office/infopath/2007/PartnerControls"/>
    </lcf76f155ced4ddcb4097134ff3c332f>
    <Pad xmlns="128ee3f7-829e-4555-9a1a-4c53ac6fd304">
      <Url xsi:nil="true"/>
      <Description xsi:nil="true"/>
    </Pad>
    <CATSCM xmlns="128ee3f7-829e-4555-9a1a-4c53ac6fd304" xsi:nil="true"/>
    <_dlc_DocId xmlns="558c601a-c172-4142-980b-33deeaa1e95d">RCUS45HN67DU-974321440-338767</_dlc_DocId>
    <_dlc_DocIdUrl xmlns="558c601a-c172-4142-980b-33deeaa1e95d">
      <Url>https://sscons.sharepoint.com/sites/ORG-IC/_layouts/15/DocIdRedir.aspx?ID=RCUS45HN67DU-974321440-338767</Url>
      <Description>RCUS45HN67DU-974321440-338767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29789258fe936a875df5525184d7f45a">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44c37d0937a3f7de2bb62d78bbcb9236"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4B36ABF-BDD9-46BE-973A-9F15D2B87F01}">
  <ds:schemaRefs>
    <ds:schemaRef ds:uri="http://schemas.microsoft.com/office/2006/metadata/properties"/>
    <ds:schemaRef ds:uri="http://schemas.microsoft.com/office/infopath/2007/PartnerControls"/>
    <ds:schemaRef ds:uri="4326a664-2372-4c93-96b1-75e012282970"/>
    <ds:schemaRef ds:uri="e250c9e9-d5bb-4360-b606-548097e09e86"/>
  </ds:schemaRefs>
</ds:datastoreItem>
</file>

<file path=customXml/itemProps2.xml><?xml version="1.0" encoding="utf-8"?>
<ds:datastoreItem xmlns:ds="http://schemas.openxmlformats.org/officeDocument/2006/customXml" ds:itemID="{FFEF857E-CBFB-4133-A2C2-21832F4C09BE}">
  <ds:schemaRefs>
    <ds:schemaRef ds:uri="http://schemas.microsoft.com/sharepoint/v3/contenttype/forms"/>
  </ds:schemaRefs>
</ds:datastoreItem>
</file>

<file path=customXml/itemProps3.xml><?xml version="1.0" encoding="utf-8"?>
<ds:datastoreItem xmlns:ds="http://schemas.openxmlformats.org/officeDocument/2006/customXml" ds:itemID="{7C0502F4-028F-4E25-A110-292D6FDF9F15}"/>
</file>

<file path=customXml/itemProps4.xml><?xml version="1.0" encoding="utf-8"?>
<ds:datastoreItem xmlns:ds="http://schemas.openxmlformats.org/officeDocument/2006/customXml" ds:itemID="{9CC6D1A1-372F-4ED7-9950-AD48365D0D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Algemene kostprijsfactoren</vt:lpstr>
      <vt:lpstr> BGI Lichte begeleiding</vt:lpstr>
      <vt:lpstr>BGI gemiddeld intensief</vt:lpstr>
      <vt:lpstr>BGI Hoog intensief</vt:lpstr>
      <vt:lpstr>IBG basis</vt:lpstr>
      <vt:lpstr>IBG Plus</vt:lpstr>
      <vt:lpstr>Dagbesteding basis</vt:lpstr>
      <vt:lpstr>Dagbesteding plus</vt:lpstr>
      <vt:lpstr>Dagbesteding regulier</vt:lpstr>
      <vt:lpstr>Dagbesteding specialistisch</vt:lpstr>
      <vt:lpstr>Vervoersopslag</vt:lpstr>
      <vt:lpstr>Beschermd Thuis</vt:lpstr>
      <vt:lpstr>Kortdurend verblijf</vt:lpstr>
      <vt:lpstr>Toelichting</vt:lpstr>
      <vt:lpstr>Dropdown Cao</vt:lpstr>
      <vt:lpstr>Invulblad CAO</vt:lpstr>
      <vt:lpstr>Pensioenpremie CAO</vt:lpstr>
      <vt:lpstr>Cao_GGZ</vt:lpstr>
      <vt:lpstr>Cao_GHZ</vt:lpstr>
      <vt:lpstr>Cao_Jeugdzorg</vt:lpstr>
      <vt:lpstr>Cao_Sociaal_Werk</vt:lpstr>
      <vt:lpstr>Cao_VVT</vt:lpstr>
      <vt:lpstr>GHZ</vt:lpstr>
      <vt:lpstr>SW</vt:lpstr>
      <vt:lpstr>vvt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Office-gebruiker</dc:creator>
  <cp:keywords/>
  <dc:description/>
  <cp:lastModifiedBy>Danny Pasman</cp:lastModifiedBy>
  <cp:revision/>
  <dcterms:created xsi:type="dcterms:W3CDTF">2017-08-15T08:53:09Z</dcterms:created>
  <dcterms:modified xsi:type="dcterms:W3CDTF">2025-06-17T09:56:23Z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MediaServiceImageTags">
    <vt:lpwstr/>
  </property>
  <property fmtid="{D5CDD505-2E9C-101B-9397-08002B2CF9AE}" pid="4" name="_dlc_DocIdItemGuid">
    <vt:lpwstr>1a1591c4-3598-4cf5-bc90-ee2451233ff7</vt:lpwstr>
  </property>
</Properties>
</file>