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5\"/>
    </mc:Choice>
  </mc:AlternateContent>
  <xr:revisionPtr revIDLastSave="0" documentId="13_ncr:1_{D23AA902-FB75-46EC-AE8A-144F1EACB3CA}" xr6:coauthVersionLast="47" xr6:coauthVersionMax="47" xr10:uidLastSave="{00000000-0000-0000-0000-000000000000}"/>
  <bookViews>
    <workbookView xWindow="13665" yWindow="345" windowWidth="15390" windowHeight="15585" xr2:uid="{00000000-000D-0000-FFFF-FFFF00000000}"/>
  </bookViews>
  <sheets>
    <sheet name="specificatie" sheetId="6" r:id="rId1"/>
  </sheets>
  <definedNames>
    <definedName name="_xlnm._FilterDatabase" localSheetId="0" hidden="1">specificatie!$A$1:$Y$107</definedName>
    <definedName name="_xlnm.Print_Area" localSheetId="0">specificatie!$A$1:$S$110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" i="6" l="1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S97" i="6"/>
  <c r="S98" i="6"/>
  <c r="S99" i="6"/>
  <c r="S100" i="6"/>
  <c r="S101" i="6"/>
  <c r="S102" i="6"/>
  <c r="S103" i="6"/>
  <c r="S104" i="6"/>
  <c r="S105" i="6"/>
  <c r="S106" i="6"/>
  <c r="S107" i="6"/>
  <c r="S4" i="6"/>
  <c r="Q84" i="6"/>
  <c r="Q6" i="6"/>
  <c r="Q71" i="6"/>
  <c r="Q10" i="6"/>
  <c r="Q26" i="6"/>
  <c r="Q80" i="6"/>
  <c r="R6" i="6"/>
  <c r="R7" i="6"/>
  <c r="R8" i="6"/>
  <c r="R10" i="6"/>
  <c r="R11" i="6"/>
  <c r="R15" i="6"/>
  <c r="R16" i="6"/>
  <c r="R23" i="6"/>
  <c r="R24" i="6"/>
  <c r="R25" i="6"/>
  <c r="R26" i="6"/>
  <c r="R27" i="6"/>
  <c r="R28" i="6"/>
  <c r="R30" i="6"/>
  <c r="R31" i="6"/>
  <c r="R32" i="6"/>
  <c r="R34" i="6"/>
  <c r="R40" i="6"/>
  <c r="R41" i="6"/>
  <c r="R46" i="6"/>
  <c r="R47" i="6"/>
  <c r="R48" i="6"/>
  <c r="R54" i="6"/>
  <c r="R57" i="6"/>
  <c r="R65" i="6"/>
  <c r="R66" i="6"/>
  <c r="R68" i="6"/>
  <c r="R69" i="6"/>
  <c r="R71" i="6"/>
  <c r="R72" i="6"/>
  <c r="R73" i="6"/>
  <c r="R74" i="6"/>
  <c r="R77" i="6"/>
  <c r="R78" i="6"/>
  <c r="R79" i="6"/>
  <c r="R80" i="6"/>
  <c r="R84" i="6"/>
  <c r="R88" i="6"/>
  <c r="R89" i="6"/>
  <c r="R90" i="6"/>
  <c r="R91" i="6"/>
  <c r="R94" i="6"/>
  <c r="R99" i="6"/>
  <c r="R100" i="6"/>
  <c r="R103" i="6"/>
  <c r="R104" i="6"/>
  <c r="R105" i="6"/>
  <c r="R106" i="6"/>
  <c r="R4" i="6"/>
  <c r="P91" i="6"/>
  <c r="J91" i="6"/>
  <c r="K91" i="6" s="1"/>
  <c r="L91" i="6" s="1"/>
  <c r="M91" i="6" s="1"/>
  <c r="O91" i="6" s="1"/>
  <c r="P86" i="6"/>
  <c r="R86" i="6" s="1"/>
  <c r="O86" i="6"/>
  <c r="Q86" i="6" s="1"/>
  <c r="J86" i="6"/>
  <c r="K86" i="6" s="1"/>
  <c r="L86" i="6" s="1"/>
  <c r="P56" i="6"/>
  <c r="R56" i="6" s="1"/>
  <c r="J56" i="6"/>
  <c r="K56" i="6" s="1"/>
  <c r="L56" i="6" s="1"/>
  <c r="M56" i="6" s="1"/>
  <c r="O56" i="6" s="1"/>
  <c r="Q56" i="6" s="1"/>
  <c r="P55" i="6"/>
  <c r="R55" i="6" s="1"/>
  <c r="O55" i="6"/>
  <c r="Q55" i="6" s="1"/>
  <c r="J55" i="6"/>
  <c r="K55" i="6" s="1"/>
  <c r="L55" i="6" s="1"/>
  <c r="P52" i="6"/>
  <c r="R52" i="6" s="1"/>
  <c r="K52" i="6"/>
  <c r="L52" i="6" s="1"/>
  <c r="M52" i="6" s="1"/>
  <c r="O52" i="6" s="1"/>
  <c r="Q52" i="6" s="1"/>
  <c r="J79" i="6"/>
  <c r="K79" i="6" s="1"/>
  <c r="L79" i="6" s="1"/>
  <c r="M79" i="6" s="1"/>
  <c r="O79" i="6" s="1"/>
  <c r="J78" i="6"/>
  <c r="K78" i="6" s="1"/>
  <c r="L78" i="6" s="1"/>
  <c r="M78" i="6" s="1"/>
  <c r="O78" i="6" s="1"/>
  <c r="O77" i="6"/>
  <c r="J77" i="6"/>
  <c r="K77" i="6" s="1"/>
  <c r="L77" i="6" s="1"/>
  <c r="J74" i="6"/>
  <c r="K74" i="6" s="1"/>
  <c r="L74" i="6" s="1"/>
  <c r="M74" i="6" s="1"/>
  <c r="O74" i="6" s="1"/>
  <c r="J73" i="6"/>
  <c r="K73" i="6" s="1"/>
  <c r="L73" i="6" s="1"/>
  <c r="M73" i="6" s="1"/>
  <c r="O73" i="6" s="1"/>
  <c r="J72" i="6"/>
  <c r="K72" i="6" s="1"/>
  <c r="L72" i="6" s="1"/>
  <c r="M72" i="6" s="1"/>
  <c r="O72" i="6" s="1"/>
  <c r="J69" i="6"/>
  <c r="K69" i="6" s="1"/>
  <c r="L69" i="6" s="1"/>
  <c r="M69" i="6" s="1"/>
  <c r="O69" i="6" s="1"/>
  <c r="J68" i="6"/>
  <c r="K68" i="6" s="1"/>
  <c r="L68" i="6" s="1"/>
  <c r="M68" i="6" s="1"/>
  <c r="O68" i="6" s="1"/>
  <c r="J66" i="6"/>
  <c r="K66" i="6" s="1"/>
  <c r="L66" i="6" s="1"/>
  <c r="M66" i="6" s="1"/>
  <c r="O66" i="6" s="1"/>
  <c r="O65" i="6"/>
  <c r="J65" i="6"/>
  <c r="K65" i="6" s="1"/>
  <c r="L65" i="6" s="1"/>
  <c r="K57" i="6"/>
  <c r="L57" i="6" s="1"/>
  <c r="M57" i="6" s="1"/>
  <c r="O57" i="6" s="1"/>
  <c r="J54" i="6"/>
  <c r="K54" i="6" s="1"/>
  <c r="L54" i="6" s="1"/>
  <c r="M54" i="6" s="1"/>
  <c r="O54" i="6" s="1"/>
  <c r="J48" i="6"/>
  <c r="K48" i="6" s="1"/>
  <c r="L48" i="6" s="1"/>
  <c r="M48" i="6" s="1"/>
  <c r="O48" i="6" s="1"/>
  <c r="J47" i="6"/>
  <c r="K47" i="6" s="1"/>
  <c r="L47" i="6" s="1"/>
  <c r="M47" i="6" s="1"/>
  <c r="O47" i="6" s="1"/>
  <c r="J46" i="6"/>
  <c r="K46" i="6" s="1"/>
  <c r="L46" i="6" s="1"/>
  <c r="M46" i="6" s="1"/>
  <c r="O46" i="6" s="1"/>
  <c r="J41" i="6"/>
  <c r="K41" i="6" s="1"/>
  <c r="L41" i="6" s="1"/>
  <c r="M41" i="6" s="1"/>
  <c r="O41" i="6" s="1"/>
  <c r="J40" i="6"/>
  <c r="K40" i="6" s="1"/>
  <c r="L40" i="6" s="1"/>
  <c r="M40" i="6" s="1"/>
  <c r="O40" i="6" s="1"/>
  <c r="J34" i="6"/>
  <c r="K34" i="6" s="1"/>
  <c r="L34" i="6" s="1"/>
  <c r="M34" i="6" s="1"/>
  <c r="O34" i="6" s="1"/>
  <c r="J32" i="6"/>
  <c r="K32" i="6" s="1"/>
  <c r="L32" i="6" s="1"/>
  <c r="M32" i="6" s="1"/>
  <c r="O32" i="6" s="1"/>
  <c r="J28" i="6"/>
  <c r="K28" i="6" s="1"/>
  <c r="L28" i="6" s="1"/>
  <c r="M28" i="6" s="1"/>
  <c r="O28" i="6" s="1"/>
  <c r="J31" i="6"/>
  <c r="K31" i="6" s="1"/>
  <c r="L31" i="6" s="1"/>
  <c r="M31" i="6" s="1"/>
  <c r="O31" i="6" s="1"/>
  <c r="J30" i="6"/>
  <c r="K30" i="6" s="1"/>
  <c r="L30" i="6" s="1"/>
  <c r="M30" i="6" s="1"/>
  <c r="O30" i="6" s="1"/>
  <c r="J26" i="6"/>
  <c r="K26" i="6" s="1"/>
  <c r="L26" i="6" s="1"/>
  <c r="M26" i="6" s="1"/>
  <c r="O26" i="6" s="1"/>
  <c r="J25" i="6"/>
  <c r="K25" i="6" s="1"/>
  <c r="L25" i="6" s="1"/>
  <c r="M25" i="6" s="1"/>
  <c r="O25" i="6" s="1"/>
  <c r="J24" i="6"/>
  <c r="K24" i="6" s="1"/>
  <c r="L24" i="6" s="1"/>
  <c r="M24" i="6" s="1"/>
  <c r="O24" i="6" s="1"/>
  <c r="J27" i="6"/>
  <c r="K27" i="6" s="1"/>
  <c r="L27" i="6" s="1"/>
  <c r="M27" i="6" s="1"/>
  <c r="O27" i="6" s="1"/>
  <c r="J16" i="6"/>
  <c r="K16" i="6" s="1"/>
  <c r="L16" i="6" s="1"/>
  <c r="M16" i="6" s="1"/>
  <c r="O16" i="6" s="1"/>
  <c r="J15" i="6"/>
  <c r="K15" i="6" s="1"/>
  <c r="L15" i="6" s="1"/>
  <c r="M15" i="6" s="1"/>
  <c r="O15" i="6" s="1"/>
  <c r="O11" i="6"/>
  <c r="J11" i="6"/>
  <c r="K11" i="6" s="1"/>
  <c r="L11" i="6" s="1"/>
  <c r="K8" i="6"/>
  <c r="L8" i="6" s="1"/>
  <c r="M8" i="6" s="1"/>
  <c r="O8" i="6" s="1"/>
  <c r="J7" i="6"/>
  <c r="K7" i="6" s="1"/>
  <c r="L7" i="6" s="1"/>
  <c r="M7" i="6" s="1"/>
  <c r="O7" i="6" s="1"/>
  <c r="J4" i="6"/>
  <c r="K4" i="6" s="1"/>
  <c r="L4" i="6" s="1"/>
  <c r="M4" i="6" s="1"/>
  <c r="O4" i="6" s="1"/>
  <c r="P17" i="6"/>
  <c r="R17" i="6" s="1"/>
  <c r="K17" i="6"/>
  <c r="L17" i="6" s="1"/>
  <c r="M17" i="6" s="1"/>
  <c r="O17" i="6" s="1"/>
  <c r="Q17" i="6" s="1"/>
  <c r="P49" i="6"/>
  <c r="R49" i="6" s="1"/>
  <c r="O49" i="6"/>
  <c r="Q49" i="6" s="1"/>
  <c r="J49" i="6"/>
  <c r="K49" i="6" s="1"/>
  <c r="L49" i="6" s="1"/>
  <c r="P39" i="6"/>
  <c r="R39" i="6" s="1"/>
  <c r="O39" i="6"/>
  <c r="Q39" i="6" s="1"/>
  <c r="J39" i="6"/>
  <c r="K39" i="6" s="1"/>
  <c r="L39" i="6" s="1"/>
  <c r="P38" i="6"/>
  <c r="R38" i="6" s="1"/>
  <c r="O38" i="6"/>
  <c r="Q38" i="6" s="1"/>
  <c r="J88" i="6"/>
  <c r="K88" i="6" s="1"/>
  <c r="L88" i="6" s="1"/>
  <c r="M88" i="6" s="1"/>
  <c r="O88" i="6" s="1"/>
  <c r="O90" i="6"/>
  <c r="J90" i="6"/>
  <c r="K90" i="6" s="1"/>
  <c r="L90" i="6" s="1"/>
  <c r="O89" i="6"/>
  <c r="J89" i="6"/>
  <c r="K89" i="6" s="1"/>
  <c r="L89" i="6" s="1"/>
  <c r="K94" i="6"/>
  <c r="L94" i="6" s="1"/>
  <c r="M94" i="6" s="1"/>
  <c r="O94" i="6" s="1"/>
  <c r="J99" i="6"/>
  <c r="K99" i="6" s="1"/>
  <c r="L99" i="6" s="1"/>
  <c r="M99" i="6" s="1"/>
  <c r="O99" i="6" s="1"/>
  <c r="O100" i="6"/>
  <c r="J100" i="6"/>
  <c r="K100" i="6" s="1"/>
  <c r="L100" i="6" s="1"/>
  <c r="J103" i="6"/>
  <c r="K103" i="6" s="1"/>
  <c r="L103" i="6" s="1"/>
  <c r="M103" i="6" s="1"/>
  <c r="O103" i="6" s="1"/>
  <c r="L104" i="6"/>
  <c r="M104" i="6" s="1"/>
  <c r="O104" i="6" s="1"/>
  <c r="J104" i="6"/>
  <c r="O106" i="6"/>
  <c r="O105" i="6"/>
  <c r="Q34" i="6" l="1"/>
  <c r="Q27" i="6"/>
  <c r="Q11" i="6"/>
  <c r="Q100" i="6"/>
  <c r="Q99" i="6"/>
  <c r="Q91" i="6"/>
  <c r="Q106" i="6"/>
  <c r="Q90" i="6"/>
  <c r="Q74" i="6"/>
  <c r="Q65" i="6"/>
  <c r="Q57" i="6"/>
  <c r="Q41" i="6"/>
  <c r="Q25" i="6"/>
  <c r="Q8" i="6"/>
  <c r="Q66" i="6"/>
  <c r="Q105" i="6"/>
  <c r="Q89" i="6"/>
  <c r="Q73" i="6"/>
  <c r="Q48" i="6"/>
  <c r="Q40" i="6"/>
  <c r="Q32" i="6"/>
  <c r="Q24" i="6"/>
  <c r="Q16" i="6"/>
  <c r="Q7" i="6"/>
  <c r="Q104" i="6"/>
  <c r="Q88" i="6"/>
  <c r="Q72" i="6"/>
  <c r="Q47" i="6"/>
  <c r="Q31" i="6"/>
  <c r="Q15" i="6"/>
  <c r="Q4" i="6"/>
  <c r="Q103" i="6"/>
  <c r="Q79" i="6"/>
  <c r="Q54" i="6"/>
  <c r="Q46" i="6"/>
  <c r="Q30" i="6"/>
  <c r="Q94" i="6"/>
  <c r="Q78" i="6"/>
  <c r="Q69" i="6"/>
  <c r="Q77" i="6"/>
  <c r="Q68" i="6"/>
  <c r="Q28" i="6"/>
  <c r="O98" i="6"/>
  <c r="Q98" i="6" s="1"/>
  <c r="O85" i="6"/>
  <c r="Q85" i="6" s="1"/>
  <c r="O64" i="6"/>
  <c r="Q64" i="6" s="1"/>
  <c r="O63" i="6"/>
  <c r="Q63" i="6" s="1"/>
  <c r="O61" i="6"/>
  <c r="Q61" i="6" s="1"/>
  <c r="O51" i="6"/>
  <c r="Q51" i="6" s="1"/>
  <c r="O50" i="6"/>
  <c r="Q50" i="6" s="1"/>
  <c r="O44" i="6"/>
  <c r="Q44" i="6" s="1"/>
  <c r="O36" i="6"/>
  <c r="Q36" i="6" s="1"/>
  <c r="O35" i="6"/>
  <c r="Q35" i="6" s="1"/>
  <c r="O20" i="6"/>
  <c r="Q20" i="6" s="1"/>
  <c r="O19" i="6"/>
  <c r="Q19" i="6" s="1"/>
  <c r="O14" i="6"/>
  <c r="Q14" i="6" s="1"/>
  <c r="O13" i="6"/>
  <c r="Q13" i="6" s="1"/>
  <c r="P5" i="6"/>
  <c r="R5" i="6" s="1"/>
  <c r="P9" i="6"/>
  <c r="R9" i="6" s="1"/>
  <c r="P12" i="6"/>
  <c r="R12" i="6" s="1"/>
  <c r="P13" i="6"/>
  <c r="R13" i="6" s="1"/>
  <c r="P14" i="6"/>
  <c r="R14" i="6" s="1"/>
  <c r="P18" i="6"/>
  <c r="R18" i="6" s="1"/>
  <c r="P19" i="6"/>
  <c r="R19" i="6" s="1"/>
  <c r="P20" i="6"/>
  <c r="R20" i="6" s="1"/>
  <c r="P21" i="6"/>
  <c r="R21" i="6" s="1"/>
  <c r="P22" i="6"/>
  <c r="R22" i="6" s="1"/>
  <c r="P29" i="6"/>
  <c r="R29" i="6" s="1"/>
  <c r="P33" i="6"/>
  <c r="R33" i="6" s="1"/>
  <c r="P35" i="6"/>
  <c r="R35" i="6" s="1"/>
  <c r="P36" i="6"/>
  <c r="R36" i="6" s="1"/>
  <c r="P37" i="6"/>
  <c r="R37" i="6" s="1"/>
  <c r="P42" i="6"/>
  <c r="R42" i="6" s="1"/>
  <c r="P43" i="6"/>
  <c r="R43" i="6" s="1"/>
  <c r="P44" i="6"/>
  <c r="R44" i="6" s="1"/>
  <c r="P45" i="6"/>
  <c r="R45" i="6" s="1"/>
  <c r="P50" i="6"/>
  <c r="R50" i="6" s="1"/>
  <c r="P51" i="6"/>
  <c r="R51" i="6" s="1"/>
  <c r="P53" i="6"/>
  <c r="R53" i="6" s="1"/>
  <c r="P58" i="6"/>
  <c r="R58" i="6" s="1"/>
  <c r="P59" i="6"/>
  <c r="R59" i="6" s="1"/>
  <c r="P60" i="6"/>
  <c r="R60" i="6" s="1"/>
  <c r="P61" i="6"/>
  <c r="R61" i="6" s="1"/>
  <c r="P62" i="6"/>
  <c r="R62" i="6" s="1"/>
  <c r="P63" i="6"/>
  <c r="R63" i="6" s="1"/>
  <c r="P64" i="6"/>
  <c r="R64" i="6" s="1"/>
  <c r="P67" i="6"/>
  <c r="R67" i="6" s="1"/>
  <c r="P70" i="6"/>
  <c r="R70" i="6" s="1"/>
  <c r="P75" i="6"/>
  <c r="R75" i="6" s="1"/>
  <c r="P76" i="6"/>
  <c r="R76" i="6" s="1"/>
  <c r="P81" i="6"/>
  <c r="R81" i="6" s="1"/>
  <c r="P82" i="6"/>
  <c r="R82" i="6" s="1"/>
  <c r="P83" i="6"/>
  <c r="R83" i="6" s="1"/>
  <c r="P85" i="6"/>
  <c r="R85" i="6" s="1"/>
  <c r="P87" i="6"/>
  <c r="R87" i="6" s="1"/>
  <c r="P92" i="6"/>
  <c r="R92" i="6" s="1"/>
  <c r="P93" i="6"/>
  <c r="R93" i="6" s="1"/>
  <c r="P95" i="6"/>
  <c r="R95" i="6" s="1"/>
  <c r="P96" i="6"/>
  <c r="R96" i="6" s="1"/>
  <c r="P97" i="6"/>
  <c r="R97" i="6" s="1"/>
  <c r="P98" i="6"/>
  <c r="R98" i="6" s="1"/>
  <c r="P101" i="6"/>
  <c r="R101" i="6" s="1"/>
  <c r="P102" i="6"/>
  <c r="R102" i="6" s="1"/>
  <c r="P107" i="6"/>
  <c r="R107" i="6" s="1"/>
  <c r="R109" i="6" l="1"/>
  <c r="P109" i="6"/>
  <c r="K93" i="6" l="1"/>
  <c r="L93" i="6" s="1"/>
  <c r="M93" i="6" s="1"/>
  <c r="N109" i="6"/>
  <c r="L83" i="6"/>
  <c r="M83" i="6" s="1"/>
  <c r="M82" i="6"/>
  <c r="J87" i="6"/>
  <c r="K87" i="6" s="1"/>
  <c r="L87" i="6" s="1"/>
  <c r="M87" i="6" s="1"/>
  <c r="K107" i="6"/>
  <c r="L107" i="6" s="1"/>
  <c r="M107" i="6" s="1"/>
  <c r="K102" i="6"/>
  <c r="L102" i="6" s="1"/>
  <c r="M102" i="6" s="1"/>
  <c r="J101" i="6"/>
  <c r="K101" i="6" s="1"/>
  <c r="L101" i="6" s="1"/>
  <c r="M101" i="6" s="1"/>
  <c r="J98" i="6"/>
  <c r="K98" i="6" s="1"/>
  <c r="L98" i="6" s="1"/>
  <c r="K97" i="6"/>
  <c r="L97" i="6" s="1"/>
  <c r="M97" i="6" s="1"/>
  <c r="J96" i="6"/>
  <c r="K96" i="6" s="1"/>
  <c r="L96" i="6" s="1"/>
  <c r="M96" i="6" s="1"/>
  <c r="K95" i="6"/>
  <c r="L95" i="6" s="1"/>
  <c r="M95" i="6" s="1"/>
  <c r="J92" i="6"/>
  <c r="K92" i="6" s="1"/>
  <c r="L92" i="6" s="1"/>
  <c r="M92" i="6" s="1"/>
  <c r="J85" i="6"/>
  <c r="K85" i="6" s="1"/>
  <c r="L85" i="6" s="1"/>
  <c r="K81" i="6"/>
  <c r="L81" i="6" s="1"/>
  <c r="M81" i="6" s="1"/>
  <c r="J76" i="6"/>
  <c r="K76" i="6" s="1"/>
  <c r="L76" i="6" s="1"/>
  <c r="M76" i="6" s="1"/>
  <c r="K75" i="6"/>
  <c r="L75" i="6" s="1"/>
  <c r="M75" i="6" s="1"/>
  <c r="K70" i="6"/>
  <c r="L70" i="6" s="1"/>
  <c r="M70" i="6" s="1"/>
  <c r="K67" i="6"/>
  <c r="L67" i="6" s="1"/>
  <c r="M67" i="6" s="1"/>
  <c r="J64" i="6"/>
  <c r="K64" i="6" s="1"/>
  <c r="L64" i="6" s="1"/>
  <c r="J63" i="6"/>
  <c r="K63" i="6" s="1"/>
  <c r="L63" i="6" s="1"/>
  <c r="K62" i="6"/>
  <c r="L62" i="6" s="1"/>
  <c r="M62" i="6" s="1"/>
  <c r="J61" i="6"/>
  <c r="K61" i="6" s="1"/>
  <c r="L61" i="6" s="1"/>
  <c r="K60" i="6"/>
  <c r="L60" i="6" s="1"/>
  <c r="M60" i="6" s="1"/>
  <c r="K59" i="6"/>
  <c r="L59" i="6" s="1"/>
  <c r="M59" i="6" s="1"/>
  <c r="K58" i="6"/>
  <c r="L58" i="6" s="1"/>
  <c r="M58" i="6" s="1"/>
  <c r="K53" i="6"/>
  <c r="L53" i="6" s="1"/>
  <c r="M53" i="6" s="1"/>
  <c r="J51" i="6"/>
  <c r="K51" i="6" s="1"/>
  <c r="L51" i="6" s="1"/>
  <c r="J50" i="6"/>
  <c r="K50" i="6" s="1"/>
  <c r="L50" i="6" s="1"/>
  <c r="K45" i="6"/>
  <c r="L45" i="6" s="1"/>
  <c r="M45" i="6" s="1"/>
  <c r="J44" i="6"/>
  <c r="K44" i="6" s="1"/>
  <c r="L44" i="6" s="1"/>
  <c r="J43" i="6"/>
  <c r="K43" i="6" s="1"/>
  <c r="L43" i="6" s="1"/>
  <c r="M43" i="6" s="1"/>
  <c r="K42" i="6"/>
  <c r="L42" i="6" s="1"/>
  <c r="M42" i="6" s="1"/>
  <c r="J37" i="6"/>
  <c r="K37" i="6" s="1"/>
  <c r="L37" i="6" s="1"/>
  <c r="M37" i="6" s="1"/>
  <c r="J36" i="6"/>
  <c r="K36" i="6" s="1"/>
  <c r="L36" i="6" s="1"/>
  <c r="J35" i="6"/>
  <c r="K35" i="6" s="1"/>
  <c r="L35" i="6" s="1"/>
  <c r="J33" i="6"/>
  <c r="K33" i="6" s="1"/>
  <c r="L33" i="6" s="1"/>
  <c r="M33" i="6" s="1"/>
  <c r="K29" i="6"/>
  <c r="L29" i="6" s="1"/>
  <c r="M29" i="6" s="1"/>
  <c r="J23" i="6"/>
  <c r="K23" i="6" s="1"/>
  <c r="L23" i="6" s="1"/>
  <c r="M23" i="6" s="1"/>
  <c r="K22" i="6"/>
  <c r="L22" i="6" s="1"/>
  <c r="M22" i="6" s="1"/>
  <c r="K21" i="6"/>
  <c r="L21" i="6" s="1"/>
  <c r="M21" i="6" s="1"/>
  <c r="J20" i="6"/>
  <c r="K20" i="6" s="1"/>
  <c r="L20" i="6" s="1"/>
  <c r="J19" i="6"/>
  <c r="K19" i="6" s="1"/>
  <c r="L19" i="6" s="1"/>
  <c r="J18" i="6"/>
  <c r="K18" i="6" s="1"/>
  <c r="L18" i="6" s="1"/>
  <c r="M18" i="6" s="1"/>
  <c r="J14" i="6"/>
  <c r="K14" i="6" s="1"/>
  <c r="L14" i="6" s="1"/>
  <c r="J13" i="6"/>
  <c r="K13" i="6" s="1"/>
  <c r="L13" i="6" s="1"/>
  <c r="J12" i="6"/>
  <c r="K12" i="6" s="1"/>
  <c r="L12" i="6" s="1"/>
  <c r="M12" i="6" s="1"/>
  <c r="J9" i="6"/>
  <c r="K9" i="6" s="1"/>
  <c r="L9" i="6" s="1"/>
  <c r="M9" i="6" s="1"/>
  <c r="J5" i="6"/>
  <c r="K5" i="6" s="1"/>
  <c r="L5" i="6" s="1"/>
  <c r="M5" i="6" s="1"/>
  <c r="O21" i="6" l="1"/>
  <c r="O37" i="6"/>
  <c r="O101" i="6"/>
  <c r="O107" i="6"/>
  <c r="O67" i="6"/>
  <c r="O81" i="6"/>
  <c r="O45" i="6"/>
  <c r="O92" i="6"/>
  <c r="O23" i="6"/>
  <c r="O70" i="6"/>
  <c r="O75" i="6"/>
  <c r="O76" i="6"/>
  <c r="O22" i="6"/>
  <c r="O102" i="6"/>
  <c r="O9" i="6"/>
  <c r="O58" i="6"/>
  <c r="O59" i="6"/>
  <c r="O62" i="6"/>
  <c r="O82" i="6"/>
  <c r="O5" i="6"/>
  <c r="O12" i="6"/>
  <c r="O18" i="6"/>
  <c r="O33" i="6"/>
  <c r="O95" i="6"/>
  <c r="O83" i="6"/>
  <c r="O42" i="6"/>
  <c r="O29" i="6"/>
  <c r="O87" i="6"/>
  <c r="O96" i="6"/>
  <c r="O43" i="6"/>
  <c r="O60" i="6"/>
  <c r="O53" i="6"/>
  <c r="O97" i="6"/>
  <c r="O93" i="6"/>
  <c r="J109" i="6"/>
  <c r="Q95" i="6" l="1"/>
  <c r="Q58" i="6"/>
  <c r="Q9" i="6"/>
  <c r="Q18" i="6"/>
  <c r="Q96" i="6"/>
  <c r="Q87" i="6"/>
  <c r="Q53" i="6"/>
  <c r="Q92" i="6"/>
  <c r="Q33" i="6"/>
  <c r="Q43" i="6"/>
  <c r="Q81" i="6"/>
  <c r="Q22" i="6"/>
  <c r="Q67" i="6"/>
  <c r="Q5" i="6"/>
  <c r="Q76" i="6"/>
  <c r="Q107" i="6"/>
  <c r="Q29" i="6"/>
  <c r="Q70" i="6"/>
  <c r="Q60" i="6"/>
  <c r="Q45" i="6"/>
  <c r="Q102" i="6"/>
  <c r="Q12" i="6"/>
  <c r="Q82" i="6"/>
  <c r="Q75" i="6"/>
  <c r="Q101" i="6"/>
  <c r="Q93" i="6"/>
  <c r="Q42" i="6"/>
  <c r="Q62" i="6"/>
  <c r="Q37" i="6"/>
  <c r="Q97" i="6"/>
  <c r="Q83" i="6"/>
  <c r="Q59" i="6"/>
  <c r="Q23" i="6"/>
  <c r="Q21" i="6"/>
  <c r="K109" i="6"/>
  <c r="Q109" i="6" l="1"/>
  <c r="M109" i="6"/>
  <c r="L109" i="6"/>
  <c r="O109" i="6" l="1"/>
  <c r="S10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N23" authorId="0" shapeId="0" xr:uid="{18A16054-F077-4AF6-8BBA-57F2EC1324F0}">
      <text>
        <r>
          <rPr>
            <sz val="9"/>
            <color indexed="81"/>
            <rFont val="Tahoma"/>
            <family val="2"/>
          </rPr>
          <t>inventaris in vs huisnr 1004</t>
        </r>
      </text>
    </comment>
    <comment ref="P23" authorId="0" shapeId="0" xr:uid="{73AE6A43-BC20-42CE-9DEF-152D04371F6C}">
      <text>
        <r>
          <rPr>
            <sz val="9"/>
            <color indexed="81"/>
            <rFont val="Tahoma"/>
            <family val="2"/>
          </rPr>
          <t>inventaris in vs huisnr 1004</t>
        </r>
      </text>
    </comment>
    <comment ref="N27" authorId="0" shapeId="0" xr:uid="{F35193D3-0A16-4189-A0C7-A4057E4625DF}">
      <text>
        <r>
          <rPr>
            <sz val="9"/>
            <color indexed="81"/>
            <rFont val="Tahoma"/>
            <family val="2"/>
          </rPr>
          <t>inclusief inventaris 1004A</t>
        </r>
      </text>
    </comment>
  </commentList>
</comments>
</file>

<file path=xl/sharedStrings.xml><?xml version="1.0" encoding="utf-8"?>
<sst xmlns="http://schemas.openxmlformats.org/spreadsheetml/2006/main" count="1148" uniqueCount="489">
  <si>
    <t>Straat</t>
  </si>
  <si>
    <t>Huisnr</t>
  </si>
  <si>
    <t>Omschrijving</t>
  </si>
  <si>
    <t>Postcode</t>
  </si>
  <si>
    <t>Totaal</t>
  </si>
  <si>
    <t>Taxatie</t>
  </si>
  <si>
    <t>Taxateur</t>
  </si>
  <si>
    <t>Taxatierap.-</t>
  </si>
  <si>
    <t>opstal</t>
  </si>
  <si>
    <t>inventaris</t>
  </si>
  <si>
    <t>datum</t>
  </si>
  <si>
    <t>nummer</t>
  </si>
  <si>
    <t>Ambachtsweg 25</t>
  </si>
  <si>
    <t>1785 AJ</t>
  </si>
  <si>
    <t>Lengkeek</t>
  </si>
  <si>
    <t>1781 AG</t>
  </si>
  <si>
    <t>Baljuwstraat 237</t>
  </si>
  <si>
    <t>1785 SH</t>
  </si>
  <si>
    <t>Brandweerkazerne</t>
  </si>
  <si>
    <t>1784 MR</t>
  </si>
  <si>
    <t>A</t>
  </si>
  <si>
    <t>Boerhaavestraat</t>
  </si>
  <si>
    <t>Brakkeveldweg 51</t>
  </si>
  <si>
    <t>1782 AD</t>
  </si>
  <si>
    <t>Burg Houwingsingel 2</t>
  </si>
  <si>
    <t>1781 XD</t>
  </si>
  <si>
    <t>1785 EA</t>
  </si>
  <si>
    <t>1781 GN</t>
  </si>
  <si>
    <t>Celebesstraat 7</t>
  </si>
  <si>
    <t>1782 TC</t>
  </si>
  <si>
    <t>De Ruijterstraat 33</t>
  </si>
  <si>
    <t>1782 RH</t>
  </si>
  <si>
    <t>Diaconiestraat 44</t>
  </si>
  <si>
    <t>1781 GZ</t>
  </si>
  <si>
    <t>1785 PC</t>
  </si>
  <si>
    <t>C</t>
  </si>
  <si>
    <t>Drooghe Bol 1004 A</t>
  </si>
  <si>
    <t>1788 VA</t>
  </si>
  <si>
    <t>B</t>
  </si>
  <si>
    <t>Drooghe Bol 1004 en ongenummerd</t>
  </si>
  <si>
    <t>Drooghe Bol 1005</t>
  </si>
  <si>
    <t>Gymnastieklokaal</t>
  </si>
  <si>
    <t>1784 MC</t>
  </si>
  <si>
    <t>Drs. F. Bijlweg 232</t>
  </si>
  <si>
    <t>Drs. F. Bijlweg 234</t>
  </si>
  <si>
    <t>Duinroosstraat 2</t>
  </si>
  <si>
    <t>1783 GK</t>
  </si>
  <si>
    <t>Duinweg</t>
  </si>
  <si>
    <t>Troostwijk</t>
  </si>
  <si>
    <t>Fresiastraat 2</t>
  </si>
  <si>
    <t>1782 NS</t>
  </si>
  <si>
    <t>E</t>
  </si>
  <si>
    <t>1785 CG</t>
  </si>
  <si>
    <t>Hagedoornstraat</t>
  </si>
  <si>
    <t>Heiligharn 125</t>
  </si>
  <si>
    <t>1785 SZ</t>
  </si>
  <si>
    <t>Heiligharn 424</t>
  </si>
  <si>
    <t>1785 SX</t>
  </si>
  <si>
    <t>Helden der Zeeplein</t>
  </si>
  <si>
    <t>geen nr.</t>
  </si>
  <si>
    <t>Monument Nederlands Reddingswezen</t>
  </si>
  <si>
    <t>Het Nieuwland</t>
  </si>
  <si>
    <t>Clubgebouw IJsvereniging</t>
  </si>
  <si>
    <t>1784 MA</t>
  </si>
  <si>
    <t>1785 BC</t>
  </si>
  <si>
    <t>Jan Verfailleweg</t>
  </si>
  <si>
    <t>Jan Verfailleweg 11</t>
  </si>
  <si>
    <t>Bezoekerscentrum Mariëndal</t>
  </si>
  <si>
    <t>1783 BW</t>
  </si>
  <si>
    <t>AA</t>
  </si>
  <si>
    <t>Jan Verfailleweg 9</t>
  </si>
  <si>
    <t>Kinderboerderij</t>
  </si>
  <si>
    <t>Javastraat 23</t>
  </si>
  <si>
    <t>1782 DA</t>
  </si>
  <si>
    <t>Jutterspleintje 2</t>
  </si>
  <si>
    <t>1781 JR</t>
  </si>
  <si>
    <t>Keizersgracht 70</t>
  </si>
  <si>
    <t>1781 BA</t>
  </si>
  <si>
    <t>Kerkhoflaan</t>
  </si>
  <si>
    <t>Wagenloods uitvaartcentrum</t>
  </si>
  <si>
    <t>Kerkhoflaan 1</t>
  </si>
  <si>
    <t>Kerkhoflaan 4</t>
  </si>
  <si>
    <t>Aula begraafplaats</t>
  </si>
  <si>
    <t>Kerkhoflaan 7</t>
  </si>
  <si>
    <t>Koningdwarsstraat 39</t>
  </si>
  <si>
    <t xml:space="preserve">Landbouwstraat </t>
  </si>
  <si>
    <t>ongen.</t>
  </si>
  <si>
    <t>1786 AK</t>
  </si>
  <si>
    <t>Langevliet</t>
  </si>
  <si>
    <t>1788 BG</t>
  </si>
  <si>
    <t>Lekstraat 1</t>
  </si>
  <si>
    <t>1784 VJ</t>
  </si>
  <si>
    <t>Lijsterstraat 1</t>
  </si>
  <si>
    <t>1781 WC</t>
  </si>
  <si>
    <t>1783 BA</t>
  </si>
  <si>
    <t>1782 SR</t>
  </si>
  <si>
    <t>Lombokstraat</t>
  </si>
  <si>
    <t>Lombokstraat 4</t>
  </si>
  <si>
    <t>Loopuytpark</t>
  </si>
  <si>
    <t>Muziektent in Loopuytpark</t>
  </si>
  <si>
    <t>De Verrekijker</t>
  </si>
  <si>
    <t>Marsdiepstraat 278</t>
  </si>
  <si>
    <t>Middelzand 3501</t>
  </si>
  <si>
    <t>1788 ES</t>
  </si>
  <si>
    <t>Middelzand 3502</t>
  </si>
  <si>
    <t>Middenweg 159</t>
  </si>
  <si>
    <t>Watertoren</t>
  </si>
  <si>
    <t>1782 BE</t>
  </si>
  <si>
    <t>Molenstraat 93 I</t>
  </si>
  <si>
    <t>I</t>
  </si>
  <si>
    <t>1781 NK</t>
  </si>
  <si>
    <t>Nieuweweg</t>
  </si>
  <si>
    <t>1782 AZ</t>
  </si>
  <si>
    <t>Nieuweweg 3</t>
  </si>
  <si>
    <t>1784 XN</t>
  </si>
  <si>
    <t>Parkeergarage</t>
  </si>
  <si>
    <t>1781 JJ</t>
  </si>
  <si>
    <t>Stakman Bossestraat 39</t>
  </si>
  <si>
    <t>1781 SW</t>
  </si>
  <si>
    <t>Tillenhof 2</t>
  </si>
  <si>
    <t>1783 AW</t>
  </si>
  <si>
    <t>1788 BN</t>
  </si>
  <si>
    <t>Van Foreestweg 39</t>
  </si>
  <si>
    <t>De Windwijzer</t>
  </si>
  <si>
    <t>1782 EZ</t>
  </si>
  <si>
    <t>Violenstraat 1</t>
  </si>
  <si>
    <t>Visstraat 41</t>
  </si>
  <si>
    <t>1781 CL</t>
  </si>
  <si>
    <t>Vogelzand 4102</t>
  </si>
  <si>
    <t>1788 MJ</t>
  </si>
  <si>
    <t>Vogelzand 4103</t>
  </si>
  <si>
    <t>Vogelzand 4104</t>
  </si>
  <si>
    <t>1781 TP</t>
  </si>
  <si>
    <t>Weth W de Boerstraat 4</t>
  </si>
  <si>
    <t>Weth W de Boerstraat 6</t>
  </si>
  <si>
    <t>1788 AT</t>
  </si>
  <si>
    <t>Weth W de Boerstraat 8</t>
  </si>
  <si>
    <t>1783 HL</t>
  </si>
  <si>
    <t>Doggersvaart 57C</t>
  </si>
  <si>
    <t>Het Nieuwland 2</t>
  </si>
  <si>
    <t>Lombokstraat 2B</t>
  </si>
  <si>
    <t>Californiestraat 48</t>
  </si>
  <si>
    <t>Drooghe Bol 1001</t>
  </si>
  <si>
    <t>Verenigingsgebouw van scoutingvereniging "Abel Tasman"</t>
  </si>
  <si>
    <t>Pasteurstraat 4a</t>
  </si>
  <si>
    <t>Pasteurstraat 4b</t>
  </si>
  <si>
    <t>De Lichtlijn</t>
  </si>
  <si>
    <t>Drenkelingenhuisje Metharie</t>
  </si>
  <si>
    <t>Vijzelstraat 73</t>
  </si>
  <si>
    <t>Zwembad "Het Heersdiep"</t>
  </si>
  <si>
    <t>Duinweg 50</t>
  </si>
  <si>
    <t>Landbouwstraat</t>
  </si>
  <si>
    <t>Marsdiepstraat</t>
  </si>
  <si>
    <t>Subtotaal</t>
  </si>
  <si>
    <t>Gebouwen</t>
  </si>
  <si>
    <t>Vrijwillige brandweer</t>
  </si>
  <si>
    <t>1781 AD</t>
  </si>
  <si>
    <t>1784 EA</t>
  </si>
  <si>
    <t>1783 AV</t>
  </si>
  <si>
    <t>1781 LB</t>
  </si>
  <si>
    <t>IJsbaan</t>
  </si>
  <si>
    <t>1784 AW</t>
  </si>
  <si>
    <t>Sportpark</t>
  </si>
  <si>
    <t>1782 KA</t>
  </si>
  <si>
    <t>Urinior</t>
  </si>
  <si>
    <t>Timorpark</t>
  </si>
  <si>
    <t>Klokkentoren van de opstandingskerk</t>
  </si>
  <si>
    <t>Reggestraat</t>
  </si>
  <si>
    <t>Sluisdijkstraat</t>
  </si>
  <si>
    <t>Ambachtsweg</t>
  </si>
  <si>
    <t>Ankerpark</t>
  </si>
  <si>
    <t>Baljuwstraat</t>
  </si>
  <si>
    <t>Brakkeveldweg</t>
  </si>
  <si>
    <t>De Ruijterstraat</t>
  </si>
  <si>
    <t>Diaconiestraat</t>
  </si>
  <si>
    <t>Doggersvaart</t>
  </si>
  <si>
    <t>Drooghe Bol</t>
  </si>
  <si>
    <t>Drs. F. Bijlweg</t>
  </si>
  <si>
    <t>Duinroosstraat</t>
  </si>
  <si>
    <t>Fresiastraat</t>
  </si>
  <si>
    <t>Heiligharn</t>
  </si>
  <si>
    <t>J.A. Prinssenstraat</t>
  </si>
  <si>
    <t>Javastraat</t>
  </si>
  <si>
    <t>Jutterspleintje</t>
  </si>
  <si>
    <t>Keizersgracht</t>
  </si>
  <si>
    <t>Koningdwarsstraat</t>
  </si>
  <si>
    <t>Lekstraat</t>
  </si>
  <si>
    <t>Lijsterstraat</t>
  </si>
  <si>
    <t>Linieweg</t>
  </si>
  <si>
    <t>Middelzand</t>
  </si>
  <si>
    <t>Middenweg</t>
  </si>
  <si>
    <t>Molenstraat</t>
  </si>
  <si>
    <t>b</t>
  </si>
  <si>
    <t>a</t>
  </si>
  <si>
    <t>Pasteurstraat</t>
  </si>
  <si>
    <t>Spoorstraat</t>
  </si>
  <si>
    <t>Stakman Bossestraat</t>
  </si>
  <si>
    <t>Tillenhof</t>
  </si>
  <si>
    <t>Van Foreestweg</t>
  </si>
  <si>
    <t>A t/m D</t>
  </si>
  <si>
    <t>Vijzelstraat</t>
  </si>
  <si>
    <t>Violenstraat</t>
  </si>
  <si>
    <t>Visstraat</t>
  </si>
  <si>
    <t>Vogelzand</t>
  </si>
  <si>
    <t>AB</t>
  </si>
  <si>
    <t>Wingerdstraat</t>
  </si>
  <si>
    <t>Californiestraat</t>
  </si>
  <si>
    <t>Celebesstraat</t>
  </si>
  <si>
    <t>incl funderingen</t>
  </si>
  <si>
    <t>Plaats</t>
  </si>
  <si>
    <t>Den Helder</t>
  </si>
  <si>
    <t>Clubgebouw Scouting</t>
  </si>
  <si>
    <t>Kantoor met opslag</t>
  </si>
  <si>
    <t>Clubgebouw sportcomplex</t>
  </si>
  <si>
    <t>1787 AK</t>
  </si>
  <si>
    <t>Julianadorp</t>
  </si>
  <si>
    <t>Woning / verenigingsaccomodatie</t>
  </si>
  <si>
    <t>1781 ED</t>
  </si>
  <si>
    <t>H.A. Lorentzstraat</t>
  </si>
  <si>
    <t>1782 JD</t>
  </si>
  <si>
    <t xml:space="preserve"> en 3A</t>
  </si>
  <si>
    <t>IJsselmeerstraat</t>
  </si>
  <si>
    <t>gebouwen</t>
  </si>
  <si>
    <t>Adres volledig</t>
  </si>
  <si>
    <t>C Gerritsz Geusstraat 59</t>
  </si>
  <si>
    <t>J.A. Prinssenstraat ongen.</t>
  </si>
  <si>
    <t>Doggersvaart 57A</t>
  </si>
  <si>
    <t>Drs. F. Bijlweg 3 en 3A</t>
  </si>
  <si>
    <t>G Pietersz Blankmanstraat 45E</t>
  </si>
  <si>
    <t>G Pietersz Blankmanstraat 47E</t>
  </si>
  <si>
    <t>Helden der Zeeplein geen nr.</t>
  </si>
  <si>
    <t>Het Nieuwland 1</t>
  </si>
  <si>
    <t>Ijsselmeerstraat 90</t>
  </si>
  <si>
    <t>Ijsselmeerstraat 90B</t>
  </si>
  <si>
    <t>Ijsselmeerstraat 184</t>
  </si>
  <si>
    <t>Jan Verfailleweg 620A</t>
  </si>
  <si>
    <t>Jan Verfailleweg 620AA</t>
  </si>
  <si>
    <t>Landbouwstraat  21</t>
  </si>
  <si>
    <t>Landbouwstraat  63B</t>
  </si>
  <si>
    <t>Langevliet 58-60</t>
  </si>
  <si>
    <t>Sluisdijkstraat 1A</t>
  </si>
  <si>
    <t>Spoorstraat 76+76A</t>
  </si>
  <si>
    <t>Timorpark ongen.</t>
  </si>
  <si>
    <t>Van Foreestweg 85 A t/m D</t>
  </si>
  <si>
    <t>Wingerdstraat 6AB</t>
  </si>
  <si>
    <t>Betonnen bunker met stalen toegangsdeur - in gebruik gegeven</t>
  </si>
  <si>
    <t>Clubgebouw Scouting/ Wie heeft opdracht gegeven voor een inboedelverzekering? Is nl. niet gebruikelijk dat de gemeente bij een scouting de inboedel verzekert.</t>
  </si>
  <si>
    <t>paardenstallen / tennisclubhuis / voetbalgebouw &gt; omschrijving klopt niet. Is paardenbak, geen stallen</t>
  </si>
  <si>
    <t xml:space="preserve">Woning verhuurd </t>
  </si>
  <si>
    <t xml:space="preserve">Woonwagen in verhuur </t>
  </si>
  <si>
    <t>Dierenverblijven - in gebruik gegeven</t>
  </si>
  <si>
    <t xml:space="preserve">Onderdak draaiorgel voor Draaiorgelvrienden / in verhuur </t>
  </si>
  <si>
    <t>Noodverblijf in gebruik gegeven</t>
  </si>
  <si>
    <t xml:space="preserve">Woonhuis verhuurd </t>
  </si>
  <si>
    <t xml:space="preserve">woning verhuurd </t>
  </si>
  <si>
    <t>Garageboxen- KPN opslag /verhuurd</t>
  </si>
  <si>
    <t>Grootboek nummer</t>
  </si>
  <si>
    <t>1357.6501.060</t>
  </si>
  <si>
    <t>1.09217.019</t>
  </si>
  <si>
    <t>556.6501</t>
  </si>
  <si>
    <t>405.6501</t>
  </si>
  <si>
    <t>851.6501.101</t>
  </si>
  <si>
    <t>851.6501.401</t>
  </si>
  <si>
    <t>402.6501</t>
  </si>
  <si>
    <t>67004.6501</t>
  </si>
  <si>
    <t>531.6501.040</t>
  </si>
  <si>
    <t>435.6501</t>
  </si>
  <si>
    <t>835.6501</t>
  </si>
  <si>
    <t>531.6501.030</t>
  </si>
  <si>
    <t>531.6501.110</t>
  </si>
  <si>
    <t>527.6501.002</t>
  </si>
  <si>
    <t>523.6501.070</t>
  </si>
  <si>
    <t>1358.6501.010</t>
  </si>
  <si>
    <t>561.6501</t>
  </si>
  <si>
    <t>771.6501</t>
  </si>
  <si>
    <t>523.6501.080</t>
  </si>
  <si>
    <t>241.6501.150</t>
  </si>
  <si>
    <t>85130200.6501.079</t>
  </si>
  <si>
    <t>531.6501.050</t>
  </si>
  <si>
    <t>C. Gerritsz Geusstraat</t>
  </si>
  <si>
    <t>Woonhuis + berging verhuurd</t>
  </si>
  <si>
    <t>Weth. W. de Boerstraat</t>
  </si>
  <si>
    <t>G. Pietersz Blankmanstraat</t>
  </si>
  <si>
    <t>Burg. Houwingsingel</t>
  </si>
  <si>
    <t>Inventaris</t>
  </si>
  <si>
    <t>Bunkerwoning in gebruik gegeven</t>
  </si>
  <si>
    <t>Ankerpark 1 (valt onder Port of Den Helder)</t>
  </si>
  <si>
    <t>Het Nieuwe Diep 33 Havenkantoor 
(valt onder Port of Den Helder)</t>
  </si>
  <si>
    <t>Het Nieuwe Diep
(valt onder Port of Den Helder)</t>
  </si>
  <si>
    <t xml:space="preserve">Uitzichttoren Mariëndal </t>
  </si>
  <si>
    <t>1789 AS</t>
  </si>
  <si>
    <t>1782 AA</t>
  </si>
  <si>
    <t xml:space="preserve">Sportlaan </t>
  </si>
  <si>
    <t>1782 ND</t>
  </si>
  <si>
    <t>per 01-09-2018</t>
  </si>
  <si>
    <t>na index (128,6)</t>
  </si>
  <si>
    <t>Bastiondreef</t>
  </si>
  <si>
    <t>Toev.</t>
  </si>
  <si>
    <t>per 01-09-2019</t>
  </si>
  <si>
    <t>na index (137,2)</t>
  </si>
  <si>
    <t>losse athletiekonderdelen</t>
  </si>
  <si>
    <t>12 verlichtingsmasten</t>
  </si>
  <si>
    <t>Bremstraat</t>
  </si>
  <si>
    <t>Handelskade</t>
  </si>
  <si>
    <t>incl. fundering, excl. BTW</t>
  </si>
  <si>
    <t>loods, opslag</t>
  </si>
  <si>
    <t>gymzaal</t>
  </si>
  <si>
    <t xml:space="preserve">Willemsoord </t>
  </si>
  <si>
    <t>A, B</t>
  </si>
  <si>
    <t>1781 AS</t>
  </si>
  <si>
    <t xml:space="preserve">huurdersbelang incl BTW </t>
  </si>
  <si>
    <t>273350-01-0</t>
  </si>
  <si>
    <t>273320-01-0</t>
  </si>
  <si>
    <t>entree, noordkop, kleedkamer, pompgebouw (4 gebouwen)</t>
  </si>
  <si>
    <t>273318-01-0</t>
  </si>
  <si>
    <t>273321-01-0</t>
  </si>
  <si>
    <t>verenigingsgebouw/clubhuis</t>
  </si>
  <si>
    <t>273342-01-0</t>
  </si>
  <si>
    <t>273343-01-0</t>
  </si>
  <si>
    <t>273331-01-0</t>
  </si>
  <si>
    <t>273349-01-0</t>
  </si>
  <si>
    <t>273315-01-0</t>
  </si>
  <si>
    <t>clubhuis en opslagloods</t>
  </si>
  <si>
    <t>273327-01-0</t>
  </si>
  <si>
    <t>273347-01-0</t>
  </si>
  <si>
    <t>273332-01-0</t>
  </si>
  <si>
    <t>273330-01-0</t>
  </si>
  <si>
    <t>273329-01-0</t>
  </si>
  <si>
    <t>273344-01-0</t>
  </si>
  <si>
    <t>273325-01-0</t>
  </si>
  <si>
    <t>273348-01-0</t>
  </si>
  <si>
    <t>273341-01-0</t>
  </si>
  <si>
    <t>273323-01-0</t>
  </si>
  <si>
    <t>273338-01-0</t>
  </si>
  <si>
    <t>273326-01-0</t>
  </si>
  <si>
    <t>273345-01-0</t>
  </si>
  <si>
    <t>273324-01-0</t>
  </si>
  <si>
    <t>De Meerpaal / semi permanente lokalen</t>
  </si>
  <si>
    <t>273337-01-0</t>
  </si>
  <si>
    <t xml:space="preserve">Ruyghweg </t>
  </si>
  <si>
    <t>per 01-09-2020</t>
  </si>
  <si>
    <t>na index (147,5)</t>
  </si>
  <si>
    <t>inventaris inbegrepen bij nr 1004</t>
  </si>
  <si>
    <t xml:space="preserve"> en 27</t>
  </si>
  <si>
    <t>huurdersbelang/inventaris</t>
  </si>
  <si>
    <t>en ong.</t>
  </si>
  <si>
    <t>per 01-09-2021</t>
  </si>
  <si>
    <t>na index (154,9)</t>
  </si>
  <si>
    <t>vs gebouwen aangepast nr incl.BTW</t>
  </si>
  <si>
    <t>aanpassing omschr. Zie mail 071122</t>
  </si>
  <si>
    <t>per 01-09-2022</t>
  </si>
  <si>
    <t>na index (163,4)</t>
  </si>
  <si>
    <t>Hagedoornstraat (Bremstraat 2D)</t>
  </si>
  <si>
    <t>Kantoor (huisv.wijkbeheer) + serverruimte</t>
  </si>
  <si>
    <t>Woning (leegstaand) (vh. PoDH)</t>
  </si>
  <si>
    <t>RKBS Vlieberg</t>
  </si>
  <si>
    <t>PCBS De Rank</t>
  </si>
  <si>
    <t>RKBS De Hofstee</t>
  </si>
  <si>
    <t>ZMLK De Meerpaal met gymzaal</t>
  </si>
  <si>
    <t>Praktijkschool De Pijler</t>
  </si>
  <si>
    <t>SBO Kompas met gymzaal</t>
  </si>
  <si>
    <t>Voormalig pompstation-verhuurd kunstatlier</t>
  </si>
  <si>
    <t>PCBS Schoter Duyn</t>
  </si>
  <si>
    <t>OBS De Dijk</t>
  </si>
  <si>
    <t>OBS Duynvaerder</t>
  </si>
  <si>
    <t>PCBS De Fontein</t>
  </si>
  <si>
    <t>OBS De Kluft</t>
  </si>
  <si>
    <t xml:space="preserve">Woonhuis - antikraak </t>
  </si>
  <si>
    <t>PCBS Koningin Juliana</t>
  </si>
  <si>
    <t>IKBS De Trimaran (opstal via VvE)</t>
  </si>
  <si>
    <t>PC/RK BS De Kameleon</t>
  </si>
  <si>
    <t>OBS Prinses Margrietschool</t>
  </si>
  <si>
    <t>AZC Villa Kakelbont school</t>
  </si>
  <si>
    <t>ZMOK Spinaker</t>
  </si>
  <si>
    <t>OBS Jac.P. Thijsse</t>
  </si>
  <si>
    <t>Gymzaal</t>
  </si>
  <si>
    <t>Verhuurd aan Sociaal Domein</t>
  </si>
  <si>
    <t>vml schoolgebouw -&gt; antikraak via Camelot</t>
  </si>
  <si>
    <t>PCBS De Verrekijker</t>
  </si>
  <si>
    <t>OBS Prinses Margriet</t>
  </si>
  <si>
    <t>OBS Floriant (vh.Tuindorp-Thijsse)</t>
  </si>
  <si>
    <t>IKC Haven 48 (vh.OBS Thorbecke)</t>
  </si>
  <si>
    <t>ABS Comenius</t>
  </si>
  <si>
    <t>RKBS De Hofstee (vh.tussengebouw e.d.)</t>
  </si>
  <si>
    <t>OBS De Vloedlijn (vh.De Strandjutter)</t>
  </si>
  <si>
    <t>Linie College (vh. Herderschee)</t>
  </si>
  <si>
    <t>IKC Optimist ( vh.PCBS Eben Haëzer)</t>
  </si>
  <si>
    <t>btw regime (evt.compensabel)</t>
  </si>
  <si>
    <t>indien zonne- panelen</t>
  </si>
  <si>
    <t>erin</t>
  </si>
  <si>
    <t>eruit</t>
  </si>
  <si>
    <t>compensabel behoudens 2 a 3% kostprijs verhogend</t>
  </si>
  <si>
    <t>Ja</t>
  </si>
  <si>
    <t>compensabel</t>
  </si>
  <si>
    <t>btw kan later worden teruggehaal via een specifieke uitkering (SPUK m.i.v. 2019 voor nu 5 jaar)</t>
  </si>
  <si>
    <t>Ja, 14 stuks</t>
  </si>
  <si>
    <t>alleen compensabel bij gratis parkeren zoals waar nu sprake van is</t>
  </si>
  <si>
    <t>btw kan later worden teruggehaal via een specifieke uitkering (SPUK)</t>
  </si>
  <si>
    <t>grootbk nr</t>
  </si>
  <si>
    <t>kosten- soort</t>
  </si>
  <si>
    <t>taak</t>
  </si>
  <si>
    <t>PoDH</t>
  </si>
  <si>
    <t>9 porto cabins en opslag container onderkomen vogelwacht</t>
  </si>
  <si>
    <t>nieuw zie mail 011222</t>
  </si>
  <si>
    <t>btw regime</t>
  </si>
  <si>
    <t xml:space="preserve"> BTW compensabel behoudens 2 a 3% kostprijsverhogend</t>
  </si>
  <si>
    <t>kostprijsverhogend</t>
  </si>
  <si>
    <t>school niet compensabel</t>
  </si>
  <si>
    <t>kostprijsverhogend geen overheidstaak meer</t>
  </si>
  <si>
    <t>kostprijsverhogend (vork)</t>
  </si>
  <si>
    <t>kostprijsverhogend  sportcomplex kan btw terughalen via SPUK</t>
  </si>
  <si>
    <t>kostprijsverhogend verhuur</t>
  </si>
  <si>
    <t xml:space="preserve">kostprijsverhogend verhuur </t>
  </si>
  <si>
    <t>BTW compensabel</t>
  </si>
  <si>
    <t>Kostprijsverhogend er is sprake van dat het btw regime gaat naar compensabel, maar twijfel of dat dit jaat gaat lukken</t>
  </si>
  <si>
    <t>kostprijsverhogend, straks onderdeel van helderse vallei dan ander btw regiome</t>
  </si>
  <si>
    <t>kostprijsverhogend verhuur ??</t>
  </si>
  <si>
    <t>BTW compensabel openbaar</t>
  </si>
  <si>
    <t>btw compensabel</t>
  </si>
  <si>
    <t>btw compensabel historisch monument zie rapport deloite weet niet hoe de afspraken nu zijn binnen de gemeente</t>
  </si>
  <si>
    <t>compensabel beleid gemeente is nu gratis parkeren indien dit wordt gewijzigd veranderd ook het btw regime</t>
  </si>
  <si>
    <t>btw compensabel  laadpalen</t>
  </si>
  <si>
    <t>1785 AC</t>
  </si>
  <si>
    <t>299518-01-0</t>
  </si>
  <si>
    <t>299519-01-0</t>
  </si>
  <si>
    <t>299521-01-0</t>
  </si>
  <si>
    <t>299520-01-0</t>
  </si>
  <si>
    <t>299522-01-0</t>
  </si>
  <si>
    <t>299523-01-0</t>
  </si>
  <si>
    <t>299524-01-0</t>
  </si>
  <si>
    <t>299525-01-0</t>
  </si>
  <si>
    <t>De Helderse Vallei</t>
  </si>
  <si>
    <t>299528-01-0</t>
  </si>
  <si>
    <t>299529-01-0</t>
  </si>
  <si>
    <t>299530-01-0</t>
  </si>
  <si>
    <t>299526-01-0</t>
  </si>
  <si>
    <t>299544-01-0</t>
  </si>
  <si>
    <t>299543-01-0</t>
  </si>
  <si>
    <t>299542-01-0</t>
  </si>
  <si>
    <t>299540-01-0</t>
  </si>
  <si>
    <t>299553-01-0</t>
  </si>
  <si>
    <t>299557-01-0</t>
  </si>
  <si>
    <t>299560-01-0</t>
  </si>
  <si>
    <t>299559-01-0</t>
  </si>
  <si>
    <t>299566-01-0</t>
  </si>
  <si>
    <t>299567-01-0</t>
  </si>
  <si>
    <t>per 01-09-2023</t>
  </si>
  <si>
    <t>na index (125,1)</t>
  </si>
  <si>
    <t>na index (122,5)</t>
  </si>
  <si>
    <t>1783 DA</t>
  </si>
  <si>
    <t>1781 DR</t>
  </si>
  <si>
    <t>1783 JG</t>
  </si>
  <si>
    <t>Hagedoornstraat ongenummerd Sportcomplex De Streepjesberg</t>
  </si>
  <si>
    <t>1783 HZ
(1783 JG)</t>
  </si>
  <si>
    <t>RKBS IKC Driemaster (vh. Drietand)</t>
  </si>
  <si>
    <t>OBS De Kluft locatie 't Tuselant</t>
  </si>
  <si>
    <t>slooppand (sloopwaarde)</t>
  </si>
  <si>
    <t>Boterzwin</t>
  </si>
  <si>
    <t>1788 WZ</t>
  </si>
  <si>
    <t>nieuw per 211123 zie 2 mails 271123</t>
  </si>
  <si>
    <t>Gemeentehuis</t>
  </si>
  <si>
    <t>299895-01-0</t>
  </si>
  <si>
    <t>incl funderingen en BTW</t>
  </si>
  <si>
    <t>299894-01-0</t>
  </si>
  <si>
    <t>270089-02-0</t>
  </si>
  <si>
    <t>Anna Romein-Verschoorlaan</t>
  </si>
  <si>
    <t>1784 NZ</t>
  </si>
  <si>
    <t>nieuw per 061123 zie mail 190624</t>
  </si>
  <si>
    <t>opvanglocatie Oekraïners</t>
  </si>
  <si>
    <t>nieuw per 050524 zie mail 290524</t>
  </si>
  <si>
    <t>1787 AE</t>
  </si>
  <si>
    <t>De Helderse Valei nabij nr</t>
  </si>
  <si>
    <t>Opslag en kantine Alg. Begraafplaats</t>
  </si>
  <si>
    <t>Units tijdelijke behuizing school de Lichtlijn</t>
  </si>
  <si>
    <t>Schootenweg</t>
  </si>
  <si>
    <t>1785 LV</t>
  </si>
  <si>
    <t>Verenigingsgebouw Toon Jacobs</t>
  </si>
  <si>
    <t>nieuw zie mail 130824</t>
  </si>
  <si>
    <t>per 01-09-2024</t>
  </si>
  <si>
    <t>Niet getaxeerd?</t>
  </si>
  <si>
    <t>Nog in afwachting van verzekerde som</t>
  </si>
  <si>
    <t>H.A. Lorentzstraat/Pasteurstraat 143</t>
  </si>
  <si>
    <t>Paardenbak Duinruiters/tennisclubhuis/ voetbal clubhuis Zeemacht</t>
  </si>
  <si>
    <t>Gebouw Vogelwacht - in gebruik gegeven
(leegstaand)</t>
  </si>
  <si>
    <t>Bedrijfsruimte met bovenw op 2 verd - in gebruik gegeven. (leegstaand)</t>
  </si>
  <si>
    <t>Woning - verhuurd (leegstaand)</t>
  </si>
  <si>
    <t>Bovenwoning in gebruik gegeven (leegstaand)</t>
  </si>
  <si>
    <t>Kantoor en werkplaats vm geb  Hhrschap (leegstaand)</t>
  </si>
  <si>
    <t>na index (130,8)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</si>
</sst>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&quot;€&quot;\ #,##0.00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0"/>
      <color rgb="FF7030A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164" fontId="2" fillId="0" borderId="9" xfId="0" applyNumberFormat="1" applyFont="1" applyFill="1" applyBorder="1" applyAlignment="1">
      <alignment horizontal="left" vertical="top"/>
    </xf>
    <xf numFmtId="164" fontId="2" fillId="0" borderId="9" xfId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9" xfId="0" applyFont="1" applyFill="1" applyBorder="1" applyAlignment="1">
      <alignment horizontal="right" vertical="top"/>
    </xf>
    <xf numFmtId="0" fontId="2" fillId="0" borderId="9" xfId="0" applyFont="1" applyFill="1" applyBorder="1" applyAlignment="1">
      <alignment vertical="top"/>
    </xf>
    <xf numFmtId="164" fontId="2" fillId="0" borderId="9" xfId="0" applyNumberFormat="1" applyFont="1" applyFill="1" applyBorder="1" applyAlignment="1">
      <alignment vertical="top"/>
    </xf>
    <xf numFmtId="14" fontId="2" fillId="0" borderId="9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49" fontId="2" fillId="0" borderId="9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164" fontId="5" fillId="0" borderId="9" xfId="1" applyFont="1" applyFill="1" applyBorder="1" applyAlignment="1">
      <alignment horizontal="left" vertical="top"/>
    </xf>
    <xf numFmtId="0" fontId="2" fillId="0" borderId="10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164" fontId="3" fillId="0" borderId="9" xfId="1" applyFont="1" applyFill="1" applyBorder="1" applyAlignment="1">
      <alignment horizontal="left" vertical="top"/>
    </xf>
    <xf numFmtId="0" fontId="3" fillId="0" borderId="9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49" fontId="2" fillId="0" borderId="9" xfId="0" applyNumberFormat="1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/>
    </xf>
    <xf numFmtId="0" fontId="2" fillId="0" borderId="1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9" xfId="0" applyNumberFormat="1" applyFont="1" applyFill="1" applyBorder="1" applyAlignment="1">
      <alignment horizontal="left" vertical="top"/>
    </xf>
    <xf numFmtId="164" fontId="1" fillId="0" borderId="9" xfId="1" applyFont="1" applyFill="1" applyBorder="1" applyAlignment="1">
      <alignment horizontal="left" vertical="top"/>
    </xf>
    <xf numFmtId="164" fontId="1" fillId="0" borderId="9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164" fontId="2" fillId="0" borderId="0" xfId="0" applyNumberFormat="1" applyFont="1" applyFill="1" applyAlignment="1">
      <alignment vertical="top"/>
    </xf>
    <xf numFmtId="49" fontId="1" fillId="3" borderId="0" xfId="1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164" fontId="1" fillId="3" borderId="2" xfId="1" applyFont="1" applyFill="1" applyBorder="1" applyAlignment="1">
      <alignment horizontal="left" vertical="top"/>
    </xf>
    <xf numFmtId="164" fontId="1" fillId="3" borderId="2" xfId="0" applyNumberFormat="1" applyFont="1" applyFill="1" applyBorder="1" applyAlignment="1">
      <alignment horizontal="left" vertical="top"/>
    </xf>
    <xf numFmtId="164" fontId="1" fillId="3" borderId="2" xfId="0" applyNumberFormat="1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164" fontId="1" fillId="3" borderId="0" xfId="1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6" xfId="0" applyNumberFormat="1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164" fontId="1" fillId="3" borderId="6" xfId="1" applyFont="1" applyFill="1" applyBorder="1" applyAlignment="1">
      <alignment horizontal="left" vertical="top"/>
    </xf>
    <xf numFmtId="0" fontId="1" fillId="3" borderId="6" xfId="0" applyNumberFormat="1" applyFont="1" applyFill="1" applyBorder="1" applyAlignment="1">
      <alignment horizontal="left" vertical="top"/>
    </xf>
    <xf numFmtId="164" fontId="1" fillId="3" borderId="6" xfId="0" applyNumberFormat="1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14" fontId="2" fillId="0" borderId="0" xfId="0" applyNumberFormat="1" applyFont="1" applyFill="1" applyAlignment="1">
      <alignment vertical="top"/>
    </xf>
    <xf numFmtId="164" fontId="2" fillId="0" borderId="0" xfId="0" applyNumberFormat="1" applyFont="1" applyFill="1" applyBorder="1" applyAlignment="1">
      <alignment vertical="top"/>
    </xf>
    <xf numFmtId="165" fontId="2" fillId="0" borderId="0" xfId="0" applyNumberFormat="1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horizontal="center" vertical="top"/>
    </xf>
    <xf numFmtId="166" fontId="2" fillId="0" borderId="0" xfId="0" applyNumberFormat="1" applyFont="1" applyFill="1" applyBorder="1" applyAlignment="1">
      <alignment vertical="top"/>
    </xf>
    <xf numFmtId="44" fontId="2" fillId="0" borderId="9" xfId="2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2" fillId="0" borderId="9" xfId="0" applyFont="1" applyBorder="1" applyAlignment="1">
      <alignment horizontal="left" vertical="top"/>
    </xf>
    <xf numFmtId="0" fontId="2" fillId="4" borderId="9" xfId="0" quotePrefix="1" applyFont="1" applyFill="1" applyBorder="1" applyAlignment="1">
      <alignment vertical="top" wrapText="1"/>
    </xf>
    <xf numFmtId="49" fontId="2" fillId="4" borderId="9" xfId="0" applyNumberFormat="1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left" vertical="top"/>
    </xf>
    <xf numFmtId="0" fontId="3" fillId="0" borderId="9" xfId="0" applyFont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1" fillId="5" borderId="6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/>
    </xf>
    <xf numFmtId="15" fontId="2" fillId="5" borderId="9" xfId="0" applyNumberFormat="1" applyFont="1" applyFill="1" applyBorder="1" applyAlignment="1">
      <alignment vertical="top" wrapText="1"/>
    </xf>
    <xf numFmtId="0" fontId="2" fillId="0" borderId="9" xfId="0" applyFont="1" applyBorder="1" applyAlignment="1">
      <alignment horizontal="right" vertical="top"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right"/>
    </xf>
    <xf numFmtId="0" fontId="2" fillId="0" borderId="9" xfId="0" quotePrefix="1" applyFont="1" applyBorder="1" applyAlignment="1">
      <alignment vertical="top" wrapText="1"/>
    </xf>
    <xf numFmtId="0" fontId="2" fillId="0" borderId="9" xfId="0" applyFont="1" applyBorder="1" applyAlignment="1">
      <alignment horizontal="right" vertical="top"/>
    </xf>
    <xf numFmtId="164" fontId="5" fillId="0" borderId="0" xfId="0" applyNumberFormat="1" applyFont="1" applyFill="1" applyAlignment="1">
      <alignment vertical="top"/>
    </xf>
    <xf numFmtId="0" fontId="5" fillId="0" borderId="0" xfId="0" applyFont="1" applyAlignment="1">
      <alignment vertical="top" wrapText="1"/>
    </xf>
    <xf numFmtId="0" fontId="1" fillId="6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6" borderId="0" xfId="0" applyFont="1" applyFill="1" applyAlignment="1">
      <alignment vertical="top"/>
    </xf>
    <xf numFmtId="0" fontId="2" fillId="0" borderId="9" xfId="0" applyFont="1" applyBorder="1" applyAlignment="1">
      <alignment vertical="top"/>
    </xf>
    <xf numFmtId="0" fontId="2" fillId="6" borderId="9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1" xfId="0" applyFont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right" vertical="top"/>
    </xf>
    <xf numFmtId="49" fontId="2" fillId="0" borderId="9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top"/>
    </xf>
    <xf numFmtId="0" fontId="3" fillId="0" borderId="9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14" fontId="2" fillId="0" borderId="9" xfId="0" applyNumberFormat="1" applyFont="1" applyFill="1" applyBorder="1" applyAlignment="1">
      <alignment horizontal="right" vertical="top"/>
    </xf>
    <xf numFmtId="0" fontId="2" fillId="0" borderId="11" xfId="0" applyFont="1" applyBorder="1" applyAlignment="1">
      <alignment horizontal="right"/>
    </xf>
    <xf numFmtId="0" fontId="2" fillId="5" borderId="9" xfId="0" applyFont="1" applyFill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0" fontId="6" fillId="0" borderId="9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4" borderId="9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" fillId="4" borderId="9" xfId="0" applyFont="1" applyFill="1" applyBorder="1" applyAlignment="1">
      <alignment vertical="top"/>
    </xf>
    <xf numFmtId="0" fontId="2" fillId="4" borderId="9" xfId="0" quotePrefix="1" applyFont="1" applyFill="1" applyBorder="1" applyAlignment="1">
      <alignment vertical="top"/>
    </xf>
    <xf numFmtId="0" fontId="3" fillId="0" borderId="9" xfId="0" applyFont="1" applyBorder="1" applyAlignment="1">
      <alignment vertical="top"/>
    </xf>
    <xf numFmtId="164" fontId="2" fillId="0" borderId="9" xfId="0" applyNumberFormat="1" applyFont="1" applyFill="1" applyBorder="1" applyAlignment="1">
      <alignment vertical="top" wrapText="1"/>
    </xf>
    <xf numFmtId="164" fontId="5" fillId="0" borderId="9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10" fillId="0" borderId="9" xfId="0" applyNumberFormat="1" applyFont="1" applyFill="1" applyBorder="1" applyAlignment="1">
      <alignment vertical="top"/>
    </xf>
    <xf numFmtId="44" fontId="2" fillId="0" borderId="0" xfId="0" applyNumberFormat="1" applyFont="1" applyFill="1" applyAlignment="1">
      <alignment horizontal="right" vertical="top"/>
    </xf>
    <xf numFmtId="0" fontId="5" fillId="4" borderId="0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vertical="top" wrapText="1"/>
    </xf>
    <xf numFmtId="0" fontId="5" fillId="6" borderId="0" xfId="0" applyFont="1" applyFill="1" applyAlignment="1">
      <alignment vertical="top"/>
    </xf>
    <xf numFmtId="164" fontId="5" fillId="5" borderId="9" xfId="0" applyNumberFormat="1" applyFont="1" applyFill="1" applyBorder="1" applyAlignment="1">
      <alignment vertical="top"/>
    </xf>
    <xf numFmtId="164" fontId="2" fillId="5" borderId="9" xfId="1" applyFont="1" applyFill="1" applyBorder="1" applyAlignment="1">
      <alignment horizontal="left" vertical="top"/>
    </xf>
    <xf numFmtId="14" fontId="2" fillId="5" borderId="9" xfId="0" applyNumberFormat="1" applyFont="1" applyFill="1" applyBorder="1" applyAlignment="1">
      <alignment vertical="top"/>
    </xf>
    <xf numFmtId="14" fontId="2" fillId="5" borderId="9" xfId="0" applyNumberFormat="1" applyFont="1" applyFill="1" applyBorder="1" applyAlignment="1">
      <alignment horizontal="left" vertical="top"/>
    </xf>
    <xf numFmtId="0" fontId="2" fillId="0" borderId="9" xfId="0" applyFont="1" applyBorder="1"/>
    <xf numFmtId="0" fontId="1" fillId="5" borderId="2" xfId="0" applyFon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1" fillId="5" borderId="2" xfId="0" applyNumberFormat="1" applyFont="1" applyFill="1" applyBorder="1" applyAlignment="1">
      <alignment vertical="top" wrapText="1"/>
    </xf>
    <xf numFmtId="2" fontId="0" fillId="0" borderId="0" xfId="0" applyNumberFormat="1" applyAlignment="1">
      <alignment vertical="top" wrapText="1"/>
    </xf>
    <xf numFmtId="2" fontId="0" fillId="0" borderId="6" xfId="0" applyNumberFormat="1" applyBorder="1" applyAlignment="1">
      <alignment vertical="top" wrapText="1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5FC8-7666-4E02-B22A-4454A1E07880}">
  <sheetPr>
    <pageSetUpPr fitToPage="1"/>
  </sheetPr>
  <dimension ref="A1:IP112"/>
  <sheetViews>
    <sheetView tabSelected="1" topLeftCell="F69" zoomScaleNormal="100" workbookViewId="0">
      <selection activeCell="Q108" sqref="Q108"/>
    </sheetView>
  </sheetViews>
  <sheetFormatPr defaultRowHeight="12.75" x14ac:dyDescent="0.25"/>
  <cols>
    <col min="1" max="1" width="16.5703125" style="35" hidden="1" customWidth="1"/>
    <col min="2" max="2" width="29.42578125" style="17" hidden="1" customWidth="1"/>
    <col min="3" max="3" width="35.7109375" style="1" customWidth="1"/>
    <col min="4" max="4" width="10.140625" style="17" customWidth="1"/>
    <col min="5" max="5" width="8.5703125" style="17" customWidth="1"/>
    <col min="6" max="6" width="9.28515625" style="17" customWidth="1"/>
    <col min="7" max="7" width="10.28515625" style="17" customWidth="1"/>
    <col min="8" max="8" width="37.5703125" style="59" customWidth="1"/>
    <col min="9" max="9" width="25.5703125" style="35" hidden="1" customWidth="1"/>
    <col min="10" max="11" width="16.5703125" style="35" hidden="1" customWidth="1"/>
    <col min="12" max="12" width="23" style="35" hidden="1" customWidth="1"/>
    <col min="13" max="14" width="21.28515625" style="35" hidden="1" customWidth="1"/>
    <col min="15" max="15" width="22.5703125" style="35" hidden="1" customWidth="1"/>
    <col min="16" max="16" width="21.28515625" style="35" hidden="1" customWidth="1"/>
    <col min="17" max="18" width="21.28515625" style="35" customWidth="1"/>
    <col min="19" max="19" width="21.85546875" style="35" bestFit="1" customWidth="1"/>
    <col min="20" max="20" width="12.42578125" style="17" customWidth="1"/>
    <col min="21" max="21" width="14.5703125" style="99" bestFit="1" customWidth="1"/>
    <col min="22" max="22" width="13.140625" style="17" customWidth="1"/>
    <col min="23" max="23" width="11.28515625" style="17" customWidth="1"/>
    <col min="24" max="24" width="11.28515625" style="99" customWidth="1"/>
    <col min="25" max="25" width="13.140625" style="17" customWidth="1"/>
    <col min="26" max="26" width="9.140625" style="17"/>
    <col min="27" max="27" width="39.42578125" style="17" customWidth="1"/>
    <col min="28" max="28" width="22.7109375" style="17" bestFit="1" customWidth="1"/>
    <col min="29" max="29" width="11" style="17" bestFit="1" customWidth="1"/>
    <col min="30" max="30" width="22.85546875" style="90" customWidth="1"/>
    <col min="31" max="31" width="11.5703125" style="59" customWidth="1"/>
    <col min="32" max="33" width="13.28515625" style="59" customWidth="1"/>
    <col min="34" max="34" width="13" style="59" customWidth="1"/>
    <col min="35" max="35" width="12.140625" style="59" customWidth="1"/>
    <col min="36" max="36" width="12.5703125" style="59" customWidth="1"/>
    <col min="37" max="37" width="9.140625" style="17"/>
    <col min="38" max="38" width="37.5703125" style="59" customWidth="1"/>
    <col min="39" max="43" width="9.140625" style="17"/>
    <col min="44" max="44" width="12.85546875" style="17" bestFit="1" customWidth="1"/>
    <col min="45" max="52" width="9.140625" style="17"/>
    <col min="53" max="53" width="9.28515625" style="17" bestFit="1" customWidth="1"/>
    <col min="54" max="61" width="9.140625" style="17"/>
    <col min="62" max="62" width="9.28515625" style="17" bestFit="1" customWidth="1"/>
    <col min="63" max="75" width="9.140625" style="17"/>
    <col min="76" max="76" width="12.85546875" style="17" bestFit="1" customWidth="1"/>
    <col min="77" max="84" width="9.140625" style="17"/>
    <col min="85" max="85" width="9.28515625" style="17" bestFit="1" customWidth="1"/>
    <col min="86" max="93" width="9.140625" style="17"/>
    <col min="94" max="94" width="9.28515625" style="17" bestFit="1" customWidth="1"/>
    <col min="95" max="107" width="9.140625" style="17"/>
    <col min="108" max="108" width="12.85546875" style="17" bestFit="1" customWidth="1"/>
    <col min="109" max="116" width="9.140625" style="17"/>
    <col min="117" max="117" width="9.28515625" style="17" bestFit="1" customWidth="1"/>
    <col min="118" max="125" width="9.140625" style="17"/>
    <col min="126" max="126" width="9.28515625" style="17" bestFit="1" customWidth="1"/>
    <col min="127" max="139" width="9.140625" style="17"/>
    <col min="140" max="140" width="12.85546875" style="17" bestFit="1" customWidth="1"/>
    <col min="141" max="148" width="9.140625" style="17"/>
    <col min="149" max="149" width="9.28515625" style="17" bestFit="1" customWidth="1"/>
    <col min="150" max="157" width="9.140625" style="17"/>
    <col min="158" max="158" width="9.28515625" style="17" bestFit="1" customWidth="1"/>
    <col min="159" max="171" width="9.140625" style="17"/>
    <col min="172" max="172" width="12.85546875" style="17" bestFit="1" customWidth="1"/>
    <col min="173" max="180" width="9.140625" style="17"/>
    <col min="181" max="181" width="9.28515625" style="17" bestFit="1" customWidth="1"/>
    <col min="182" max="189" width="9.140625" style="17"/>
    <col min="190" max="190" width="9.28515625" style="17" bestFit="1" customWidth="1"/>
    <col min="191" max="203" width="9.140625" style="17"/>
    <col min="204" max="204" width="12.85546875" style="17" bestFit="1" customWidth="1"/>
    <col min="205" max="212" width="9.140625" style="17"/>
    <col min="213" max="213" width="9.28515625" style="17" bestFit="1" customWidth="1"/>
    <col min="214" max="221" width="9.140625" style="17"/>
    <col min="222" max="222" width="9.28515625" style="17" bestFit="1" customWidth="1"/>
    <col min="223" max="235" width="9.140625" style="17"/>
    <col min="236" max="236" width="12.85546875" style="17" bestFit="1" customWidth="1"/>
    <col min="237" max="244" width="9.140625" style="17"/>
    <col min="245" max="245" width="9.28515625" style="17" bestFit="1" customWidth="1"/>
    <col min="246" max="16384" width="9.140625" style="17"/>
  </cols>
  <sheetData>
    <row r="1" spans="1:250" s="33" customFormat="1" x14ac:dyDescent="0.25">
      <c r="A1" s="36" t="s">
        <v>256</v>
      </c>
      <c r="B1" s="37" t="s">
        <v>223</v>
      </c>
      <c r="C1" s="5" t="s">
        <v>0</v>
      </c>
      <c r="D1" s="37" t="s">
        <v>1</v>
      </c>
      <c r="E1" s="37" t="s">
        <v>297</v>
      </c>
      <c r="F1" s="37" t="s">
        <v>3</v>
      </c>
      <c r="G1" s="37" t="s">
        <v>209</v>
      </c>
      <c r="H1" s="3" t="s">
        <v>2</v>
      </c>
      <c r="I1" s="38" t="s">
        <v>154</v>
      </c>
      <c r="J1" s="38" t="s">
        <v>154</v>
      </c>
      <c r="K1" s="38" t="s">
        <v>154</v>
      </c>
      <c r="L1" s="38" t="s">
        <v>154</v>
      </c>
      <c r="M1" s="38" t="s">
        <v>154</v>
      </c>
      <c r="N1" s="39" t="s">
        <v>284</v>
      </c>
      <c r="O1" s="38" t="s">
        <v>154</v>
      </c>
      <c r="P1" s="39" t="s">
        <v>284</v>
      </c>
      <c r="Q1" s="38" t="s">
        <v>154</v>
      </c>
      <c r="R1" s="39" t="s">
        <v>284</v>
      </c>
      <c r="S1" s="40" t="s">
        <v>4</v>
      </c>
      <c r="T1" s="37" t="s">
        <v>5</v>
      </c>
      <c r="U1" s="101" t="s">
        <v>7</v>
      </c>
      <c r="V1" s="41" t="s">
        <v>6</v>
      </c>
      <c r="W1" s="37" t="s">
        <v>5</v>
      </c>
      <c r="X1" s="101" t="s">
        <v>7</v>
      </c>
      <c r="Y1" s="41" t="s">
        <v>6</v>
      </c>
      <c r="AA1" s="132" t="s">
        <v>5</v>
      </c>
      <c r="AB1" s="132"/>
      <c r="AD1" s="134" t="s">
        <v>387</v>
      </c>
      <c r="AE1" s="75"/>
      <c r="AF1" s="75"/>
      <c r="AG1" s="137" t="s">
        <v>388</v>
      </c>
      <c r="AH1" s="129" t="s">
        <v>398</v>
      </c>
      <c r="AI1" s="129" t="s">
        <v>399</v>
      </c>
      <c r="AJ1" s="129" t="s">
        <v>400</v>
      </c>
      <c r="AL1" s="89" t="s">
        <v>404</v>
      </c>
    </row>
    <row r="2" spans="1:250" s="33" customFormat="1" x14ac:dyDescent="0.25">
      <c r="A2" s="36"/>
      <c r="B2" s="42"/>
      <c r="C2" s="6"/>
      <c r="D2" s="42"/>
      <c r="E2" s="42"/>
      <c r="F2" s="42"/>
      <c r="G2" s="42"/>
      <c r="H2" s="63"/>
      <c r="I2" s="43" t="s">
        <v>294</v>
      </c>
      <c r="J2" s="43" t="s">
        <v>298</v>
      </c>
      <c r="K2" s="43" t="s">
        <v>340</v>
      </c>
      <c r="L2" s="43" t="s">
        <v>346</v>
      </c>
      <c r="M2" s="43" t="s">
        <v>350</v>
      </c>
      <c r="N2" s="43"/>
      <c r="O2" s="43" t="s">
        <v>446</v>
      </c>
      <c r="P2" s="43" t="s">
        <v>446</v>
      </c>
      <c r="Q2" s="43" t="s">
        <v>478</v>
      </c>
      <c r="R2" s="43" t="s">
        <v>478</v>
      </c>
      <c r="S2" s="43" t="s">
        <v>478</v>
      </c>
      <c r="T2" s="42" t="s">
        <v>10</v>
      </c>
      <c r="U2" s="102" t="s">
        <v>11</v>
      </c>
      <c r="V2" s="44" t="s">
        <v>8</v>
      </c>
      <c r="W2" s="42" t="s">
        <v>10</v>
      </c>
      <c r="X2" s="102" t="s">
        <v>11</v>
      </c>
      <c r="Y2" s="45" t="s">
        <v>9</v>
      </c>
      <c r="AA2" s="132" t="s">
        <v>222</v>
      </c>
      <c r="AB2" s="132"/>
      <c r="AD2" s="135"/>
      <c r="AE2" s="76"/>
      <c r="AF2" s="76"/>
      <c r="AG2" s="138"/>
      <c r="AH2" s="130"/>
      <c r="AI2" s="130"/>
      <c r="AJ2" s="130"/>
      <c r="AL2" s="63"/>
    </row>
    <row r="3" spans="1:250" s="34" customFormat="1" x14ac:dyDescent="0.25">
      <c r="A3" s="46"/>
      <c r="B3" s="47"/>
      <c r="C3" s="7"/>
      <c r="D3" s="47"/>
      <c r="E3" s="47"/>
      <c r="F3" s="47"/>
      <c r="G3" s="47"/>
      <c r="H3" s="4"/>
      <c r="I3" s="48" t="s">
        <v>295</v>
      </c>
      <c r="J3" s="48" t="s">
        <v>299</v>
      </c>
      <c r="K3" s="48" t="s">
        <v>341</v>
      </c>
      <c r="L3" s="48" t="s">
        <v>347</v>
      </c>
      <c r="M3" s="48" t="s">
        <v>351</v>
      </c>
      <c r="N3" s="49"/>
      <c r="O3" s="48" t="s">
        <v>447</v>
      </c>
      <c r="P3" s="48" t="s">
        <v>448</v>
      </c>
      <c r="Q3" s="48" t="s">
        <v>488</v>
      </c>
      <c r="R3" s="48" t="s">
        <v>448</v>
      </c>
      <c r="S3" s="50"/>
      <c r="T3" s="47" t="s">
        <v>222</v>
      </c>
      <c r="U3" s="97"/>
      <c r="V3" s="51"/>
      <c r="W3" s="47" t="s">
        <v>9</v>
      </c>
      <c r="X3" s="97"/>
      <c r="Y3" s="52"/>
      <c r="Z3" s="33"/>
      <c r="AA3" s="133"/>
      <c r="AB3" s="133"/>
      <c r="AD3" s="136"/>
      <c r="AE3" s="77" t="s">
        <v>389</v>
      </c>
      <c r="AF3" s="77" t="s">
        <v>390</v>
      </c>
      <c r="AG3" s="139"/>
      <c r="AH3" s="131"/>
      <c r="AI3" s="131"/>
      <c r="AJ3" s="131"/>
      <c r="AL3" s="4"/>
    </row>
    <row r="4" spans="1:250" s="19" customFormat="1" x14ac:dyDescent="0.25">
      <c r="A4" s="18" t="s">
        <v>257</v>
      </c>
      <c r="B4" s="21" t="s">
        <v>12</v>
      </c>
      <c r="C4" s="2" t="s">
        <v>169</v>
      </c>
      <c r="D4" s="14">
        <v>25</v>
      </c>
      <c r="E4" s="14"/>
      <c r="F4" s="14" t="s">
        <v>13</v>
      </c>
      <c r="G4" s="14" t="s">
        <v>210</v>
      </c>
      <c r="H4" s="60" t="s">
        <v>353</v>
      </c>
      <c r="I4" s="11">
        <v>2765291</v>
      </c>
      <c r="J4" s="11">
        <f>2500000*1.21</f>
        <v>3025000</v>
      </c>
      <c r="K4" s="11">
        <f>ROUND(J4/135.6*147.5,0)</f>
        <v>3290468</v>
      </c>
      <c r="L4" s="23">
        <f>ROUND(K4/147.5*154.9,0)</f>
        <v>3455549</v>
      </c>
      <c r="M4" s="11">
        <f t="shared" ref="M4" si="0">ROUND(L4/154.9*163.4,0)</f>
        <v>3645169</v>
      </c>
      <c r="N4" s="15">
        <v>2263200</v>
      </c>
      <c r="O4" s="11">
        <f>ROUND(M4/163.4*175.3,0)</f>
        <v>3910637</v>
      </c>
      <c r="P4" s="20">
        <v>2382611</v>
      </c>
      <c r="Q4" s="11">
        <f>ROUND(O4/125.1*130.8,-2)</f>
        <v>4088800</v>
      </c>
      <c r="R4" s="11">
        <f>ROUND(P4/122.5*127.2,-2)</f>
        <v>2474000</v>
      </c>
      <c r="S4" s="15">
        <f>Q4+R4</f>
        <v>6562800</v>
      </c>
      <c r="T4" s="16">
        <v>43628</v>
      </c>
      <c r="U4" s="13">
        <v>241176001</v>
      </c>
      <c r="V4" s="14" t="s">
        <v>48</v>
      </c>
      <c r="W4" s="16">
        <v>45177</v>
      </c>
      <c r="X4" s="103" t="s">
        <v>464</v>
      </c>
      <c r="Y4" s="14" t="s">
        <v>48</v>
      </c>
      <c r="Z4" s="17"/>
      <c r="AA4" s="22" t="s">
        <v>348</v>
      </c>
      <c r="AB4" s="14" t="s">
        <v>304</v>
      </c>
      <c r="AD4" s="107" t="s">
        <v>391</v>
      </c>
      <c r="AE4" s="64"/>
      <c r="AF4" s="64"/>
      <c r="AG4" s="64"/>
      <c r="AH4" s="60">
        <v>504020</v>
      </c>
      <c r="AI4" s="60">
        <v>438012</v>
      </c>
      <c r="AJ4" s="60">
        <v>1002</v>
      </c>
      <c r="AL4" s="93" t="s">
        <v>405</v>
      </c>
    </row>
    <row r="5" spans="1:250" x14ac:dyDescent="0.25">
      <c r="A5" s="18" t="s">
        <v>258</v>
      </c>
      <c r="B5" s="21" t="s">
        <v>286</v>
      </c>
      <c r="C5" s="2" t="s">
        <v>170</v>
      </c>
      <c r="D5" s="14">
        <v>1</v>
      </c>
      <c r="E5" s="14"/>
      <c r="F5" s="14" t="s">
        <v>15</v>
      </c>
      <c r="G5" s="14" t="s">
        <v>210</v>
      </c>
      <c r="H5" s="60" t="s">
        <v>354</v>
      </c>
      <c r="I5" s="11">
        <v>195525</v>
      </c>
      <c r="J5" s="11">
        <f>235000*1.21</f>
        <v>284350</v>
      </c>
      <c r="K5" s="11">
        <f t="shared" ref="K5:K7" si="1">ROUND(J5/135.6*147.5,0)</f>
        <v>309304</v>
      </c>
      <c r="L5" s="23">
        <f t="shared" ref="L5:L60" si="2">ROUND(K5/147.5*154.9,0)</f>
        <v>324822</v>
      </c>
      <c r="M5" s="11">
        <f t="shared" ref="M5:M34" si="3">ROUND(L5/154.9*163.4,0)</f>
        <v>342646</v>
      </c>
      <c r="N5" s="15"/>
      <c r="O5" s="11">
        <f t="shared" ref="O5:O60" si="4">ROUND(M5/163.4*175.3,0)</f>
        <v>367600</v>
      </c>
      <c r="P5" s="11">
        <f t="shared" ref="P5:P61" si="5">ROUND(N5/111.7*122.5,0)</f>
        <v>0</v>
      </c>
      <c r="Q5" s="11">
        <f t="shared" ref="Q5:Q68" si="6">ROUND(O5/125.1*130.8,-2)</f>
        <v>384300</v>
      </c>
      <c r="R5" s="11">
        <f t="shared" ref="R5:R68" si="7">ROUND(P5/122.5*127.2,-2)</f>
        <v>0</v>
      </c>
      <c r="S5" s="15">
        <f t="shared" ref="S5:S68" si="8">Q5+R5</f>
        <v>384300</v>
      </c>
      <c r="T5" s="16">
        <v>43628</v>
      </c>
      <c r="U5" s="13">
        <v>241176001</v>
      </c>
      <c r="V5" s="14" t="s">
        <v>48</v>
      </c>
      <c r="W5" s="14"/>
      <c r="X5" s="13"/>
      <c r="Y5" s="14"/>
      <c r="AA5" s="22" t="s">
        <v>348</v>
      </c>
      <c r="AB5" s="14" t="s">
        <v>304</v>
      </c>
      <c r="AC5" s="35"/>
      <c r="AD5" s="92"/>
      <c r="AE5" s="60"/>
      <c r="AF5" s="60"/>
      <c r="AG5" s="60"/>
      <c r="AH5" s="60">
        <v>655000</v>
      </c>
      <c r="AI5" s="60">
        <v>438012</v>
      </c>
      <c r="AJ5" s="60"/>
      <c r="AL5" s="92" t="s">
        <v>406</v>
      </c>
    </row>
    <row r="6" spans="1:250" s="62" customFormat="1" x14ac:dyDescent="0.25">
      <c r="A6" s="87"/>
      <c r="C6" s="2" t="s">
        <v>465</v>
      </c>
      <c r="D6" s="14">
        <v>22</v>
      </c>
      <c r="E6" s="14"/>
      <c r="F6" s="14" t="s">
        <v>466</v>
      </c>
      <c r="G6" s="14" t="s">
        <v>210</v>
      </c>
      <c r="H6" s="73" t="s">
        <v>468</v>
      </c>
      <c r="I6" s="115"/>
      <c r="J6" s="22"/>
      <c r="K6" s="115"/>
      <c r="L6" s="20"/>
      <c r="M6" s="20"/>
      <c r="N6" s="115"/>
      <c r="O6" s="20">
        <v>650000</v>
      </c>
      <c r="P6" s="20"/>
      <c r="Q6" s="11">
        <f>ROUND(O6/125.2*130.8,-2)</f>
        <v>679100</v>
      </c>
      <c r="R6" s="11">
        <f t="shared" si="7"/>
        <v>0</v>
      </c>
      <c r="S6" s="15">
        <f t="shared" si="8"/>
        <v>679100</v>
      </c>
      <c r="T6" s="14" t="s">
        <v>467</v>
      </c>
      <c r="U6" s="13"/>
      <c r="V6" s="14"/>
      <c r="W6" s="14"/>
      <c r="X6" s="13"/>
      <c r="Y6" s="14"/>
      <c r="AA6" s="116"/>
      <c r="AB6" s="116"/>
      <c r="AD6" s="119"/>
      <c r="AE6" s="119"/>
      <c r="AF6" s="119"/>
      <c r="AG6" s="120"/>
      <c r="AH6" s="121"/>
      <c r="AI6" s="122"/>
      <c r="AJ6" s="121"/>
      <c r="AL6" s="123"/>
    </row>
    <row r="7" spans="1:250" x14ac:dyDescent="0.25">
      <c r="A7" s="18" t="s">
        <v>260</v>
      </c>
      <c r="B7" s="21" t="s">
        <v>16</v>
      </c>
      <c r="C7" s="2" t="s">
        <v>171</v>
      </c>
      <c r="D7" s="14">
        <v>237</v>
      </c>
      <c r="E7" s="14"/>
      <c r="F7" s="14" t="s">
        <v>17</v>
      </c>
      <c r="G7" s="14" t="s">
        <v>210</v>
      </c>
      <c r="H7" s="60" t="s">
        <v>355</v>
      </c>
      <c r="I7" s="11">
        <v>2391001</v>
      </c>
      <c r="J7" s="11">
        <f>2500000*1.21</f>
        <v>3025000</v>
      </c>
      <c r="K7" s="11">
        <f t="shared" si="1"/>
        <v>3290468</v>
      </c>
      <c r="L7" s="23">
        <f t="shared" si="2"/>
        <v>3455549</v>
      </c>
      <c r="M7" s="11">
        <f t="shared" si="3"/>
        <v>3645169</v>
      </c>
      <c r="N7" s="15">
        <v>422700</v>
      </c>
      <c r="O7" s="11">
        <f t="shared" si="4"/>
        <v>3910637</v>
      </c>
      <c r="P7" s="20">
        <v>601491</v>
      </c>
      <c r="Q7" s="11">
        <f t="shared" si="6"/>
        <v>4088800</v>
      </c>
      <c r="R7" s="11">
        <f t="shared" si="7"/>
        <v>624600</v>
      </c>
      <c r="S7" s="15">
        <f t="shared" si="8"/>
        <v>4713400</v>
      </c>
      <c r="T7" s="16">
        <v>43628</v>
      </c>
      <c r="U7" s="13">
        <v>241176001</v>
      </c>
      <c r="V7" s="14" t="s">
        <v>48</v>
      </c>
      <c r="W7" s="16">
        <v>45177</v>
      </c>
      <c r="X7" s="103" t="s">
        <v>464</v>
      </c>
      <c r="Y7" s="14" t="s">
        <v>48</v>
      </c>
      <c r="AA7" s="22" t="s">
        <v>348</v>
      </c>
      <c r="AB7" s="14" t="s">
        <v>304</v>
      </c>
      <c r="AC7" s="35"/>
      <c r="AD7" s="108"/>
      <c r="AE7" s="65"/>
      <c r="AF7" s="65"/>
      <c r="AG7" s="78" t="s">
        <v>392</v>
      </c>
      <c r="AH7" s="60">
        <v>642001</v>
      </c>
      <c r="AI7" s="60">
        <v>438012</v>
      </c>
      <c r="AJ7" s="60"/>
      <c r="AL7" s="92" t="s">
        <v>407</v>
      </c>
    </row>
    <row r="8" spans="1:250" x14ac:dyDescent="0.25">
      <c r="A8" s="15"/>
      <c r="B8" s="14"/>
      <c r="C8" s="2" t="s">
        <v>296</v>
      </c>
      <c r="D8" s="14">
        <v>4</v>
      </c>
      <c r="E8" s="14"/>
      <c r="F8" s="14" t="s">
        <v>19</v>
      </c>
      <c r="G8" s="14" t="s">
        <v>210</v>
      </c>
      <c r="H8" s="60" t="s">
        <v>18</v>
      </c>
      <c r="I8" s="15">
        <v>9031100</v>
      </c>
      <c r="J8" s="11">
        <v>10225000</v>
      </c>
      <c r="K8" s="11">
        <f>ROUND(J8/145.8*147.5,0)</f>
        <v>10344222</v>
      </c>
      <c r="L8" s="23">
        <f t="shared" si="2"/>
        <v>10863186</v>
      </c>
      <c r="M8" s="11">
        <f t="shared" si="3"/>
        <v>11459294</v>
      </c>
      <c r="N8" s="15">
        <v>302000</v>
      </c>
      <c r="O8" s="11">
        <f t="shared" si="4"/>
        <v>12293845</v>
      </c>
      <c r="P8" s="20">
        <v>1447644</v>
      </c>
      <c r="Q8" s="11">
        <f t="shared" si="6"/>
        <v>12854000</v>
      </c>
      <c r="R8" s="11">
        <f t="shared" si="7"/>
        <v>1503200</v>
      </c>
      <c r="S8" s="15">
        <f t="shared" si="8"/>
        <v>14357200</v>
      </c>
      <c r="T8" s="53">
        <v>43966</v>
      </c>
      <c r="U8" s="13" t="s">
        <v>333</v>
      </c>
      <c r="V8" s="14" t="s">
        <v>48</v>
      </c>
      <c r="W8" s="16">
        <v>45177</v>
      </c>
      <c r="X8" s="103" t="s">
        <v>464</v>
      </c>
      <c r="Y8" s="14" t="s">
        <v>48</v>
      </c>
      <c r="AA8" s="14"/>
      <c r="AB8" s="14" t="s">
        <v>208</v>
      </c>
      <c r="AD8" s="92"/>
      <c r="AE8" s="60"/>
      <c r="AF8" s="60"/>
      <c r="AH8" s="60">
        <v>504020</v>
      </c>
      <c r="AI8" s="60">
        <v>438012</v>
      </c>
      <c r="AJ8" s="60">
        <v>1003</v>
      </c>
      <c r="AL8" s="92" t="s">
        <v>408</v>
      </c>
    </row>
    <row r="9" spans="1:250" s="29" customFormat="1" ht="25.5" customHeight="1" x14ac:dyDescent="0.25">
      <c r="A9" s="30" t="s">
        <v>262</v>
      </c>
      <c r="B9" s="28" t="s">
        <v>21</v>
      </c>
      <c r="C9" s="8" t="s">
        <v>21</v>
      </c>
      <c r="D9" s="9"/>
      <c r="E9" s="9"/>
      <c r="F9" s="9" t="s">
        <v>291</v>
      </c>
      <c r="G9" s="9" t="s">
        <v>210</v>
      </c>
      <c r="H9" s="66" t="s">
        <v>245</v>
      </c>
      <c r="I9" s="11">
        <v>446915</v>
      </c>
      <c r="J9" s="11">
        <f>510000*1.21</f>
        <v>617100</v>
      </c>
      <c r="K9" s="11">
        <f t="shared" ref="K9" si="9">ROUND(J9/135.6*147.5,0)</f>
        <v>671256</v>
      </c>
      <c r="L9" s="23">
        <f t="shared" si="2"/>
        <v>704933</v>
      </c>
      <c r="M9" s="11">
        <f t="shared" si="3"/>
        <v>743616</v>
      </c>
      <c r="N9" s="10"/>
      <c r="O9" s="11">
        <f t="shared" si="4"/>
        <v>797772</v>
      </c>
      <c r="P9" s="11">
        <f t="shared" si="5"/>
        <v>0</v>
      </c>
      <c r="Q9" s="11">
        <f t="shared" si="6"/>
        <v>834100</v>
      </c>
      <c r="R9" s="11">
        <f t="shared" si="7"/>
        <v>0</v>
      </c>
      <c r="S9" s="15">
        <f t="shared" si="8"/>
        <v>834100</v>
      </c>
      <c r="T9" s="16">
        <v>43628</v>
      </c>
      <c r="U9" s="13">
        <v>241176001</v>
      </c>
      <c r="V9" s="14" t="s">
        <v>48</v>
      </c>
      <c r="W9" s="9"/>
      <c r="X9" s="13"/>
      <c r="Y9" s="9"/>
      <c r="Z9" s="17"/>
      <c r="AA9" s="22" t="s">
        <v>348</v>
      </c>
      <c r="AB9" s="14" t="s">
        <v>304</v>
      </c>
      <c r="AC9" s="12"/>
      <c r="AD9" s="70"/>
      <c r="AE9" s="66"/>
      <c r="AF9" s="66"/>
      <c r="AG9" s="66"/>
      <c r="AH9" s="60">
        <v>655000</v>
      </c>
      <c r="AI9" s="60">
        <v>438012</v>
      </c>
      <c r="AJ9" s="66"/>
      <c r="AK9" s="12"/>
      <c r="AL9" s="70" t="s">
        <v>409</v>
      </c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</row>
    <row r="10" spans="1:250" s="62" customFormat="1" x14ac:dyDescent="0.25">
      <c r="A10" s="87"/>
      <c r="C10" s="2" t="s">
        <v>457</v>
      </c>
      <c r="D10" s="14">
        <v>1101</v>
      </c>
      <c r="E10" s="14"/>
      <c r="F10" s="14" t="s">
        <v>458</v>
      </c>
      <c r="G10" s="14" t="s">
        <v>215</v>
      </c>
      <c r="H10" s="60" t="s">
        <v>456</v>
      </c>
      <c r="I10" s="115"/>
      <c r="J10" s="115"/>
      <c r="K10" s="115"/>
      <c r="L10" s="115"/>
      <c r="M10" s="115"/>
      <c r="N10" s="115"/>
      <c r="O10" s="115">
        <v>55000</v>
      </c>
      <c r="P10" s="115"/>
      <c r="Q10" s="11">
        <f>O10</f>
        <v>55000</v>
      </c>
      <c r="R10" s="11">
        <f t="shared" si="7"/>
        <v>0</v>
      </c>
      <c r="S10" s="15">
        <f t="shared" si="8"/>
        <v>55000</v>
      </c>
      <c r="T10" s="14" t="s">
        <v>459</v>
      </c>
      <c r="U10" s="13"/>
      <c r="V10" s="14"/>
      <c r="W10" s="14"/>
      <c r="X10" s="13"/>
      <c r="Y10" s="14"/>
      <c r="AD10" s="110"/>
      <c r="AE10" s="88"/>
      <c r="AF10" s="88"/>
      <c r="AG10" s="88"/>
      <c r="AH10" s="88"/>
      <c r="AI10" s="88"/>
      <c r="AJ10" s="88"/>
      <c r="AL10" s="88"/>
    </row>
    <row r="11" spans="1:250" x14ac:dyDescent="0.2">
      <c r="A11" s="18" t="s">
        <v>263</v>
      </c>
      <c r="B11" s="14" t="s">
        <v>22</v>
      </c>
      <c r="C11" s="2" t="s">
        <v>172</v>
      </c>
      <c r="D11" s="14">
        <v>51</v>
      </c>
      <c r="E11" s="14"/>
      <c r="F11" s="14" t="s">
        <v>23</v>
      </c>
      <c r="G11" s="14" t="s">
        <v>210</v>
      </c>
      <c r="H11" s="61" t="s">
        <v>380</v>
      </c>
      <c r="I11" s="11">
        <v>2701663</v>
      </c>
      <c r="J11" s="11">
        <f t="shared" ref="J11" si="10">ROUND(I11/128.6*137.2,0)</f>
        <v>2882334</v>
      </c>
      <c r="K11" s="11">
        <f t="shared" ref="K11" si="11">ROUND(J11/137.2*147.5,0)</f>
        <v>3098719</v>
      </c>
      <c r="L11" s="23">
        <f t="shared" si="2"/>
        <v>3254180</v>
      </c>
      <c r="M11" s="11">
        <v>4300000</v>
      </c>
      <c r="N11" s="15">
        <v>233200</v>
      </c>
      <c r="O11" s="11">
        <f>M11</f>
        <v>4300000</v>
      </c>
      <c r="P11" s="20">
        <v>473158</v>
      </c>
      <c r="Q11" s="11">
        <f t="shared" si="6"/>
        <v>4495900</v>
      </c>
      <c r="R11" s="11">
        <f t="shared" si="7"/>
        <v>491300</v>
      </c>
      <c r="S11" s="15">
        <f t="shared" si="8"/>
        <v>4987200</v>
      </c>
      <c r="T11" s="16">
        <v>45041</v>
      </c>
      <c r="U11" s="104" t="s">
        <v>423</v>
      </c>
      <c r="V11" s="14" t="s">
        <v>48</v>
      </c>
      <c r="W11" s="16">
        <v>45177</v>
      </c>
      <c r="X11" s="103" t="s">
        <v>464</v>
      </c>
      <c r="Y11" s="14" t="s">
        <v>48</v>
      </c>
      <c r="AA11" s="14"/>
      <c r="AB11" s="14" t="s">
        <v>208</v>
      </c>
      <c r="AC11" s="19"/>
      <c r="AD11" s="80"/>
      <c r="AE11" s="61"/>
      <c r="AF11" s="61"/>
      <c r="AG11" s="61"/>
      <c r="AH11" s="60">
        <v>642000</v>
      </c>
      <c r="AI11" s="60">
        <v>438012</v>
      </c>
      <c r="AJ11" s="60"/>
      <c r="AK11" s="54"/>
      <c r="AL11" s="92" t="s">
        <v>407</v>
      </c>
      <c r="AM11" s="54"/>
      <c r="AN11" s="54"/>
      <c r="AO11" s="54"/>
      <c r="AP11" s="54"/>
      <c r="AQ11" s="56"/>
      <c r="AR11" s="56"/>
      <c r="AS11" s="54"/>
      <c r="AT11" s="54"/>
      <c r="AU11" s="54"/>
      <c r="AV11" s="54"/>
      <c r="AW11" s="54"/>
      <c r="AX11" s="54"/>
      <c r="AY11" s="54"/>
      <c r="AZ11" s="54"/>
      <c r="BA11" s="27"/>
      <c r="BB11" s="27"/>
      <c r="BC11" s="19"/>
      <c r="BD11" s="27"/>
      <c r="BE11" s="19"/>
      <c r="BF11" s="19"/>
      <c r="BG11" s="57"/>
      <c r="BH11" s="19"/>
      <c r="BI11" s="19"/>
      <c r="BJ11" s="19"/>
      <c r="BK11" s="19"/>
      <c r="BL11" s="19"/>
      <c r="BM11" s="19"/>
      <c r="BN11" s="19"/>
      <c r="BO11" s="54"/>
      <c r="BP11" s="55"/>
      <c r="BQ11" s="54"/>
      <c r="BR11" s="54"/>
      <c r="BS11" s="54"/>
      <c r="BT11" s="54"/>
      <c r="BU11" s="54"/>
      <c r="BV11" s="54"/>
      <c r="BW11" s="56"/>
      <c r="BX11" s="56"/>
      <c r="BY11" s="54"/>
      <c r="BZ11" s="54"/>
      <c r="CA11" s="54"/>
      <c r="CB11" s="54"/>
      <c r="CC11" s="54"/>
      <c r="CD11" s="54"/>
      <c r="CE11" s="54"/>
      <c r="CF11" s="54"/>
      <c r="CG11" s="27"/>
      <c r="CH11" s="27"/>
      <c r="CI11" s="19"/>
      <c r="CJ11" s="27"/>
      <c r="CK11" s="19"/>
      <c r="CL11" s="19"/>
      <c r="CM11" s="57"/>
      <c r="CN11" s="19"/>
      <c r="CO11" s="19"/>
      <c r="CP11" s="19"/>
      <c r="CQ11" s="19"/>
      <c r="CR11" s="19"/>
      <c r="CS11" s="19"/>
      <c r="CT11" s="19"/>
      <c r="CU11" s="54"/>
      <c r="CV11" s="55"/>
      <c r="CW11" s="54"/>
      <c r="CX11" s="54"/>
      <c r="CY11" s="54"/>
      <c r="CZ11" s="54"/>
      <c r="DA11" s="54"/>
      <c r="DB11" s="54"/>
      <c r="DC11" s="56"/>
      <c r="DD11" s="56"/>
      <c r="DE11" s="54"/>
      <c r="DF11" s="54"/>
      <c r="DG11" s="54"/>
      <c r="DH11" s="54"/>
      <c r="DI11" s="54"/>
      <c r="DJ11" s="54"/>
      <c r="DK11" s="54"/>
      <c r="DL11" s="54"/>
      <c r="DM11" s="27"/>
      <c r="DN11" s="27"/>
      <c r="DO11" s="19"/>
      <c r="DP11" s="27"/>
      <c r="DQ11" s="19"/>
      <c r="DR11" s="19"/>
      <c r="DS11" s="57"/>
      <c r="DT11" s="19"/>
      <c r="DU11" s="19"/>
      <c r="DV11" s="19"/>
      <c r="DW11" s="19"/>
      <c r="DX11" s="19"/>
      <c r="DY11" s="19"/>
      <c r="DZ11" s="19"/>
      <c r="EA11" s="54"/>
      <c r="EB11" s="55"/>
      <c r="EC11" s="54"/>
      <c r="ED11" s="54"/>
      <c r="EE11" s="54"/>
      <c r="EF11" s="54"/>
      <c r="EG11" s="54"/>
      <c r="EH11" s="54"/>
      <c r="EI11" s="56"/>
      <c r="EJ11" s="56"/>
      <c r="EK11" s="54"/>
      <c r="EL11" s="54"/>
      <c r="EM11" s="54"/>
      <c r="EN11" s="54"/>
      <c r="EO11" s="54"/>
      <c r="EP11" s="54"/>
      <c r="EQ11" s="54"/>
      <c r="ER11" s="54"/>
      <c r="ES11" s="27"/>
      <c r="ET11" s="27"/>
      <c r="EU11" s="19"/>
      <c r="EV11" s="27"/>
      <c r="EW11" s="19"/>
      <c r="EX11" s="19"/>
      <c r="EY11" s="57"/>
      <c r="EZ11" s="19"/>
      <c r="FA11" s="19"/>
      <c r="FB11" s="19"/>
      <c r="FC11" s="19"/>
      <c r="FD11" s="19"/>
      <c r="FE11" s="19"/>
      <c r="FF11" s="19"/>
      <c r="FG11" s="54"/>
      <c r="FH11" s="55"/>
      <c r="FI11" s="54"/>
      <c r="FJ11" s="54"/>
      <c r="FK11" s="54"/>
      <c r="FL11" s="54"/>
      <c r="FM11" s="54"/>
      <c r="FN11" s="54"/>
      <c r="FO11" s="56"/>
      <c r="FP11" s="56"/>
      <c r="FQ11" s="54"/>
      <c r="FR11" s="54"/>
      <c r="FS11" s="54"/>
      <c r="FT11" s="54"/>
      <c r="FU11" s="54"/>
      <c r="FV11" s="54"/>
      <c r="FW11" s="54"/>
      <c r="FX11" s="54"/>
      <c r="FY11" s="27"/>
      <c r="FZ11" s="27"/>
      <c r="GA11" s="19"/>
      <c r="GB11" s="27"/>
      <c r="GC11" s="19"/>
      <c r="GD11" s="19"/>
      <c r="GE11" s="57"/>
      <c r="GF11" s="19"/>
      <c r="GG11" s="19"/>
      <c r="GH11" s="19"/>
      <c r="GI11" s="19"/>
      <c r="GJ11" s="19"/>
      <c r="GK11" s="19"/>
      <c r="GL11" s="19"/>
      <c r="GM11" s="54"/>
      <c r="GN11" s="55"/>
      <c r="GO11" s="54"/>
      <c r="GP11" s="54"/>
      <c r="GQ11" s="54"/>
      <c r="GR11" s="54"/>
      <c r="GS11" s="54"/>
      <c r="GT11" s="54"/>
      <c r="GU11" s="56"/>
      <c r="GV11" s="56"/>
      <c r="GW11" s="54"/>
      <c r="GX11" s="54"/>
      <c r="GY11" s="54"/>
      <c r="GZ11" s="54"/>
      <c r="HA11" s="54"/>
      <c r="HB11" s="54"/>
      <c r="HC11" s="54"/>
      <c r="HD11" s="54"/>
      <c r="HE11" s="27"/>
      <c r="HF11" s="27"/>
      <c r="HG11" s="19"/>
      <c r="HH11" s="27"/>
      <c r="HI11" s="19"/>
      <c r="HJ11" s="19"/>
      <c r="HK11" s="57"/>
      <c r="HL11" s="19"/>
      <c r="HM11" s="19"/>
      <c r="HN11" s="19"/>
      <c r="HO11" s="19"/>
      <c r="HP11" s="19"/>
      <c r="HQ11" s="19"/>
      <c r="HR11" s="19"/>
      <c r="HS11" s="54"/>
      <c r="HT11" s="55"/>
      <c r="HU11" s="54"/>
      <c r="HV11" s="54"/>
      <c r="HW11" s="54"/>
      <c r="HX11" s="54"/>
      <c r="HY11" s="54"/>
      <c r="HZ11" s="54"/>
      <c r="IA11" s="56"/>
      <c r="IB11" s="56"/>
      <c r="IC11" s="54"/>
      <c r="ID11" s="54"/>
      <c r="IE11" s="54"/>
      <c r="IF11" s="54"/>
      <c r="IG11" s="54"/>
      <c r="IH11" s="54"/>
      <c r="II11" s="54"/>
      <c r="IJ11" s="54"/>
      <c r="IK11" s="27"/>
      <c r="IL11" s="27"/>
      <c r="IM11" s="19"/>
      <c r="IN11" s="27"/>
      <c r="IO11" s="19"/>
      <c r="IP11" s="19"/>
    </row>
    <row r="12" spans="1:250" x14ac:dyDescent="0.25">
      <c r="C12" s="14" t="s">
        <v>302</v>
      </c>
      <c r="D12" s="14">
        <v>2</v>
      </c>
      <c r="E12" s="14" t="s">
        <v>38</v>
      </c>
      <c r="F12" s="14" t="s">
        <v>451</v>
      </c>
      <c r="G12" s="14" t="s">
        <v>210</v>
      </c>
      <c r="H12" s="60" t="s">
        <v>305</v>
      </c>
      <c r="I12" s="15"/>
      <c r="J12" s="11">
        <f>60000*1.21</f>
        <v>72600</v>
      </c>
      <c r="K12" s="11">
        <f>ROUND(J12/135.6*147.5,0)</f>
        <v>78971</v>
      </c>
      <c r="L12" s="23">
        <f t="shared" si="2"/>
        <v>82933</v>
      </c>
      <c r="M12" s="11">
        <f t="shared" si="3"/>
        <v>87484</v>
      </c>
      <c r="N12" s="15"/>
      <c r="O12" s="11">
        <f t="shared" si="4"/>
        <v>93855</v>
      </c>
      <c r="P12" s="11">
        <f t="shared" si="5"/>
        <v>0</v>
      </c>
      <c r="Q12" s="11">
        <f t="shared" si="6"/>
        <v>98100</v>
      </c>
      <c r="R12" s="11">
        <f t="shared" si="7"/>
        <v>0</v>
      </c>
      <c r="S12" s="15">
        <f t="shared" si="8"/>
        <v>98100</v>
      </c>
      <c r="T12" s="16">
        <v>43628</v>
      </c>
      <c r="U12" s="13">
        <v>241176001</v>
      </c>
      <c r="V12" s="14" t="s">
        <v>48</v>
      </c>
      <c r="W12" s="14"/>
      <c r="X12" s="13"/>
      <c r="Y12" s="14"/>
      <c r="AA12" s="22" t="s">
        <v>348</v>
      </c>
      <c r="AB12" s="14" t="s">
        <v>304</v>
      </c>
      <c r="AD12" s="92" t="s">
        <v>394</v>
      </c>
      <c r="AE12" s="60"/>
      <c r="AF12" s="60"/>
      <c r="AG12" s="60"/>
      <c r="AH12" s="60">
        <v>603000</v>
      </c>
      <c r="AI12" s="60">
        <v>438012</v>
      </c>
      <c r="AJ12" s="60"/>
      <c r="AL12" s="93" t="s">
        <v>410</v>
      </c>
    </row>
    <row r="13" spans="1:250" ht="13.5" customHeight="1" x14ac:dyDescent="0.2">
      <c r="A13" s="18" t="s">
        <v>260</v>
      </c>
      <c r="B13" s="14" t="s">
        <v>24</v>
      </c>
      <c r="C13" s="2" t="s">
        <v>283</v>
      </c>
      <c r="D13" s="14">
        <v>2</v>
      </c>
      <c r="E13" s="14"/>
      <c r="F13" s="14" t="s">
        <v>25</v>
      </c>
      <c r="G13" s="14" t="s">
        <v>210</v>
      </c>
      <c r="H13" s="61" t="s">
        <v>454</v>
      </c>
      <c r="I13" s="11">
        <v>1815280</v>
      </c>
      <c r="J13" s="11">
        <f t="shared" ref="J13:J61" si="12">ROUND(I13/128.6*137.2,0)</f>
        <v>1936675</v>
      </c>
      <c r="K13" s="11">
        <f t="shared" ref="K13:K61" si="13">ROUND(J13/137.2*147.5,0)</f>
        <v>2082067</v>
      </c>
      <c r="L13" s="23">
        <f t="shared" si="2"/>
        <v>2186523</v>
      </c>
      <c r="M13" s="11">
        <v>2950000</v>
      </c>
      <c r="N13" s="15">
        <v>333200</v>
      </c>
      <c r="O13" s="11">
        <f t="shared" ref="O13:O14" si="14">M13</f>
        <v>2950000</v>
      </c>
      <c r="P13" s="11">
        <f t="shared" si="5"/>
        <v>365416</v>
      </c>
      <c r="Q13" s="11">
        <f t="shared" si="6"/>
        <v>3084400</v>
      </c>
      <c r="R13" s="11">
        <f t="shared" si="7"/>
        <v>379400</v>
      </c>
      <c r="S13" s="15">
        <f t="shared" si="8"/>
        <v>3463800</v>
      </c>
      <c r="T13" s="16">
        <v>45041</v>
      </c>
      <c r="U13" s="104" t="s">
        <v>424</v>
      </c>
      <c r="V13" s="14" t="s">
        <v>48</v>
      </c>
      <c r="W13" s="126" t="s">
        <v>479</v>
      </c>
      <c r="X13" s="103"/>
      <c r="Y13" s="14"/>
      <c r="AA13" s="14"/>
      <c r="AB13" s="14" t="s">
        <v>208</v>
      </c>
      <c r="AC13" s="35"/>
      <c r="AD13" s="80"/>
      <c r="AE13" s="61"/>
      <c r="AF13" s="61"/>
      <c r="AG13" s="79" t="s">
        <v>392</v>
      </c>
      <c r="AH13" s="60">
        <v>642001</v>
      </c>
      <c r="AI13" s="60">
        <v>438012</v>
      </c>
      <c r="AJ13" s="60"/>
      <c r="AL13" s="92" t="s">
        <v>407</v>
      </c>
    </row>
    <row r="14" spans="1:250" s="12" customFormat="1" x14ac:dyDescent="0.2">
      <c r="A14" s="30" t="s">
        <v>264</v>
      </c>
      <c r="B14" s="9" t="s">
        <v>224</v>
      </c>
      <c r="C14" s="8" t="s">
        <v>279</v>
      </c>
      <c r="D14" s="9">
        <v>59</v>
      </c>
      <c r="E14" s="9"/>
      <c r="F14" s="9" t="s">
        <v>26</v>
      </c>
      <c r="G14" s="9" t="s">
        <v>210</v>
      </c>
      <c r="H14" s="67" t="s">
        <v>211</v>
      </c>
      <c r="I14" s="11">
        <v>1310444</v>
      </c>
      <c r="J14" s="11">
        <f t="shared" si="12"/>
        <v>1398079</v>
      </c>
      <c r="K14" s="11">
        <f t="shared" si="13"/>
        <v>1503037</v>
      </c>
      <c r="L14" s="23">
        <f t="shared" si="2"/>
        <v>1578444</v>
      </c>
      <c r="M14" s="11">
        <v>1825000</v>
      </c>
      <c r="N14" s="10">
        <v>35500</v>
      </c>
      <c r="O14" s="11">
        <f t="shared" si="14"/>
        <v>1825000</v>
      </c>
      <c r="P14" s="11">
        <f t="shared" si="5"/>
        <v>38932</v>
      </c>
      <c r="Q14" s="11">
        <f t="shared" si="6"/>
        <v>1908200</v>
      </c>
      <c r="R14" s="11">
        <f t="shared" si="7"/>
        <v>40400</v>
      </c>
      <c r="S14" s="15">
        <f t="shared" si="8"/>
        <v>1948600</v>
      </c>
      <c r="T14" s="103">
        <v>45040</v>
      </c>
      <c r="U14" s="104" t="s">
        <v>426</v>
      </c>
      <c r="V14" s="14" t="s">
        <v>48</v>
      </c>
      <c r="W14" s="127" t="s">
        <v>479</v>
      </c>
      <c r="X14" s="103"/>
      <c r="Y14" s="9"/>
      <c r="AA14" s="9" t="s">
        <v>246</v>
      </c>
      <c r="AB14" s="9" t="s">
        <v>208</v>
      </c>
      <c r="AD14" s="73"/>
      <c r="AE14" s="67"/>
      <c r="AF14" s="67"/>
      <c r="AG14" s="67"/>
      <c r="AH14" s="82">
        <v>661004</v>
      </c>
      <c r="AI14" s="82">
        <v>438012</v>
      </c>
      <c r="AJ14" s="66"/>
      <c r="AL14" s="92" t="s">
        <v>411</v>
      </c>
    </row>
    <row r="15" spans="1:250" x14ac:dyDescent="0.25">
      <c r="A15" s="18" t="s">
        <v>263</v>
      </c>
      <c r="B15" s="21" t="s">
        <v>141</v>
      </c>
      <c r="C15" s="2" t="s">
        <v>206</v>
      </c>
      <c r="D15" s="14">
        <v>48</v>
      </c>
      <c r="E15" s="14"/>
      <c r="F15" s="14" t="s">
        <v>27</v>
      </c>
      <c r="G15" s="14" t="s">
        <v>210</v>
      </c>
      <c r="H15" s="60" t="s">
        <v>381</v>
      </c>
      <c r="I15" s="11">
        <v>2589877</v>
      </c>
      <c r="J15" s="11">
        <f>2900000*1.21</f>
        <v>3509000</v>
      </c>
      <c r="K15" s="11">
        <f t="shared" ref="K15:K16" si="15">ROUND(J15/135.6*147.5,0)</f>
        <v>3816943</v>
      </c>
      <c r="L15" s="23">
        <f t="shared" si="2"/>
        <v>4008437</v>
      </c>
      <c r="M15" s="11">
        <f t="shared" ref="M15:M16" si="16">ROUND(L15/154.9*163.4,0)</f>
        <v>4228396</v>
      </c>
      <c r="N15" s="15">
        <v>394800</v>
      </c>
      <c r="O15" s="11">
        <f t="shared" ref="O15:O16" si="17">ROUND(M15/163.4*175.3,0)</f>
        <v>4536339</v>
      </c>
      <c r="P15" s="20">
        <v>600221</v>
      </c>
      <c r="Q15" s="11">
        <f t="shared" si="6"/>
        <v>4743000</v>
      </c>
      <c r="R15" s="11">
        <f t="shared" si="7"/>
        <v>623200</v>
      </c>
      <c r="S15" s="15">
        <f t="shared" si="8"/>
        <v>5366200</v>
      </c>
      <c r="T15" s="16">
        <v>43628</v>
      </c>
      <c r="U15" s="13">
        <v>241176001</v>
      </c>
      <c r="V15" s="14" t="s">
        <v>48</v>
      </c>
      <c r="W15" s="16">
        <v>45177</v>
      </c>
      <c r="X15" s="103" t="s">
        <v>464</v>
      </c>
      <c r="Y15" s="14" t="s">
        <v>48</v>
      </c>
      <c r="AA15" s="22" t="s">
        <v>348</v>
      </c>
      <c r="AB15" s="14" t="s">
        <v>304</v>
      </c>
      <c r="AD15" s="92"/>
      <c r="AE15" s="60"/>
      <c r="AF15" s="60"/>
      <c r="AG15" s="60"/>
      <c r="AH15" s="60">
        <v>642000</v>
      </c>
      <c r="AI15" s="60">
        <v>438012</v>
      </c>
      <c r="AJ15" s="60"/>
      <c r="AL15" s="92" t="s">
        <v>407</v>
      </c>
    </row>
    <row r="16" spans="1:250" x14ac:dyDescent="0.25">
      <c r="A16" s="18" t="s">
        <v>260</v>
      </c>
      <c r="B16" s="21" t="s">
        <v>28</v>
      </c>
      <c r="C16" s="2" t="s">
        <v>207</v>
      </c>
      <c r="D16" s="14">
        <v>7</v>
      </c>
      <c r="E16" s="14"/>
      <c r="F16" s="14" t="s">
        <v>29</v>
      </c>
      <c r="G16" s="14" t="s">
        <v>210</v>
      </c>
      <c r="H16" s="60" t="s">
        <v>382</v>
      </c>
      <c r="I16" s="11">
        <v>2642389</v>
      </c>
      <c r="J16" s="11">
        <f>3340000*1.21</f>
        <v>4041400</v>
      </c>
      <c r="K16" s="11">
        <f t="shared" si="15"/>
        <v>4396066</v>
      </c>
      <c r="L16" s="23">
        <f t="shared" si="2"/>
        <v>4616614</v>
      </c>
      <c r="M16" s="11">
        <f t="shared" si="16"/>
        <v>4869947</v>
      </c>
      <c r="N16" s="15">
        <v>442200</v>
      </c>
      <c r="O16" s="11">
        <f t="shared" si="17"/>
        <v>5224613</v>
      </c>
      <c r="P16" s="20">
        <v>614257</v>
      </c>
      <c r="Q16" s="11">
        <f t="shared" si="6"/>
        <v>5462700</v>
      </c>
      <c r="R16" s="11">
        <f t="shared" si="7"/>
        <v>637800</v>
      </c>
      <c r="S16" s="15">
        <f t="shared" si="8"/>
        <v>6100500</v>
      </c>
      <c r="T16" s="16">
        <v>43628</v>
      </c>
      <c r="U16" s="13">
        <v>241176001</v>
      </c>
      <c r="V16" s="14" t="s">
        <v>48</v>
      </c>
      <c r="W16" s="16">
        <v>45177</v>
      </c>
      <c r="X16" s="103" t="s">
        <v>464</v>
      </c>
      <c r="Y16" s="14" t="s">
        <v>48</v>
      </c>
      <c r="AA16" s="22" t="s">
        <v>348</v>
      </c>
      <c r="AB16" s="14" t="s">
        <v>304</v>
      </c>
      <c r="AD16" s="92"/>
      <c r="AE16" s="60"/>
      <c r="AF16" s="60"/>
      <c r="AG16" s="60"/>
      <c r="AH16" s="60">
        <v>642001</v>
      </c>
      <c r="AI16" s="60">
        <v>438012</v>
      </c>
      <c r="AJ16" s="60"/>
      <c r="AL16" s="92" t="s">
        <v>407</v>
      </c>
    </row>
    <row r="17" spans="1:38" x14ac:dyDescent="0.2">
      <c r="A17" s="18" t="s">
        <v>273</v>
      </c>
      <c r="B17" s="14" t="s">
        <v>65</v>
      </c>
      <c r="C17" s="128" t="s">
        <v>471</v>
      </c>
      <c r="D17" s="128">
        <v>9</v>
      </c>
      <c r="E17" s="14"/>
      <c r="F17" s="14" t="s">
        <v>68</v>
      </c>
      <c r="G17" s="14" t="s">
        <v>210</v>
      </c>
      <c r="H17" s="61" t="s">
        <v>289</v>
      </c>
      <c r="I17" s="11">
        <v>241731</v>
      </c>
      <c r="J17" s="11">
        <v>270000</v>
      </c>
      <c r="K17" s="11">
        <f>ROUND(J17/145.8*147.5,0)</f>
        <v>273148</v>
      </c>
      <c r="L17" s="23">
        <f>ROUND(K17/147.5*154.9,0)</f>
        <v>286852</v>
      </c>
      <c r="M17" s="11">
        <f>ROUND(L17/154.9*163.4,0)</f>
        <v>302593</v>
      </c>
      <c r="N17" s="15"/>
      <c r="O17" s="11">
        <f>ROUND(M17/163.4*175.3,0)</f>
        <v>324630</v>
      </c>
      <c r="P17" s="11">
        <f>ROUND(N17/111.7*122.5,0)</f>
        <v>0</v>
      </c>
      <c r="Q17" s="11">
        <f t="shared" si="6"/>
        <v>339400</v>
      </c>
      <c r="R17" s="11">
        <f t="shared" si="7"/>
        <v>0</v>
      </c>
      <c r="S17" s="15">
        <f t="shared" si="8"/>
        <v>339400</v>
      </c>
      <c r="T17" s="16">
        <v>43976</v>
      </c>
      <c r="U17" s="13" t="s">
        <v>320</v>
      </c>
      <c r="V17" s="14" t="s">
        <v>48</v>
      </c>
      <c r="W17" s="16"/>
      <c r="X17" s="103"/>
      <c r="Y17" s="14"/>
      <c r="AA17" s="14"/>
      <c r="AB17" s="14" t="s">
        <v>208</v>
      </c>
      <c r="AD17" s="92" t="s">
        <v>393</v>
      </c>
      <c r="AE17" s="60"/>
      <c r="AF17" s="60"/>
      <c r="AG17" s="60"/>
      <c r="AH17" s="85">
        <v>643003</v>
      </c>
      <c r="AI17" s="60">
        <v>438012</v>
      </c>
      <c r="AJ17" s="60">
        <v>2014</v>
      </c>
      <c r="AL17" s="61" t="s">
        <v>413</v>
      </c>
    </row>
    <row r="18" spans="1:38" x14ac:dyDescent="0.25">
      <c r="A18" s="18" t="s">
        <v>262</v>
      </c>
      <c r="B18" s="21" t="s">
        <v>30</v>
      </c>
      <c r="C18" s="2" t="s">
        <v>173</v>
      </c>
      <c r="D18" s="14">
        <v>33</v>
      </c>
      <c r="E18" s="14"/>
      <c r="F18" s="14" t="s">
        <v>31</v>
      </c>
      <c r="G18" s="14" t="s">
        <v>210</v>
      </c>
      <c r="H18" s="60" t="s">
        <v>248</v>
      </c>
      <c r="I18" s="11">
        <v>139660</v>
      </c>
      <c r="J18" s="11">
        <f>225000*1.21</f>
        <v>272250</v>
      </c>
      <c r="K18" s="11">
        <f t="shared" ref="K18" si="18">ROUND(J18/135.6*147.5,0)</f>
        <v>296142</v>
      </c>
      <c r="L18" s="23">
        <f t="shared" si="2"/>
        <v>310999</v>
      </c>
      <c r="M18" s="11">
        <f t="shared" si="3"/>
        <v>328065</v>
      </c>
      <c r="N18" s="15"/>
      <c r="O18" s="11">
        <f t="shared" si="4"/>
        <v>351957</v>
      </c>
      <c r="P18" s="11">
        <f t="shared" si="5"/>
        <v>0</v>
      </c>
      <c r="Q18" s="11">
        <f t="shared" si="6"/>
        <v>368000</v>
      </c>
      <c r="R18" s="11">
        <f t="shared" si="7"/>
        <v>0</v>
      </c>
      <c r="S18" s="15">
        <f t="shared" si="8"/>
        <v>368000</v>
      </c>
      <c r="T18" s="16">
        <v>43628</v>
      </c>
      <c r="U18" s="13">
        <v>241176001</v>
      </c>
      <c r="V18" s="14" t="s">
        <v>48</v>
      </c>
      <c r="W18" s="14"/>
      <c r="X18" s="13"/>
      <c r="Y18" s="14"/>
      <c r="AA18" s="22" t="s">
        <v>348</v>
      </c>
      <c r="AB18" s="14" t="s">
        <v>304</v>
      </c>
      <c r="AD18" s="92"/>
      <c r="AE18" s="60"/>
      <c r="AF18" s="60"/>
      <c r="AG18" s="60"/>
      <c r="AH18" s="60">
        <v>603000</v>
      </c>
      <c r="AI18" s="60">
        <v>438012</v>
      </c>
      <c r="AJ18" s="60"/>
      <c r="AL18" s="92" t="s">
        <v>411</v>
      </c>
    </row>
    <row r="19" spans="1:38" x14ac:dyDescent="0.2">
      <c r="A19" s="18" t="s">
        <v>262</v>
      </c>
      <c r="B19" s="14" t="s">
        <v>32</v>
      </c>
      <c r="C19" s="2" t="s">
        <v>174</v>
      </c>
      <c r="D19" s="14">
        <v>44</v>
      </c>
      <c r="E19" s="14"/>
      <c r="F19" s="14" t="s">
        <v>33</v>
      </c>
      <c r="G19" s="14" t="s">
        <v>210</v>
      </c>
      <c r="H19" s="61" t="s">
        <v>212</v>
      </c>
      <c r="I19" s="11">
        <v>113720</v>
      </c>
      <c r="J19" s="11">
        <f t="shared" si="12"/>
        <v>121325</v>
      </c>
      <c r="K19" s="11">
        <f t="shared" si="13"/>
        <v>130433</v>
      </c>
      <c r="L19" s="23">
        <f t="shared" si="2"/>
        <v>136977</v>
      </c>
      <c r="M19" s="11">
        <v>210000</v>
      </c>
      <c r="N19" s="15"/>
      <c r="O19" s="11">
        <f t="shared" ref="O19:O20" si="19">M19</f>
        <v>210000</v>
      </c>
      <c r="P19" s="11">
        <f t="shared" si="5"/>
        <v>0</v>
      </c>
      <c r="Q19" s="11">
        <f t="shared" si="6"/>
        <v>219600</v>
      </c>
      <c r="R19" s="11">
        <f t="shared" si="7"/>
        <v>0</v>
      </c>
      <c r="S19" s="15">
        <f t="shared" si="8"/>
        <v>219600</v>
      </c>
      <c r="T19" s="103">
        <v>45040</v>
      </c>
      <c r="U19" s="104" t="s">
        <v>425</v>
      </c>
      <c r="V19" s="14" t="s">
        <v>48</v>
      </c>
      <c r="W19" s="14"/>
      <c r="X19" s="13"/>
      <c r="Y19" s="14"/>
      <c r="AA19" s="14"/>
      <c r="AB19" s="14" t="s">
        <v>208</v>
      </c>
      <c r="AD19" s="80"/>
      <c r="AE19" s="61"/>
      <c r="AF19" s="61"/>
      <c r="AG19" s="61"/>
      <c r="AH19" s="60">
        <v>603000</v>
      </c>
      <c r="AI19" s="60">
        <v>438012</v>
      </c>
      <c r="AJ19" s="60"/>
      <c r="AL19" s="92" t="s">
        <v>411</v>
      </c>
    </row>
    <row r="20" spans="1:38" x14ac:dyDescent="0.2">
      <c r="A20" s="18" t="s">
        <v>261</v>
      </c>
      <c r="B20" s="14" t="s">
        <v>138</v>
      </c>
      <c r="C20" s="2" t="s">
        <v>175</v>
      </c>
      <c r="D20" s="14">
        <v>57</v>
      </c>
      <c r="E20" s="14" t="s">
        <v>35</v>
      </c>
      <c r="F20" s="14" t="s">
        <v>34</v>
      </c>
      <c r="G20" s="14" t="s">
        <v>210</v>
      </c>
      <c r="H20" s="61" t="s">
        <v>213</v>
      </c>
      <c r="I20" s="11">
        <v>448506</v>
      </c>
      <c r="J20" s="11">
        <f t="shared" si="12"/>
        <v>478499</v>
      </c>
      <c r="K20" s="11">
        <f t="shared" si="13"/>
        <v>514421</v>
      </c>
      <c r="L20" s="23">
        <f t="shared" si="2"/>
        <v>540229</v>
      </c>
      <c r="M20" s="11">
        <v>640000</v>
      </c>
      <c r="N20" s="15"/>
      <c r="O20" s="11">
        <f t="shared" si="19"/>
        <v>640000</v>
      </c>
      <c r="P20" s="11">
        <f t="shared" si="5"/>
        <v>0</v>
      </c>
      <c r="Q20" s="11">
        <f t="shared" si="6"/>
        <v>669200</v>
      </c>
      <c r="R20" s="11">
        <f t="shared" si="7"/>
        <v>0</v>
      </c>
      <c r="S20" s="15">
        <f t="shared" si="8"/>
        <v>669200</v>
      </c>
      <c r="T20" s="103">
        <v>45040</v>
      </c>
      <c r="U20" s="104" t="s">
        <v>427</v>
      </c>
      <c r="V20" s="14" t="s">
        <v>48</v>
      </c>
      <c r="W20" s="16"/>
      <c r="X20" s="103"/>
      <c r="Y20" s="14"/>
      <c r="AA20" s="14"/>
      <c r="AB20" s="14" t="s">
        <v>208</v>
      </c>
      <c r="AD20" s="80"/>
      <c r="AE20" s="61"/>
      <c r="AF20" s="61"/>
      <c r="AG20" s="61"/>
      <c r="AH20" s="60">
        <v>652002</v>
      </c>
      <c r="AI20" s="60">
        <v>438012</v>
      </c>
      <c r="AJ20" s="60"/>
      <c r="AL20" s="92" t="s">
        <v>406</v>
      </c>
    </row>
    <row r="21" spans="1:38" x14ac:dyDescent="0.25">
      <c r="A21" s="18" t="s">
        <v>261</v>
      </c>
      <c r="B21" s="14" t="s">
        <v>226</v>
      </c>
      <c r="C21" s="2" t="s">
        <v>175</v>
      </c>
      <c r="D21" s="14">
        <v>57</v>
      </c>
      <c r="E21" s="14" t="s">
        <v>20</v>
      </c>
      <c r="F21" s="14" t="s">
        <v>34</v>
      </c>
      <c r="G21" s="14" t="s">
        <v>210</v>
      </c>
      <c r="H21" s="60" t="s">
        <v>285</v>
      </c>
      <c r="I21" s="11">
        <v>241731</v>
      </c>
      <c r="J21" s="11">
        <v>285000</v>
      </c>
      <c r="K21" s="11">
        <f t="shared" ref="K21:K22" si="20">ROUND(J21/145.8*147.5,0)</f>
        <v>288323</v>
      </c>
      <c r="L21" s="23">
        <f t="shared" si="2"/>
        <v>302788</v>
      </c>
      <c r="M21" s="11">
        <f t="shared" si="3"/>
        <v>319403</v>
      </c>
      <c r="N21" s="15"/>
      <c r="O21" s="11">
        <f t="shared" si="4"/>
        <v>342664</v>
      </c>
      <c r="P21" s="11">
        <f t="shared" si="5"/>
        <v>0</v>
      </c>
      <c r="Q21" s="11">
        <f t="shared" si="6"/>
        <v>358300</v>
      </c>
      <c r="R21" s="11">
        <f t="shared" si="7"/>
        <v>0</v>
      </c>
      <c r="S21" s="15">
        <f t="shared" si="8"/>
        <v>358300</v>
      </c>
      <c r="T21" s="16">
        <v>43976</v>
      </c>
      <c r="U21" s="13" t="s">
        <v>331</v>
      </c>
      <c r="V21" s="14" t="s">
        <v>48</v>
      </c>
      <c r="W21" s="16"/>
      <c r="X21" s="103"/>
      <c r="Y21" s="14"/>
      <c r="AA21" s="14"/>
      <c r="AB21" s="14" t="s">
        <v>208</v>
      </c>
      <c r="AD21" s="92"/>
      <c r="AE21" s="60"/>
      <c r="AF21" s="60"/>
      <c r="AG21" s="60"/>
      <c r="AH21" s="60">
        <v>655000</v>
      </c>
      <c r="AI21" s="60">
        <v>438012</v>
      </c>
      <c r="AJ21" s="60"/>
      <c r="AL21" s="92" t="s">
        <v>406</v>
      </c>
    </row>
    <row r="22" spans="1:38" ht="25.5" customHeight="1" x14ac:dyDescent="0.25">
      <c r="A22" s="18" t="s">
        <v>260</v>
      </c>
      <c r="B22" s="14" t="s">
        <v>142</v>
      </c>
      <c r="C22" s="2" t="s">
        <v>176</v>
      </c>
      <c r="D22" s="14">
        <v>1001</v>
      </c>
      <c r="E22" s="14"/>
      <c r="F22" s="14" t="s">
        <v>37</v>
      </c>
      <c r="G22" s="14" t="s">
        <v>215</v>
      </c>
      <c r="H22" s="60" t="s">
        <v>143</v>
      </c>
      <c r="I22" s="11">
        <v>161153</v>
      </c>
      <c r="J22" s="11">
        <v>190000</v>
      </c>
      <c r="K22" s="11">
        <f t="shared" si="20"/>
        <v>192215</v>
      </c>
      <c r="L22" s="23">
        <f t="shared" si="2"/>
        <v>201858</v>
      </c>
      <c r="M22" s="11">
        <f t="shared" si="3"/>
        <v>212935</v>
      </c>
      <c r="N22" s="15"/>
      <c r="O22" s="11">
        <f t="shared" si="4"/>
        <v>228443</v>
      </c>
      <c r="P22" s="11">
        <f t="shared" si="5"/>
        <v>0</v>
      </c>
      <c r="Q22" s="11">
        <f t="shared" si="6"/>
        <v>238900</v>
      </c>
      <c r="R22" s="11">
        <f t="shared" si="7"/>
        <v>0</v>
      </c>
      <c r="S22" s="15">
        <f t="shared" si="8"/>
        <v>238900</v>
      </c>
      <c r="T22" s="16">
        <v>43976</v>
      </c>
      <c r="U22" s="13" t="s">
        <v>324</v>
      </c>
      <c r="V22" s="14" t="s">
        <v>48</v>
      </c>
      <c r="W22" s="14"/>
      <c r="X22" s="13"/>
      <c r="Y22" s="14"/>
      <c r="AA22" s="14"/>
      <c r="AB22" s="14" t="s">
        <v>208</v>
      </c>
      <c r="AD22" s="92"/>
      <c r="AE22" s="60"/>
      <c r="AF22" s="60"/>
      <c r="AG22" s="60"/>
      <c r="AH22" s="60">
        <v>661004</v>
      </c>
      <c r="AI22" s="60">
        <v>438012</v>
      </c>
      <c r="AJ22" s="60"/>
      <c r="AL22" s="92" t="s">
        <v>411</v>
      </c>
    </row>
    <row r="23" spans="1:38" x14ac:dyDescent="0.25">
      <c r="A23" s="18" t="s">
        <v>260</v>
      </c>
      <c r="B23" s="21" t="s">
        <v>36</v>
      </c>
      <c r="C23" s="2" t="s">
        <v>176</v>
      </c>
      <c r="D23" s="14">
        <v>1004</v>
      </c>
      <c r="E23" s="14" t="s">
        <v>20</v>
      </c>
      <c r="F23" s="14" t="s">
        <v>37</v>
      </c>
      <c r="G23" s="14" t="s">
        <v>215</v>
      </c>
      <c r="H23" s="61" t="s">
        <v>383</v>
      </c>
      <c r="I23" s="11">
        <v>2129555</v>
      </c>
      <c r="J23" s="11">
        <f>2220000*1.21</f>
        <v>2686200</v>
      </c>
      <c r="K23" s="11">
        <f t="shared" ref="K23:K28" si="21">ROUND(J23/135.6*147.5,0)</f>
        <v>2921936</v>
      </c>
      <c r="L23" s="23">
        <f t="shared" si="2"/>
        <v>3068528</v>
      </c>
      <c r="M23" s="11">
        <f t="shared" si="3"/>
        <v>3236911</v>
      </c>
      <c r="N23" s="15"/>
      <c r="O23" s="11">
        <f t="shared" si="4"/>
        <v>3472647</v>
      </c>
      <c r="P23" s="15"/>
      <c r="Q23" s="11">
        <f t="shared" si="6"/>
        <v>3630900</v>
      </c>
      <c r="R23" s="11">
        <f t="shared" si="7"/>
        <v>0</v>
      </c>
      <c r="S23" s="15">
        <f t="shared" si="8"/>
        <v>3630900</v>
      </c>
      <c r="T23" s="16">
        <v>43628</v>
      </c>
      <c r="U23" s="13">
        <v>241176001</v>
      </c>
      <c r="V23" s="14"/>
      <c r="W23" s="16"/>
      <c r="X23" s="103"/>
      <c r="Y23" s="14"/>
      <c r="AA23" s="22" t="s">
        <v>348</v>
      </c>
      <c r="AB23" s="14" t="s">
        <v>304</v>
      </c>
      <c r="AC23" s="17" t="s">
        <v>342</v>
      </c>
      <c r="AD23" s="109"/>
      <c r="AE23" s="68"/>
      <c r="AF23" s="68"/>
      <c r="AG23" s="68"/>
      <c r="AH23" s="60">
        <v>642001</v>
      </c>
      <c r="AI23" s="60">
        <v>438012</v>
      </c>
      <c r="AJ23" s="60"/>
      <c r="AL23" s="92" t="s">
        <v>407</v>
      </c>
    </row>
    <row r="24" spans="1:38" x14ac:dyDescent="0.25">
      <c r="A24" s="18" t="s">
        <v>263</v>
      </c>
      <c r="B24" s="21" t="s">
        <v>40</v>
      </c>
      <c r="C24" s="2" t="s">
        <v>176</v>
      </c>
      <c r="D24" s="14">
        <v>1005</v>
      </c>
      <c r="E24" s="14"/>
      <c r="F24" s="14" t="s">
        <v>37</v>
      </c>
      <c r="G24" s="14" t="s">
        <v>215</v>
      </c>
      <c r="H24" s="60" t="s">
        <v>384</v>
      </c>
      <c r="I24" s="11">
        <v>2004416</v>
      </c>
      <c r="J24" s="11">
        <f>2230000*1.21</f>
        <v>2698300</v>
      </c>
      <c r="K24" s="11">
        <f t="shared" si="21"/>
        <v>2935098</v>
      </c>
      <c r="L24" s="23">
        <f t="shared" si="2"/>
        <v>3082350</v>
      </c>
      <c r="M24" s="11">
        <f t="shared" si="3"/>
        <v>3251491</v>
      </c>
      <c r="N24" s="15">
        <v>448750</v>
      </c>
      <c r="O24" s="11">
        <f t="shared" si="4"/>
        <v>3488289</v>
      </c>
      <c r="P24" s="20">
        <v>741670</v>
      </c>
      <c r="Q24" s="11">
        <f t="shared" si="6"/>
        <v>3647200</v>
      </c>
      <c r="R24" s="11">
        <f t="shared" si="7"/>
        <v>770100</v>
      </c>
      <c r="S24" s="15">
        <f t="shared" si="8"/>
        <v>4417300</v>
      </c>
      <c r="T24" s="16">
        <v>43628</v>
      </c>
      <c r="U24" s="13">
        <v>241176001</v>
      </c>
      <c r="V24" s="14" t="s">
        <v>48</v>
      </c>
      <c r="W24" s="16">
        <v>45177</v>
      </c>
      <c r="X24" s="103" t="s">
        <v>464</v>
      </c>
      <c r="Y24" s="14" t="s">
        <v>48</v>
      </c>
      <c r="AA24" s="22" t="s">
        <v>348</v>
      </c>
      <c r="AB24" s="14" t="s">
        <v>304</v>
      </c>
      <c r="AD24" s="108"/>
      <c r="AE24" s="65"/>
      <c r="AF24" s="65"/>
      <c r="AG24" s="78" t="s">
        <v>392</v>
      </c>
      <c r="AH24" s="60">
        <v>642000</v>
      </c>
      <c r="AI24" s="60">
        <v>438012</v>
      </c>
      <c r="AJ24" s="60"/>
      <c r="AL24" s="92" t="s">
        <v>407</v>
      </c>
    </row>
    <row r="25" spans="1:38" x14ac:dyDescent="0.25">
      <c r="A25" s="18"/>
      <c r="B25" s="21"/>
      <c r="C25" s="2" t="s">
        <v>176</v>
      </c>
      <c r="D25" s="14">
        <v>1006</v>
      </c>
      <c r="E25" s="14">
        <v>-1007</v>
      </c>
      <c r="F25" s="14" t="s">
        <v>37</v>
      </c>
      <c r="G25" s="14" t="s">
        <v>215</v>
      </c>
      <c r="H25" s="2" t="s">
        <v>306</v>
      </c>
      <c r="I25" s="11"/>
      <c r="J25" s="11">
        <f>990000*1.21</f>
        <v>1197900</v>
      </c>
      <c r="K25" s="11">
        <f t="shared" si="21"/>
        <v>1303025</v>
      </c>
      <c r="L25" s="23">
        <f t="shared" si="2"/>
        <v>1368397</v>
      </c>
      <c r="M25" s="11">
        <f t="shared" si="3"/>
        <v>1443487</v>
      </c>
      <c r="N25" s="15">
        <v>163650</v>
      </c>
      <c r="O25" s="11">
        <f t="shared" si="4"/>
        <v>1548612</v>
      </c>
      <c r="P25" s="20">
        <v>91113</v>
      </c>
      <c r="Q25" s="11">
        <f t="shared" si="6"/>
        <v>1619200</v>
      </c>
      <c r="R25" s="11">
        <f t="shared" si="7"/>
        <v>94600</v>
      </c>
      <c r="S25" s="15">
        <f t="shared" si="8"/>
        <v>1713800</v>
      </c>
      <c r="T25" s="16">
        <v>43628</v>
      </c>
      <c r="U25" s="13">
        <v>241176001</v>
      </c>
      <c r="V25" s="14" t="s">
        <v>48</v>
      </c>
      <c r="W25" s="16">
        <v>45177</v>
      </c>
      <c r="X25" s="103" t="s">
        <v>464</v>
      </c>
      <c r="Y25" s="14" t="s">
        <v>48</v>
      </c>
      <c r="AA25" s="22" t="s">
        <v>348</v>
      </c>
      <c r="AB25" s="14" t="s">
        <v>304</v>
      </c>
      <c r="AD25" s="14" t="s">
        <v>394</v>
      </c>
      <c r="AE25" s="2"/>
      <c r="AF25" s="2"/>
      <c r="AG25" s="2"/>
      <c r="AH25" s="2">
        <v>652000</v>
      </c>
      <c r="AI25" s="2">
        <v>438012</v>
      </c>
      <c r="AJ25" s="2"/>
      <c r="AL25" s="14" t="s">
        <v>410</v>
      </c>
    </row>
    <row r="26" spans="1:38" x14ac:dyDescent="0.25">
      <c r="A26" s="18"/>
      <c r="B26" s="21"/>
      <c r="C26" s="2" t="s">
        <v>176</v>
      </c>
      <c r="D26" s="14">
        <v>1007</v>
      </c>
      <c r="E26" s="14"/>
      <c r="F26" s="14" t="s">
        <v>37</v>
      </c>
      <c r="G26" s="14" t="s">
        <v>215</v>
      </c>
      <c r="H26" s="60" t="s">
        <v>356</v>
      </c>
      <c r="I26" s="11"/>
      <c r="J26" s="11">
        <f>3570000*1.21</f>
        <v>4319700</v>
      </c>
      <c r="K26" s="11">
        <f t="shared" si="21"/>
        <v>4698789</v>
      </c>
      <c r="L26" s="23">
        <f t="shared" si="2"/>
        <v>4934525</v>
      </c>
      <c r="M26" s="11">
        <f t="shared" si="3"/>
        <v>5205303</v>
      </c>
      <c r="N26" s="15">
        <v>456650</v>
      </c>
      <c r="O26" s="11">
        <f t="shared" si="4"/>
        <v>5584392</v>
      </c>
      <c r="P26" s="20">
        <v>703434</v>
      </c>
      <c r="Q26" s="11">
        <f t="shared" si="6"/>
        <v>5838800</v>
      </c>
      <c r="R26" s="11">
        <f t="shared" si="7"/>
        <v>730400</v>
      </c>
      <c r="S26" s="15">
        <f t="shared" si="8"/>
        <v>6569200</v>
      </c>
      <c r="T26" s="16">
        <v>43628</v>
      </c>
      <c r="U26" s="13">
        <v>241176001</v>
      </c>
      <c r="V26" s="14" t="s">
        <v>48</v>
      </c>
      <c r="W26" s="16">
        <v>45177</v>
      </c>
      <c r="X26" s="103" t="s">
        <v>464</v>
      </c>
      <c r="Y26" s="14" t="s">
        <v>48</v>
      </c>
      <c r="AA26" s="22" t="s">
        <v>348</v>
      </c>
      <c r="AB26" s="14" t="s">
        <v>304</v>
      </c>
      <c r="AD26" s="108"/>
      <c r="AE26" s="65"/>
      <c r="AF26" s="65"/>
      <c r="AG26" s="65"/>
      <c r="AH26" s="60">
        <v>642001</v>
      </c>
      <c r="AI26" s="60">
        <v>438012</v>
      </c>
      <c r="AJ26" s="60"/>
      <c r="AL26" s="92" t="s">
        <v>407</v>
      </c>
    </row>
    <row r="27" spans="1:38" x14ac:dyDescent="0.25">
      <c r="A27" s="18" t="s">
        <v>260</v>
      </c>
      <c r="B27" s="21" t="s">
        <v>39</v>
      </c>
      <c r="C27" s="2" t="s">
        <v>176</v>
      </c>
      <c r="D27" s="14">
        <v>1004</v>
      </c>
      <c r="E27" s="14" t="s">
        <v>345</v>
      </c>
      <c r="F27" s="14" t="s">
        <v>37</v>
      </c>
      <c r="G27" s="14" t="s">
        <v>215</v>
      </c>
      <c r="H27" s="60" t="s">
        <v>357</v>
      </c>
      <c r="I27" s="11">
        <v>1926205</v>
      </c>
      <c r="J27" s="11">
        <f>2280000*1.21</f>
        <v>2758800</v>
      </c>
      <c r="K27" s="11">
        <f t="shared" si="21"/>
        <v>3000907</v>
      </c>
      <c r="L27" s="23">
        <f t="shared" si="2"/>
        <v>3151461</v>
      </c>
      <c r="M27" s="11">
        <f t="shared" si="3"/>
        <v>3324395</v>
      </c>
      <c r="N27" s="15">
        <v>595100</v>
      </c>
      <c r="O27" s="11">
        <f t="shared" si="4"/>
        <v>3566502</v>
      </c>
      <c r="P27" s="20">
        <v>726363</v>
      </c>
      <c r="Q27" s="11">
        <f t="shared" si="6"/>
        <v>3729000</v>
      </c>
      <c r="R27" s="11">
        <f t="shared" si="7"/>
        <v>754200</v>
      </c>
      <c r="S27" s="15">
        <f t="shared" si="8"/>
        <v>4483200</v>
      </c>
      <c r="T27" s="16">
        <v>43628</v>
      </c>
      <c r="U27" s="13">
        <v>241176001</v>
      </c>
      <c r="V27" s="14" t="s">
        <v>48</v>
      </c>
      <c r="W27" s="16">
        <v>45177</v>
      </c>
      <c r="X27" s="103" t="s">
        <v>464</v>
      </c>
      <c r="Y27" s="14" t="s">
        <v>48</v>
      </c>
      <c r="AA27" s="22" t="s">
        <v>348</v>
      </c>
      <c r="AB27" s="14" t="s">
        <v>304</v>
      </c>
      <c r="AD27" s="108"/>
      <c r="AE27" s="65"/>
      <c r="AF27" s="65"/>
      <c r="AG27" s="65"/>
      <c r="AH27" s="60">
        <v>642001</v>
      </c>
      <c r="AI27" s="60">
        <v>438012</v>
      </c>
      <c r="AJ27" s="60"/>
      <c r="AL27" s="92" t="s">
        <v>407</v>
      </c>
    </row>
    <row r="28" spans="1:38" x14ac:dyDescent="0.25">
      <c r="A28" s="18"/>
      <c r="B28" s="21"/>
      <c r="C28" s="2" t="s">
        <v>177</v>
      </c>
      <c r="D28" s="13">
        <v>3</v>
      </c>
      <c r="E28" s="14"/>
      <c r="F28" s="14" t="s">
        <v>42</v>
      </c>
      <c r="G28" s="14" t="s">
        <v>210</v>
      </c>
      <c r="H28" s="60" t="s">
        <v>358</v>
      </c>
      <c r="I28" s="11"/>
      <c r="J28" s="11">
        <f>2670000*1.21</f>
        <v>3230700</v>
      </c>
      <c r="K28" s="11">
        <f t="shared" si="21"/>
        <v>3514220</v>
      </c>
      <c r="L28" s="23">
        <f t="shared" si="2"/>
        <v>3690527</v>
      </c>
      <c r="M28" s="11">
        <f t="shared" si="3"/>
        <v>3893041</v>
      </c>
      <c r="N28" s="15">
        <v>326100</v>
      </c>
      <c r="O28" s="11">
        <f t="shared" si="4"/>
        <v>4176561</v>
      </c>
      <c r="P28" s="20">
        <v>510620</v>
      </c>
      <c r="Q28" s="11">
        <f t="shared" si="6"/>
        <v>4366900</v>
      </c>
      <c r="R28" s="11">
        <f t="shared" si="7"/>
        <v>530200</v>
      </c>
      <c r="S28" s="15">
        <f t="shared" si="8"/>
        <v>4897100</v>
      </c>
      <c r="T28" s="16">
        <v>43628</v>
      </c>
      <c r="U28" s="13">
        <v>241176001</v>
      </c>
      <c r="V28" s="14" t="s">
        <v>48</v>
      </c>
      <c r="W28" s="16">
        <v>45177</v>
      </c>
      <c r="X28" s="103" t="s">
        <v>464</v>
      </c>
      <c r="Y28" s="14" t="s">
        <v>48</v>
      </c>
      <c r="AA28" s="22" t="s">
        <v>348</v>
      </c>
      <c r="AB28" s="14" t="s">
        <v>304</v>
      </c>
      <c r="AD28" s="108"/>
      <c r="AE28" s="65"/>
      <c r="AF28" s="65"/>
      <c r="AG28" s="65"/>
      <c r="AH28" s="60">
        <v>642002</v>
      </c>
      <c r="AI28" s="60">
        <v>438012</v>
      </c>
      <c r="AJ28" s="60"/>
      <c r="AL28" s="92" t="s">
        <v>407</v>
      </c>
    </row>
    <row r="29" spans="1:38" x14ac:dyDescent="0.25">
      <c r="A29" s="18" t="s">
        <v>266</v>
      </c>
      <c r="B29" s="14" t="s">
        <v>227</v>
      </c>
      <c r="C29" s="2" t="s">
        <v>177</v>
      </c>
      <c r="D29" s="13">
        <v>3</v>
      </c>
      <c r="E29" s="14" t="s">
        <v>220</v>
      </c>
      <c r="F29" s="14" t="s">
        <v>42</v>
      </c>
      <c r="G29" s="14" t="s">
        <v>210</v>
      </c>
      <c r="H29" s="60" t="s">
        <v>337</v>
      </c>
      <c r="I29" s="11">
        <v>161153</v>
      </c>
      <c r="J29" s="11">
        <v>190000</v>
      </c>
      <c r="K29" s="11">
        <f t="shared" ref="K29" si="22">ROUND(J29/145.8*147.5,0)</f>
        <v>192215</v>
      </c>
      <c r="L29" s="23">
        <f t="shared" si="2"/>
        <v>201858</v>
      </c>
      <c r="M29" s="11">
        <f t="shared" si="3"/>
        <v>212935</v>
      </c>
      <c r="N29" s="15">
        <v>21182</v>
      </c>
      <c r="O29" s="11">
        <f t="shared" si="4"/>
        <v>228443</v>
      </c>
      <c r="P29" s="11">
        <f t="shared" si="5"/>
        <v>23230</v>
      </c>
      <c r="Q29" s="11">
        <f t="shared" si="6"/>
        <v>238900</v>
      </c>
      <c r="R29" s="11">
        <f t="shared" si="7"/>
        <v>24100</v>
      </c>
      <c r="S29" s="15">
        <f t="shared" si="8"/>
        <v>263000</v>
      </c>
      <c r="T29" s="16">
        <v>43965</v>
      </c>
      <c r="U29" s="13" t="s">
        <v>338</v>
      </c>
      <c r="V29" s="14" t="s">
        <v>48</v>
      </c>
      <c r="W29" s="126" t="s">
        <v>479</v>
      </c>
      <c r="X29" s="103"/>
      <c r="Y29" s="14"/>
      <c r="AA29" s="14"/>
      <c r="AB29" s="14" t="s">
        <v>208</v>
      </c>
      <c r="AD29" s="108"/>
      <c r="AE29" s="65"/>
      <c r="AF29" s="65"/>
      <c r="AG29" s="65"/>
      <c r="AH29" s="60">
        <v>642002</v>
      </c>
      <c r="AI29" s="60">
        <v>438012</v>
      </c>
      <c r="AJ29" s="60"/>
      <c r="AL29" s="92" t="s">
        <v>407</v>
      </c>
    </row>
    <row r="30" spans="1:38" x14ac:dyDescent="0.25">
      <c r="A30" s="18" t="s">
        <v>266</v>
      </c>
      <c r="B30" s="21" t="s">
        <v>43</v>
      </c>
      <c r="C30" s="2" t="s">
        <v>177</v>
      </c>
      <c r="D30" s="14">
        <v>232</v>
      </c>
      <c r="E30" s="14"/>
      <c r="F30" s="14" t="s">
        <v>42</v>
      </c>
      <c r="G30" s="14" t="s">
        <v>210</v>
      </c>
      <c r="H30" s="60" t="s">
        <v>359</v>
      </c>
      <c r="I30" s="11">
        <v>3921282</v>
      </c>
      <c r="J30" s="11">
        <f>4070000*1.21</f>
        <v>4924700</v>
      </c>
      <c r="K30" s="11">
        <f t="shared" ref="K30:K32" si="23">ROUND(J30/135.6*147.5,0)</f>
        <v>5356882</v>
      </c>
      <c r="L30" s="23">
        <f t="shared" si="2"/>
        <v>5625634</v>
      </c>
      <c r="M30" s="11">
        <f t="shared" si="3"/>
        <v>5934336</v>
      </c>
      <c r="N30" s="15">
        <v>1040900</v>
      </c>
      <c r="O30" s="11">
        <f t="shared" si="4"/>
        <v>6366518</v>
      </c>
      <c r="P30" s="20">
        <v>1311882</v>
      </c>
      <c r="Q30" s="11">
        <f t="shared" si="6"/>
        <v>6656600</v>
      </c>
      <c r="R30" s="11">
        <f t="shared" si="7"/>
        <v>1362200</v>
      </c>
      <c r="S30" s="15">
        <f t="shared" si="8"/>
        <v>8018800</v>
      </c>
      <c r="T30" s="16">
        <v>43628</v>
      </c>
      <c r="U30" s="13">
        <v>241176001</v>
      </c>
      <c r="V30" s="14" t="s">
        <v>48</v>
      </c>
      <c r="W30" s="16">
        <v>45177</v>
      </c>
      <c r="X30" s="103" t="s">
        <v>464</v>
      </c>
      <c r="Y30" s="14" t="s">
        <v>48</v>
      </c>
      <c r="AA30" s="22" t="s">
        <v>348</v>
      </c>
      <c r="AB30" s="14" t="s">
        <v>304</v>
      </c>
      <c r="AD30" s="108"/>
      <c r="AE30" s="65"/>
      <c r="AF30" s="65"/>
      <c r="AG30" s="78" t="s">
        <v>392</v>
      </c>
      <c r="AH30" s="60">
        <v>642002</v>
      </c>
      <c r="AI30" s="60">
        <v>438012</v>
      </c>
      <c r="AJ30" s="60"/>
      <c r="AL30" s="92" t="s">
        <v>407</v>
      </c>
    </row>
    <row r="31" spans="1:38" x14ac:dyDescent="0.25">
      <c r="A31" s="18" t="s">
        <v>266</v>
      </c>
      <c r="B31" s="21" t="s">
        <v>44</v>
      </c>
      <c r="C31" s="2" t="s">
        <v>177</v>
      </c>
      <c r="D31" s="14">
        <v>234</v>
      </c>
      <c r="E31" s="94"/>
      <c r="F31" s="94" t="s">
        <v>42</v>
      </c>
      <c r="G31" s="94" t="s">
        <v>210</v>
      </c>
      <c r="H31" s="95" t="s">
        <v>360</v>
      </c>
      <c r="I31" s="11">
        <v>3716105</v>
      </c>
      <c r="J31" s="11">
        <f>4230000*1.21</f>
        <v>5118300</v>
      </c>
      <c r="K31" s="11">
        <f t="shared" si="23"/>
        <v>5567472</v>
      </c>
      <c r="L31" s="23">
        <f t="shared" si="2"/>
        <v>5846789</v>
      </c>
      <c r="M31" s="11">
        <f t="shared" si="3"/>
        <v>6167626</v>
      </c>
      <c r="N31" s="15">
        <v>619300</v>
      </c>
      <c r="O31" s="11">
        <f t="shared" si="4"/>
        <v>6616798</v>
      </c>
      <c r="P31" s="20">
        <v>1008959</v>
      </c>
      <c r="Q31" s="11">
        <f t="shared" si="6"/>
        <v>6918300</v>
      </c>
      <c r="R31" s="11">
        <f t="shared" si="7"/>
        <v>1047700</v>
      </c>
      <c r="S31" s="15">
        <f t="shared" si="8"/>
        <v>7966000</v>
      </c>
      <c r="T31" s="16">
        <v>43628</v>
      </c>
      <c r="U31" s="13">
        <v>241176001</v>
      </c>
      <c r="V31" s="14" t="s">
        <v>48</v>
      </c>
      <c r="W31" s="16">
        <v>45177</v>
      </c>
      <c r="X31" s="103" t="s">
        <v>464</v>
      </c>
      <c r="Y31" s="14" t="s">
        <v>48</v>
      </c>
      <c r="AA31" s="22" t="s">
        <v>348</v>
      </c>
      <c r="AB31" s="14" t="s">
        <v>304</v>
      </c>
      <c r="AD31" s="108"/>
      <c r="AE31" s="65"/>
      <c r="AF31" s="65"/>
      <c r="AG31" s="65"/>
      <c r="AH31" s="60">
        <v>642002</v>
      </c>
      <c r="AI31" s="60">
        <v>438012</v>
      </c>
      <c r="AJ31" s="60"/>
      <c r="AL31" s="92" t="s">
        <v>407</v>
      </c>
    </row>
    <row r="32" spans="1:38" x14ac:dyDescent="0.25">
      <c r="A32" s="18" t="s">
        <v>263</v>
      </c>
      <c r="B32" s="21" t="s">
        <v>45</v>
      </c>
      <c r="C32" s="2" t="s">
        <v>178</v>
      </c>
      <c r="D32" s="14">
        <v>2</v>
      </c>
      <c r="E32" s="14"/>
      <c r="F32" s="14" t="s">
        <v>46</v>
      </c>
      <c r="G32" s="14" t="s">
        <v>210</v>
      </c>
      <c r="H32" s="60" t="s">
        <v>455</v>
      </c>
      <c r="I32" s="11">
        <v>2015590</v>
      </c>
      <c r="J32" s="11">
        <f>2750000*1.21</f>
        <v>3327500</v>
      </c>
      <c r="K32" s="11">
        <f t="shared" si="23"/>
        <v>3619515</v>
      </c>
      <c r="L32" s="23">
        <f t="shared" si="2"/>
        <v>3801104</v>
      </c>
      <c r="M32" s="11">
        <f t="shared" si="3"/>
        <v>4009686</v>
      </c>
      <c r="N32" s="15">
        <v>301900</v>
      </c>
      <c r="O32" s="11">
        <f t="shared" si="4"/>
        <v>4301701</v>
      </c>
      <c r="P32" s="20">
        <v>585822</v>
      </c>
      <c r="Q32" s="11">
        <f t="shared" si="6"/>
        <v>4497700</v>
      </c>
      <c r="R32" s="11">
        <f t="shared" si="7"/>
        <v>608300</v>
      </c>
      <c r="S32" s="15">
        <f t="shared" si="8"/>
        <v>5106000</v>
      </c>
      <c r="T32" s="16">
        <v>43628</v>
      </c>
      <c r="U32" s="13">
        <v>241176001</v>
      </c>
      <c r="V32" s="14" t="s">
        <v>48</v>
      </c>
      <c r="W32" s="16">
        <v>45177</v>
      </c>
      <c r="X32" s="103" t="s">
        <v>464</v>
      </c>
      <c r="Y32" s="14" t="s">
        <v>48</v>
      </c>
      <c r="AA32" s="22" t="s">
        <v>348</v>
      </c>
      <c r="AB32" s="14" t="s">
        <v>304</v>
      </c>
      <c r="AD32" s="92"/>
      <c r="AE32" s="60"/>
      <c r="AF32" s="60"/>
      <c r="AG32" s="60"/>
      <c r="AH32" s="60">
        <v>642000</v>
      </c>
      <c r="AI32" s="60">
        <v>438012</v>
      </c>
      <c r="AJ32" s="60"/>
      <c r="AL32" s="92" t="s">
        <v>407</v>
      </c>
    </row>
    <row r="33" spans="1:38" x14ac:dyDescent="0.25">
      <c r="A33" s="18" t="s">
        <v>259</v>
      </c>
      <c r="B33" s="21" t="s">
        <v>150</v>
      </c>
      <c r="C33" s="2" t="s">
        <v>47</v>
      </c>
      <c r="D33" s="14">
        <v>50</v>
      </c>
      <c r="E33" s="14"/>
      <c r="F33" s="14" t="s">
        <v>290</v>
      </c>
      <c r="G33" s="14" t="s">
        <v>210</v>
      </c>
      <c r="H33" s="60" t="s">
        <v>361</v>
      </c>
      <c r="I33" s="11">
        <v>481431</v>
      </c>
      <c r="J33" s="11">
        <f>640000*1.21</f>
        <v>774400</v>
      </c>
      <c r="K33" s="11">
        <f t="shared" ref="K33:K34" si="24">ROUND(J33/135.6*147.5,0)</f>
        <v>842360</v>
      </c>
      <c r="L33" s="23">
        <f t="shared" si="2"/>
        <v>884621</v>
      </c>
      <c r="M33" s="11">
        <f t="shared" si="3"/>
        <v>933164</v>
      </c>
      <c r="N33" s="15"/>
      <c r="O33" s="11">
        <f t="shared" si="4"/>
        <v>1001124</v>
      </c>
      <c r="P33" s="11">
        <f t="shared" si="5"/>
        <v>0</v>
      </c>
      <c r="Q33" s="11">
        <f t="shared" si="6"/>
        <v>1046700</v>
      </c>
      <c r="R33" s="11">
        <f t="shared" si="7"/>
        <v>0</v>
      </c>
      <c r="S33" s="15">
        <f t="shared" si="8"/>
        <v>1046700</v>
      </c>
      <c r="T33" s="16">
        <v>43628</v>
      </c>
      <c r="U33" s="13">
        <v>241176001</v>
      </c>
      <c r="V33" s="14" t="s">
        <v>48</v>
      </c>
      <c r="W33" s="14"/>
      <c r="X33" s="13"/>
      <c r="Y33" s="14"/>
      <c r="AA33" s="22" t="s">
        <v>348</v>
      </c>
      <c r="AB33" s="14" t="s">
        <v>304</v>
      </c>
      <c r="AD33" s="92"/>
      <c r="AE33" s="60"/>
      <c r="AF33" s="60"/>
      <c r="AG33" s="60"/>
      <c r="AH33" s="60">
        <v>655000</v>
      </c>
      <c r="AI33" s="60">
        <v>438012</v>
      </c>
      <c r="AJ33" s="60"/>
      <c r="AL33" s="92" t="s">
        <v>411</v>
      </c>
    </row>
    <row r="34" spans="1:38" x14ac:dyDescent="0.25">
      <c r="A34" s="18" t="s">
        <v>266</v>
      </c>
      <c r="B34" s="21" t="s">
        <v>49</v>
      </c>
      <c r="C34" s="2" t="s">
        <v>179</v>
      </c>
      <c r="D34" s="14">
        <v>2</v>
      </c>
      <c r="E34" s="14"/>
      <c r="F34" s="14" t="s">
        <v>50</v>
      </c>
      <c r="G34" s="14" t="s">
        <v>210</v>
      </c>
      <c r="H34" s="60" t="s">
        <v>385</v>
      </c>
      <c r="I34" s="11">
        <v>2616693</v>
      </c>
      <c r="J34" s="11">
        <f>2990000*1.21</f>
        <v>3617900</v>
      </c>
      <c r="K34" s="11">
        <f t="shared" si="24"/>
        <v>3935400</v>
      </c>
      <c r="L34" s="23">
        <f t="shared" si="2"/>
        <v>4132837</v>
      </c>
      <c r="M34" s="11">
        <f t="shared" si="3"/>
        <v>4359623</v>
      </c>
      <c r="N34" s="15">
        <v>510600</v>
      </c>
      <c r="O34" s="11">
        <f t="shared" si="4"/>
        <v>4677123</v>
      </c>
      <c r="P34" s="20">
        <v>695266</v>
      </c>
      <c r="Q34" s="11">
        <f t="shared" si="6"/>
        <v>4890200</v>
      </c>
      <c r="R34" s="11">
        <f t="shared" si="7"/>
        <v>721900</v>
      </c>
      <c r="S34" s="15">
        <f t="shared" si="8"/>
        <v>5612100</v>
      </c>
      <c r="T34" s="16">
        <v>43628</v>
      </c>
      <c r="U34" s="13">
        <v>241176001</v>
      </c>
      <c r="V34" s="14" t="s">
        <v>48</v>
      </c>
      <c r="W34" s="16">
        <v>45177</v>
      </c>
      <c r="X34" s="103" t="s">
        <v>464</v>
      </c>
      <c r="Y34" s="14" t="s">
        <v>48</v>
      </c>
      <c r="AA34" s="22" t="s">
        <v>348</v>
      </c>
      <c r="AB34" s="14" t="s">
        <v>304</v>
      </c>
      <c r="AD34" s="92"/>
      <c r="AE34" s="60"/>
      <c r="AF34" s="60"/>
      <c r="AG34" s="78" t="s">
        <v>392</v>
      </c>
      <c r="AH34" s="60">
        <v>642002</v>
      </c>
      <c r="AI34" s="60">
        <v>438012</v>
      </c>
      <c r="AJ34" s="60"/>
      <c r="AL34" s="92" t="s">
        <v>407</v>
      </c>
    </row>
    <row r="35" spans="1:38" x14ac:dyDescent="0.2">
      <c r="A35" s="18" t="s">
        <v>267</v>
      </c>
      <c r="B35" s="14" t="s">
        <v>228</v>
      </c>
      <c r="C35" s="2" t="s">
        <v>282</v>
      </c>
      <c r="D35" s="14">
        <v>45</v>
      </c>
      <c r="E35" s="14" t="s">
        <v>51</v>
      </c>
      <c r="F35" s="14" t="s">
        <v>52</v>
      </c>
      <c r="G35" s="14" t="s">
        <v>210</v>
      </c>
      <c r="H35" s="61" t="s">
        <v>249</v>
      </c>
      <c r="I35" s="11">
        <v>95653</v>
      </c>
      <c r="J35" s="11">
        <f t="shared" si="12"/>
        <v>102050</v>
      </c>
      <c r="K35" s="11">
        <f t="shared" si="13"/>
        <v>109711</v>
      </c>
      <c r="L35" s="23">
        <f t="shared" si="2"/>
        <v>115215</v>
      </c>
      <c r="M35" s="11">
        <v>140000</v>
      </c>
      <c r="N35" s="15"/>
      <c r="O35" s="11">
        <f t="shared" ref="O35:O36" si="25">M35</f>
        <v>140000</v>
      </c>
      <c r="P35" s="11">
        <f t="shared" si="5"/>
        <v>0</v>
      </c>
      <c r="Q35" s="11">
        <f t="shared" si="6"/>
        <v>146400</v>
      </c>
      <c r="R35" s="11">
        <f t="shared" si="7"/>
        <v>0</v>
      </c>
      <c r="S35" s="15">
        <f t="shared" si="8"/>
        <v>146400</v>
      </c>
      <c r="T35" s="103">
        <v>45040</v>
      </c>
      <c r="U35" s="104" t="s">
        <v>428</v>
      </c>
      <c r="V35" s="14" t="s">
        <v>48</v>
      </c>
      <c r="W35" s="14"/>
      <c r="X35" s="13"/>
      <c r="Y35" s="14"/>
      <c r="AA35" s="14"/>
      <c r="AB35" s="22" t="s">
        <v>208</v>
      </c>
      <c r="AD35" s="80"/>
      <c r="AE35" s="61"/>
      <c r="AF35" s="61"/>
      <c r="AG35" s="61"/>
      <c r="AH35" s="60">
        <v>683003</v>
      </c>
      <c r="AI35" s="60">
        <v>438012</v>
      </c>
      <c r="AJ35" s="60"/>
      <c r="AL35" s="92" t="s">
        <v>411</v>
      </c>
    </row>
    <row r="36" spans="1:38" x14ac:dyDescent="0.2">
      <c r="A36" s="18" t="s">
        <v>267</v>
      </c>
      <c r="B36" s="14" t="s">
        <v>229</v>
      </c>
      <c r="C36" s="2" t="s">
        <v>282</v>
      </c>
      <c r="D36" s="14">
        <v>47</v>
      </c>
      <c r="E36" s="14" t="s">
        <v>51</v>
      </c>
      <c r="F36" s="14" t="s">
        <v>52</v>
      </c>
      <c r="G36" s="14" t="s">
        <v>210</v>
      </c>
      <c r="H36" s="61" t="s">
        <v>249</v>
      </c>
      <c r="I36" s="11">
        <v>95653</v>
      </c>
      <c r="J36" s="11">
        <f t="shared" si="12"/>
        <v>102050</v>
      </c>
      <c r="K36" s="11">
        <f t="shared" si="13"/>
        <v>109711</v>
      </c>
      <c r="L36" s="23">
        <f t="shared" si="2"/>
        <v>115215</v>
      </c>
      <c r="M36" s="11">
        <v>140000</v>
      </c>
      <c r="N36" s="15"/>
      <c r="O36" s="11">
        <f t="shared" si="25"/>
        <v>140000</v>
      </c>
      <c r="P36" s="11">
        <f t="shared" si="5"/>
        <v>0</v>
      </c>
      <c r="Q36" s="11">
        <f t="shared" si="6"/>
        <v>146400</v>
      </c>
      <c r="R36" s="11">
        <f t="shared" si="7"/>
        <v>0</v>
      </c>
      <c r="S36" s="15">
        <f t="shared" si="8"/>
        <v>146400</v>
      </c>
      <c r="T36" s="103">
        <v>45040</v>
      </c>
      <c r="U36" s="104" t="s">
        <v>429</v>
      </c>
      <c r="V36" s="14" t="s">
        <v>48</v>
      </c>
      <c r="W36" s="14"/>
      <c r="X36" s="13"/>
      <c r="Y36" s="14"/>
      <c r="AA36" s="14"/>
      <c r="AB36" s="14" t="s">
        <v>208</v>
      </c>
      <c r="AD36" s="80"/>
      <c r="AE36" s="61"/>
      <c r="AF36" s="61"/>
      <c r="AG36" s="61"/>
      <c r="AH36" s="60">
        <v>683003</v>
      </c>
      <c r="AI36" s="60">
        <v>438012</v>
      </c>
      <c r="AJ36" s="60"/>
      <c r="AL36" s="92" t="s">
        <v>411</v>
      </c>
    </row>
    <row r="37" spans="1:38" ht="25.5" x14ac:dyDescent="0.25">
      <c r="A37" s="18" t="s">
        <v>268</v>
      </c>
      <c r="B37" s="14" t="s">
        <v>53</v>
      </c>
      <c r="C37" s="61" t="s">
        <v>352</v>
      </c>
      <c r="D37" s="14"/>
      <c r="E37" s="14"/>
      <c r="F37" s="114" t="s">
        <v>453</v>
      </c>
      <c r="G37" s="14" t="s">
        <v>210</v>
      </c>
      <c r="H37" s="60" t="s">
        <v>452</v>
      </c>
      <c r="I37" s="11">
        <v>1472460</v>
      </c>
      <c r="J37" s="11">
        <f t="shared" si="12"/>
        <v>1570929</v>
      </c>
      <c r="K37" s="11">
        <f t="shared" si="13"/>
        <v>1688863</v>
      </c>
      <c r="L37" s="23">
        <f t="shared" si="2"/>
        <v>1773592</v>
      </c>
      <c r="M37" s="11">
        <f t="shared" ref="M37:M60" si="26">ROUND(L37/154.9*163.4,0)</f>
        <v>1870916</v>
      </c>
      <c r="N37" s="15"/>
      <c r="O37" s="11">
        <f t="shared" si="4"/>
        <v>2007170</v>
      </c>
      <c r="P37" s="11">
        <f t="shared" si="5"/>
        <v>0</v>
      </c>
      <c r="Q37" s="11">
        <f t="shared" si="6"/>
        <v>2098600</v>
      </c>
      <c r="R37" s="11">
        <f t="shared" si="7"/>
        <v>0</v>
      </c>
      <c r="S37" s="15">
        <f t="shared" si="8"/>
        <v>2098600</v>
      </c>
      <c r="T37" s="16"/>
      <c r="U37" s="13"/>
      <c r="V37" s="14"/>
      <c r="W37" s="16"/>
      <c r="X37" s="103"/>
      <c r="Y37" s="14"/>
      <c r="AA37" s="14"/>
      <c r="AB37" s="14"/>
      <c r="AD37" s="92" t="s">
        <v>394</v>
      </c>
      <c r="AE37" s="60"/>
      <c r="AF37" s="60"/>
      <c r="AG37" s="60"/>
      <c r="AH37" s="60">
        <v>652002</v>
      </c>
      <c r="AI37" s="60">
        <v>438012</v>
      </c>
      <c r="AJ37" s="60">
        <v>11003</v>
      </c>
      <c r="AL37" s="93" t="s">
        <v>410</v>
      </c>
    </row>
    <row r="38" spans="1:38" s="62" customFormat="1" ht="25.5" x14ac:dyDescent="0.25">
      <c r="A38" s="87"/>
      <c r="C38" s="2" t="s">
        <v>303</v>
      </c>
      <c r="D38" s="14">
        <v>10</v>
      </c>
      <c r="E38" s="14" t="s">
        <v>192</v>
      </c>
      <c r="F38" s="14" t="s">
        <v>422</v>
      </c>
      <c r="G38" s="14" t="s">
        <v>210</v>
      </c>
      <c r="H38" s="60" t="s">
        <v>402</v>
      </c>
      <c r="I38" s="15"/>
      <c r="J38" s="15"/>
      <c r="K38" s="15"/>
      <c r="L38" s="15"/>
      <c r="M38" s="15">
        <v>72900</v>
      </c>
      <c r="N38" s="15"/>
      <c r="O38" s="11">
        <f t="shared" ref="O38:O39" si="27">M38</f>
        <v>72900</v>
      </c>
      <c r="P38" s="11">
        <f t="shared" si="5"/>
        <v>0</v>
      </c>
      <c r="Q38" s="11">
        <f t="shared" si="6"/>
        <v>76200</v>
      </c>
      <c r="R38" s="11">
        <f t="shared" si="7"/>
        <v>0</v>
      </c>
      <c r="S38" s="15">
        <f t="shared" si="8"/>
        <v>76200</v>
      </c>
      <c r="T38" s="14" t="s">
        <v>403</v>
      </c>
      <c r="U38" s="13"/>
      <c r="V38" s="14"/>
      <c r="W38" s="14"/>
      <c r="X38" s="13"/>
      <c r="Y38" s="14"/>
      <c r="AA38" s="22"/>
      <c r="AB38" s="22"/>
      <c r="AD38" s="110"/>
      <c r="AE38" s="88"/>
      <c r="AF38" s="88"/>
      <c r="AG38" s="88"/>
      <c r="AH38" s="88"/>
      <c r="AI38" s="88"/>
      <c r="AJ38" s="88"/>
      <c r="AL38" s="65"/>
    </row>
    <row r="39" spans="1:38" x14ac:dyDescent="0.2">
      <c r="A39" s="18" t="s">
        <v>259</v>
      </c>
      <c r="B39" s="14" t="s">
        <v>218</v>
      </c>
      <c r="C39" s="2" t="s">
        <v>481</v>
      </c>
      <c r="D39" s="14"/>
      <c r="E39" s="14"/>
      <c r="F39" s="14" t="s">
        <v>219</v>
      </c>
      <c r="G39" s="14" t="s">
        <v>210</v>
      </c>
      <c r="H39" s="61" t="s">
        <v>166</v>
      </c>
      <c r="I39" s="11">
        <v>115069</v>
      </c>
      <c r="J39" s="11">
        <f>ROUND(I39/128.6*137.2,0)</f>
        <v>122764</v>
      </c>
      <c r="K39" s="23">
        <f>ROUND(J39/137.2*147.5,0)</f>
        <v>131980</v>
      </c>
      <c r="L39" s="23">
        <f>ROUND(K39/147.5*154.9,0)</f>
        <v>138601</v>
      </c>
      <c r="M39" s="11">
        <v>175000</v>
      </c>
      <c r="N39" s="15"/>
      <c r="O39" s="11">
        <f t="shared" si="27"/>
        <v>175000</v>
      </c>
      <c r="P39" s="11">
        <f t="shared" si="5"/>
        <v>0</v>
      </c>
      <c r="Q39" s="11">
        <f t="shared" si="6"/>
        <v>183000</v>
      </c>
      <c r="R39" s="11">
        <f t="shared" si="7"/>
        <v>0</v>
      </c>
      <c r="S39" s="15">
        <f t="shared" si="8"/>
        <v>183000</v>
      </c>
      <c r="T39" s="16">
        <v>45041</v>
      </c>
      <c r="U39" s="104" t="s">
        <v>430</v>
      </c>
      <c r="V39" s="14" t="s">
        <v>48</v>
      </c>
      <c r="W39" s="14"/>
      <c r="X39" s="13"/>
      <c r="Y39" s="14"/>
      <c r="AA39" s="14"/>
      <c r="AB39" s="14" t="s">
        <v>208</v>
      </c>
      <c r="AD39" s="111" t="s">
        <v>393</v>
      </c>
      <c r="AE39" s="69"/>
      <c r="AF39" s="69"/>
      <c r="AG39" s="69"/>
      <c r="AH39" s="83">
        <v>655000</v>
      </c>
      <c r="AI39" s="83">
        <v>438012</v>
      </c>
      <c r="AJ39" s="83"/>
      <c r="AL39" s="93" t="s">
        <v>418</v>
      </c>
    </row>
    <row r="40" spans="1:38" x14ac:dyDescent="0.25">
      <c r="A40" s="18" t="s">
        <v>260</v>
      </c>
      <c r="B40" s="21" t="s">
        <v>54</v>
      </c>
      <c r="C40" s="60" t="s">
        <v>180</v>
      </c>
      <c r="D40" s="14">
        <v>125</v>
      </c>
      <c r="E40" s="14"/>
      <c r="F40" s="14" t="s">
        <v>55</v>
      </c>
      <c r="G40" s="14" t="s">
        <v>210</v>
      </c>
      <c r="H40" s="60" t="s">
        <v>362</v>
      </c>
      <c r="I40" s="11">
        <v>1994360</v>
      </c>
      <c r="J40" s="11">
        <f>2770000*1.21</f>
        <v>3351700</v>
      </c>
      <c r="K40" s="11">
        <f t="shared" ref="K40:K41" si="28">ROUND(J40/135.6*147.5,0)</f>
        <v>3645839</v>
      </c>
      <c r="L40" s="23">
        <f t="shared" ref="L40:L41" si="29">ROUND(K40/147.5*154.9,0)</f>
        <v>3828749</v>
      </c>
      <c r="M40" s="11">
        <f t="shared" ref="M40:M41" si="30">ROUND(L40/154.9*163.4,0)</f>
        <v>4038848</v>
      </c>
      <c r="N40" s="15">
        <v>428750</v>
      </c>
      <c r="O40" s="11">
        <f t="shared" ref="O40:O41" si="31">ROUND(M40/163.4*175.3,0)</f>
        <v>4332987</v>
      </c>
      <c r="P40" s="20">
        <v>708213</v>
      </c>
      <c r="Q40" s="11">
        <f t="shared" si="6"/>
        <v>4530400</v>
      </c>
      <c r="R40" s="11">
        <f t="shared" si="7"/>
        <v>735400</v>
      </c>
      <c r="S40" s="15">
        <f t="shared" si="8"/>
        <v>5265800</v>
      </c>
      <c r="T40" s="16">
        <v>43628</v>
      </c>
      <c r="U40" s="13">
        <v>241176001</v>
      </c>
      <c r="V40" s="14" t="s">
        <v>48</v>
      </c>
      <c r="W40" s="16">
        <v>45177</v>
      </c>
      <c r="X40" s="103" t="s">
        <v>464</v>
      </c>
      <c r="Y40" s="14" t="s">
        <v>48</v>
      </c>
      <c r="AA40" s="22" t="s">
        <v>348</v>
      </c>
      <c r="AB40" s="14" t="s">
        <v>304</v>
      </c>
      <c r="AD40" s="108"/>
      <c r="AE40" s="65"/>
      <c r="AF40" s="65"/>
      <c r="AG40" s="78" t="s">
        <v>395</v>
      </c>
      <c r="AH40" s="60">
        <v>642001</v>
      </c>
      <c r="AI40" s="60">
        <v>438012</v>
      </c>
      <c r="AJ40" s="60"/>
      <c r="AL40" s="92" t="s">
        <v>407</v>
      </c>
    </row>
    <row r="41" spans="1:38" x14ac:dyDescent="0.25">
      <c r="A41" s="18" t="s">
        <v>263</v>
      </c>
      <c r="B41" s="21" t="s">
        <v>56</v>
      </c>
      <c r="C41" s="2" t="s">
        <v>180</v>
      </c>
      <c r="D41" s="14">
        <v>424</v>
      </c>
      <c r="E41" s="14"/>
      <c r="F41" s="14" t="s">
        <v>57</v>
      </c>
      <c r="G41" s="14" t="s">
        <v>210</v>
      </c>
      <c r="H41" s="60" t="s">
        <v>363</v>
      </c>
      <c r="I41" s="11">
        <v>2364185</v>
      </c>
      <c r="J41" s="11">
        <f>2840000*1.21</f>
        <v>3436400</v>
      </c>
      <c r="K41" s="11">
        <f t="shared" si="28"/>
        <v>3737972</v>
      </c>
      <c r="L41" s="23">
        <f t="shared" si="29"/>
        <v>3925504</v>
      </c>
      <c r="M41" s="11">
        <f t="shared" si="30"/>
        <v>4140913</v>
      </c>
      <c r="N41" s="15">
        <v>500350</v>
      </c>
      <c r="O41" s="11">
        <f t="shared" si="31"/>
        <v>4442485</v>
      </c>
      <c r="P41" s="20">
        <v>904475</v>
      </c>
      <c r="Q41" s="11">
        <f t="shared" si="6"/>
        <v>4644900</v>
      </c>
      <c r="R41" s="11">
        <f t="shared" si="7"/>
        <v>939200</v>
      </c>
      <c r="S41" s="15">
        <f t="shared" si="8"/>
        <v>5584100</v>
      </c>
      <c r="T41" s="16">
        <v>43628</v>
      </c>
      <c r="U41" s="13">
        <v>241176001</v>
      </c>
      <c r="V41" s="14" t="s">
        <v>48</v>
      </c>
      <c r="W41" s="16">
        <v>45177</v>
      </c>
      <c r="X41" s="103" t="s">
        <v>464</v>
      </c>
      <c r="Y41" s="14" t="s">
        <v>48</v>
      </c>
      <c r="AA41" s="22" t="s">
        <v>348</v>
      </c>
      <c r="AB41" s="14" t="s">
        <v>304</v>
      </c>
      <c r="AD41" s="108"/>
      <c r="AE41" s="65"/>
      <c r="AF41" s="65"/>
      <c r="AG41" s="65"/>
      <c r="AH41" s="60">
        <v>642000</v>
      </c>
      <c r="AI41" s="60">
        <v>438012</v>
      </c>
      <c r="AJ41" s="60"/>
      <c r="AL41" s="92" t="s">
        <v>407</v>
      </c>
    </row>
    <row r="42" spans="1:38" x14ac:dyDescent="0.25">
      <c r="A42" s="18" t="s">
        <v>259</v>
      </c>
      <c r="B42" s="14" t="s">
        <v>230</v>
      </c>
      <c r="C42" s="2" t="s">
        <v>58</v>
      </c>
      <c r="D42" s="13" t="s">
        <v>59</v>
      </c>
      <c r="E42" s="14"/>
      <c r="F42" s="14"/>
      <c r="G42" s="14" t="s">
        <v>210</v>
      </c>
      <c r="H42" s="60" t="s">
        <v>60</v>
      </c>
      <c r="I42" s="11">
        <v>1826399</v>
      </c>
      <c r="J42" s="11">
        <v>1750000</v>
      </c>
      <c r="K42" s="11">
        <f>ROUND(J42/145.8*147.5,0)</f>
        <v>1770405</v>
      </c>
      <c r="L42" s="23">
        <f t="shared" si="2"/>
        <v>1859225</v>
      </c>
      <c r="M42" s="11">
        <f t="shared" si="26"/>
        <v>1961248</v>
      </c>
      <c r="N42" s="15"/>
      <c r="O42" s="11">
        <f t="shared" si="4"/>
        <v>2104081</v>
      </c>
      <c r="P42" s="11">
        <f t="shared" si="5"/>
        <v>0</v>
      </c>
      <c r="Q42" s="11">
        <f t="shared" si="6"/>
        <v>2200000</v>
      </c>
      <c r="R42" s="11">
        <f t="shared" si="7"/>
        <v>0</v>
      </c>
      <c r="S42" s="15">
        <f t="shared" si="8"/>
        <v>2200000</v>
      </c>
      <c r="T42" s="16">
        <v>43965</v>
      </c>
      <c r="U42" s="13" t="s">
        <v>330</v>
      </c>
      <c r="V42" s="14" t="s">
        <v>48</v>
      </c>
      <c r="W42" s="16"/>
      <c r="X42" s="103"/>
      <c r="Y42" s="14"/>
      <c r="AA42" s="14"/>
      <c r="AB42" s="14" t="s">
        <v>208</v>
      </c>
      <c r="AD42" s="80" t="s">
        <v>393</v>
      </c>
      <c r="AE42" s="60"/>
      <c r="AF42" s="60"/>
      <c r="AG42" s="60"/>
      <c r="AH42" s="60">
        <v>655000</v>
      </c>
      <c r="AI42" s="60">
        <v>438012</v>
      </c>
      <c r="AJ42" s="60"/>
      <c r="AL42" s="93" t="s">
        <v>413</v>
      </c>
    </row>
    <row r="43" spans="1:38" s="12" customFormat="1" ht="25.5" customHeight="1" x14ac:dyDescent="0.2">
      <c r="A43" s="30" t="s">
        <v>258</v>
      </c>
      <c r="B43" s="8" t="s">
        <v>287</v>
      </c>
      <c r="C43" s="8" t="s">
        <v>288</v>
      </c>
      <c r="D43" s="13">
        <v>33</v>
      </c>
      <c r="E43" s="9"/>
      <c r="F43" s="9" t="s">
        <v>156</v>
      </c>
      <c r="G43" s="9" t="s">
        <v>210</v>
      </c>
      <c r="H43" s="70"/>
      <c r="I43" s="11">
        <v>90763</v>
      </c>
      <c r="J43" s="11">
        <f t="shared" si="12"/>
        <v>96833</v>
      </c>
      <c r="K43" s="23">
        <f t="shared" si="13"/>
        <v>104103</v>
      </c>
      <c r="L43" s="23">
        <f t="shared" si="2"/>
        <v>109326</v>
      </c>
      <c r="M43" s="11">
        <f t="shared" si="26"/>
        <v>115325</v>
      </c>
      <c r="N43" s="10"/>
      <c r="O43" s="11">
        <f t="shared" si="4"/>
        <v>123724</v>
      </c>
      <c r="P43" s="11">
        <f t="shared" si="5"/>
        <v>0</v>
      </c>
      <c r="Q43" s="11">
        <f t="shared" si="6"/>
        <v>129400</v>
      </c>
      <c r="R43" s="11">
        <f t="shared" si="7"/>
        <v>0</v>
      </c>
      <c r="S43" s="15">
        <f t="shared" si="8"/>
        <v>129400</v>
      </c>
      <c r="T43" s="9"/>
      <c r="U43" s="13"/>
      <c r="V43" s="9"/>
      <c r="W43" s="9"/>
      <c r="X43" s="13"/>
      <c r="Y43" s="9"/>
      <c r="AA43" s="9"/>
      <c r="AB43" s="9"/>
      <c r="AD43" s="70"/>
      <c r="AE43" s="70"/>
      <c r="AF43" s="70"/>
      <c r="AG43" s="70"/>
      <c r="AH43" s="84" t="s">
        <v>401</v>
      </c>
      <c r="AI43" s="70"/>
      <c r="AJ43" s="70"/>
      <c r="AL43" s="70"/>
    </row>
    <row r="44" spans="1:38" ht="25.5" x14ac:dyDescent="0.25">
      <c r="A44" s="18" t="s">
        <v>269</v>
      </c>
      <c r="B44" s="14" t="s">
        <v>231</v>
      </c>
      <c r="C44" s="2" t="s">
        <v>61</v>
      </c>
      <c r="D44" s="14">
        <v>1</v>
      </c>
      <c r="E44" s="14"/>
      <c r="F44" s="14" t="s">
        <v>157</v>
      </c>
      <c r="G44" s="14" t="s">
        <v>210</v>
      </c>
      <c r="H44" s="61" t="s">
        <v>62</v>
      </c>
      <c r="I44" s="11">
        <v>195557</v>
      </c>
      <c r="J44" s="11">
        <f t="shared" si="12"/>
        <v>208635</v>
      </c>
      <c r="K44" s="23">
        <f t="shared" si="13"/>
        <v>224298</v>
      </c>
      <c r="L44" s="23">
        <f t="shared" si="2"/>
        <v>235551</v>
      </c>
      <c r="M44" s="11">
        <v>290000</v>
      </c>
      <c r="N44" s="15"/>
      <c r="O44" s="11">
        <f>M44</f>
        <v>290000</v>
      </c>
      <c r="P44" s="11">
        <f t="shared" si="5"/>
        <v>0</v>
      </c>
      <c r="Q44" s="11">
        <f t="shared" si="6"/>
        <v>303200</v>
      </c>
      <c r="R44" s="11">
        <f t="shared" si="7"/>
        <v>0</v>
      </c>
      <c r="S44" s="15">
        <f t="shared" si="8"/>
        <v>303200</v>
      </c>
      <c r="T44" s="16">
        <v>45041</v>
      </c>
      <c r="U44" s="106" t="s">
        <v>435</v>
      </c>
      <c r="V44" s="14" t="s">
        <v>48</v>
      </c>
      <c r="W44" s="16"/>
      <c r="X44" s="103"/>
      <c r="Y44" s="14"/>
      <c r="AA44" s="14"/>
      <c r="AB44" s="14" t="s">
        <v>208</v>
      </c>
      <c r="AD44" s="80" t="s">
        <v>394</v>
      </c>
      <c r="AE44" s="61"/>
      <c r="AF44" s="61"/>
      <c r="AG44" s="61"/>
      <c r="AH44" s="60">
        <v>652002</v>
      </c>
      <c r="AI44" s="60">
        <v>438012</v>
      </c>
      <c r="AJ44" s="60">
        <v>11001</v>
      </c>
      <c r="AL44" s="61" t="s">
        <v>410</v>
      </c>
    </row>
    <row r="45" spans="1:38" ht="25.5" x14ac:dyDescent="0.25">
      <c r="A45" s="18" t="s">
        <v>270</v>
      </c>
      <c r="B45" s="14" t="s">
        <v>139</v>
      </c>
      <c r="C45" s="2" t="s">
        <v>61</v>
      </c>
      <c r="D45" s="14">
        <v>2</v>
      </c>
      <c r="E45" s="14"/>
      <c r="F45" s="14" t="s">
        <v>157</v>
      </c>
      <c r="G45" s="14" t="s">
        <v>210</v>
      </c>
      <c r="H45" s="61" t="s">
        <v>149</v>
      </c>
      <c r="I45" s="11">
        <v>24918282</v>
      </c>
      <c r="J45" s="11">
        <v>25750000</v>
      </c>
      <c r="K45" s="11">
        <f>ROUND(J45/145.8*147.5,0)</f>
        <v>26050240</v>
      </c>
      <c r="L45" s="23">
        <f t="shared" si="2"/>
        <v>27357167</v>
      </c>
      <c r="M45" s="11">
        <f t="shared" si="26"/>
        <v>28858367</v>
      </c>
      <c r="N45" s="15"/>
      <c r="O45" s="11">
        <f t="shared" si="4"/>
        <v>30960047</v>
      </c>
      <c r="P45" s="11">
        <f t="shared" si="5"/>
        <v>0</v>
      </c>
      <c r="Q45" s="11">
        <f t="shared" si="6"/>
        <v>32370700</v>
      </c>
      <c r="R45" s="11">
        <f t="shared" si="7"/>
        <v>0</v>
      </c>
      <c r="S45" s="15">
        <f t="shared" si="8"/>
        <v>32370700</v>
      </c>
      <c r="T45" s="16">
        <v>44011</v>
      </c>
      <c r="U45" s="98" t="s">
        <v>325</v>
      </c>
      <c r="V45" s="14" t="s">
        <v>48</v>
      </c>
      <c r="W45" s="16"/>
      <c r="X45" s="103"/>
      <c r="Y45" s="14"/>
      <c r="AA45" s="14"/>
      <c r="AB45" s="14" t="s">
        <v>208</v>
      </c>
      <c r="AD45" s="80" t="s">
        <v>394</v>
      </c>
      <c r="AE45" s="61"/>
      <c r="AF45" s="61"/>
      <c r="AG45" s="61"/>
      <c r="AH45" s="60">
        <v>652001</v>
      </c>
      <c r="AI45" s="60">
        <v>438012</v>
      </c>
      <c r="AJ45" s="60">
        <v>11008</v>
      </c>
      <c r="AL45" s="61" t="s">
        <v>410</v>
      </c>
    </row>
    <row r="46" spans="1:38" x14ac:dyDescent="0.25">
      <c r="A46" s="18" t="s">
        <v>263</v>
      </c>
      <c r="B46" s="14" t="s">
        <v>232</v>
      </c>
      <c r="C46" s="2" t="s">
        <v>221</v>
      </c>
      <c r="D46" s="14">
        <v>90</v>
      </c>
      <c r="E46" s="14"/>
      <c r="F46" s="14" t="s">
        <v>63</v>
      </c>
      <c r="G46" s="14" t="s">
        <v>210</v>
      </c>
      <c r="H46" s="61" t="s">
        <v>364</v>
      </c>
      <c r="I46" s="11">
        <v>0</v>
      </c>
      <c r="J46" s="11">
        <f t="shared" ref="J46:J47" si="32">ROUND(I46/128.6*137.2,0)</f>
        <v>0</v>
      </c>
      <c r="K46" s="23">
        <f t="shared" ref="K46:K47" si="33">ROUND(J46/137.2*147.5,0)</f>
        <v>0</v>
      </c>
      <c r="L46" s="11">
        <f t="shared" si="2"/>
        <v>0</v>
      </c>
      <c r="M46" s="11">
        <f t="shared" si="26"/>
        <v>0</v>
      </c>
      <c r="N46" s="15">
        <v>409800</v>
      </c>
      <c r="O46" s="11">
        <f t="shared" si="4"/>
        <v>0</v>
      </c>
      <c r="P46" s="20">
        <v>598950</v>
      </c>
      <c r="Q46" s="11">
        <f t="shared" si="6"/>
        <v>0</v>
      </c>
      <c r="R46" s="11">
        <f t="shared" si="7"/>
        <v>621900</v>
      </c>
      <c r="S46" s="15">
        <f t="shared" si="8"/>
        <v>621900</v>
      </c>
      <c r="T46" s="16"/>
      <c r="U46" s="13"/>
      <c r="V46" s="16"/>
      <c r="W46" s="16">
        <v>45177</v>
      </c>
      <c r="X46" s="103" t="s">
        <v>464</v>
      </c>
      <c r="Y46" s="14" t="s">
        <v>48</v>
      </c>
      <c r="AA46" s="14"/>
      <c r="AB46" s="14"/>
      <c r="AD46" s="109"/>
      <c r="AE46" s="68"/>
      <c r="AF46" s="68"/>
      <c r="AG46" s="68"/>
      <c r="AH46" s="60">
        <v>642000</v>
      </c>
      <c r="AI46" s="60">
        <v>438012</v>
      </c>
      <c r="AJ46" s="60"/>
      <c r="AL46" s="61" t="s">
        <v>407</v>
      </c>
    </row>
    <row r="47" spans="1:38" ht="25.5" x14ac:dyDescent="0.25">
      <c r="A47" s="18" t="s">
        <v>271</v>
      </c>
      <c r="B47" s="14" t="s">
        <v>233</v>
      </c>
      <c r="C47" s="2" t="s">
        <v>221</v>
      </c>
      <c r="D47" s="14">
        <v>90</v>
      </c>
      <c r="E47" s="14" t="s">
        <v>38</v>
      </c>
      <c r="F47" s="14" t="s">
        <v>63</v>
      </c>
      <c r="G47" s="14" t="s">
        <v>210</v>
      </c>
      <c r="H47" s="61" t="s">
        <v>41</v>
      </c>
      <c r="I47" s="11">
        <v>0</v>
      </c>
      <c r="J47" s="11">
        <f t="shared" si="32"/>
        <v>0</v>
      </c>
      <c r="K47" s="23">
        <f t="shared" si="33"/>
        <v>0</v>
      </c>
      <c r="L47" s="11">
        <f t="shared" si="2"/>
        <v>0</v>
      </c>
      <c r="M47" s="11">
        <f t="shared" si="26"/>
        <v>0</v>
      </c>
      <c r="N47" s="15">
        <v>236320</v>
      </c>
      <c r="O47" s="11">
        <f t="shared" si="4"/>
        <v>0</v>
      </c>
      <c r="P47" s="20">
        <v>137940</v>
      </c>
      <c r="Q47" s="11">
        <f t="shared" si="6"/>
        <v>0</v>
      </c>
      <c r="R47" s="11">
        <f t="shared" si="7"/>
        <v>143200</v>
      </c>
      <c r="S47" s="15">
        <f t="shared" si="8"/>
        <v>143200</v>
      </c>
      <c r="T47" s="16"/>
      <c r="U47" s="13"/>
      <c r="V47" s="16"/>
      <c r="W47" s="16">
        <v>45177</v>
      </c>
      <c r="X47" s="103" t="s">
        <v>464</v>
      </c>
      <c r="Y47" s="14" t="s">
        <v>48</v>
      </c>
      <c r="AA47" s="14"/>
      <c r="AB47" s="14"/>
      <c r="AD47" s="80" t="s">
        <v>394</v>
      </c>
      <c r="AE47" s="61"/>
      <c r="AF47" s="61"/>
      <c r="AG47" s="61"/>
      <c r="AH47" s="60">
        <v>652000</v>
      </c>
      <c r="AI47" s="60">
        <v>438012</v>
      </c>
      <c r="AJ47" s="60"/>
      <c r="AL47" s="61" t="s">
        <v>410</v>
      </c>
    </row>
    <row r="48" spans="1:38" x14ac:dyDescent="0.25">
      <c r="A48" s="18" t="s">
        <v>260</v>
      </c>
      <c r="B48" s="14" t="s">
        <v>234</v>
      </c>
      <c r="C48" s="2" t="s">
        <v>221</v>
      </c>
      <c r="D48" s="14">
        <v>184</v>
      </c>
      <c r="E48" s="14"/>
      <c r="F48" s="14" t="s">
        <v>63</v>
      </c>
      <c r="G48" s="14" t="s">
        <v>210</v>
      </c>
      <c r="H48" s="61" t="s">
        <v>365</v>
      </c>
      <c r="I48" s="11">
        <v>0</v>
      </c>
      <c r="J48" s="11">
        <f>ROUND(I48/128.6*137.2,0)</f>
        <v>0</v>
      </c>
      <c r="K48" s="23">
        <f>ROUND(J48/137.2*147.5,0)</f>
        <v>0</v>
      </c>
      <c r="L48" s="11">
        <f>ROUND(K48/147.5*154.9,0)</f>
        <v>0</v>
      </c>
      <c r="M48" s="11">
        <f>ROUND(L48/154.9*163.4,0)</f>
        <v>0</v>
      </c>
      <c r="N48" s="15">
        <v>706150</v>
      </c>
      <c r="O48" s="11">
        <f>ROUND(M48/163.4*175.3,0)</f>
        <v>0</v>
      </c>
      <c r="P48" s="20">
        <v>951605</v>
      </c>
      <c r="Q48" s="11">
        <f t="shared" si="6"/>
        <v>0</v>
      </c>
      <c r="R48" s="11">
        <f t="shared" si="7"/>
        <v>988100</v>
      </c>
      <c r="S48" s="15">
        <f t="shared" si="8"/>
        <v>988100</v>
      </c>
      <c r="T48" s="16"/>
      <c r="U48" s="13"/>
      <c r="V48" s="16"/>
      <c r="W48" s="16">
        <v>45177</v>
      </c>
      <c r="X48" s="103" t="s">
        <v>464</v>
      </c>
      <c r="Y48" s="14" t="s">
        <v>48</v>
      </c>
      <c r="AA48" s="14"/>
      <c r="AB48" s="14"/>
      <c r="AD48" s="109"/>
      <c r="AE48" s="68"/>
      <c r="AF48" s="68"/>
      <c r="AG48" s="68"/>
      <c r="AH48" s="60">
        <v>642001</v>
      </c>
      <c r="AI48" s="60">
        <v>438012</v>
      </c>
      <c r="AJ48" s="60"/>
      <c r="AL48" s="61" t="s">
        <v>407</v>
      </c>
    </row>
    <row r="49" spans="1:38" ht="25.5" x14ac:dyDescent="0.25">
      <c r="A49" s="18" t="s">
        <v>265</v>
      </c>
      <c r="B49" s="14" t="s">
        <v>225</v>
      </c>
      <c r="C49" s="2" t="s">
        <v>181</v>
      </c>
      <c r="D49" s="13" t="s">
        <v>86</v>
      </c>
      <c r="E49" s="14"/>
      <c r="F49" s="14" t="s">
        <v>64</v>
      </c>
      <c r="G49" s="14" t="s">
        <v>210</v>
      </c>
      <c r="H49" s="61" t="s">
        <v>482</v>
      </c>
      <c r="I49" s="11">
        <v>747156</v>
      </c>
      <c r="J49" s="11">
        <f>ROUND(I49/128.6*137.2,0)</f>
        <v>797121</v>
      </c>
      <c r="K49" s="23">
        <f t="shared" si="13"/>
        <v>856963</v>
      </c>
      <c r="L49" s="23">
        <f t="shared" si="2"/>
        <v>899956</v>
      </c>
      <c r="M49" s="11">
        <v>950000</v>
      </c>
      <c r="N49" s="15"/>
      <c r="O49" s="11">
        <f t="shared" ref="O49" si="34">M49</f>
        <v>950000</v>
      </c>
      <c r="P49" s="11">
        <f t="shared" si="5"/>
        <v>0</v>
      </c>
      <c r="Q49" s="11">
        <f t="shared" si="6"/>
        <v>993300</v>
      </c>
      <c r="R49" s="11">
        <f t="shared" si="7"/>
        <v>0</v>
      </c>
      <c r="S49" s="15">
        <f t="shared" si="8"/>
        <v>993300</v>
      </c>
      <c r="T49" s="16">
        <v>45041</v>
      </c>
      <c r="U49" s="106" t="s">
        <v>434</v>
      </c>
      <c r="V49" s="14" t="s">
        <v>48</v>
      </c>
      <c r="W49" s="16"/>
      <c r="X49" s="103"/>
      <c r="Y49" s="14"/>
      <c r="AA49" s="14" t="s">
        <v>247</v>
      </c>
      <c r="AB49" s="14" t="s">
        <v>208</v>
      </c>
      <c r="AD49" s="80" t="s">
        <v>394</v>
      </c>
      <c r="AE49" s="61"/>
      <c r="AF49" s="61"/>
      <c r="AG49" s="61"/>
      <c r="AH49" s="60">
        <v>652002</v>
      </c>
      <c r="AI49" s="60">
        <v>438012</v>
      </c>
      <c r="AJ49" s="60"/>
      <c r="AL49" s="61" t="s">
        <v>410</v>
      </c>
    </row>
    <row r="50" spans="1:38" x14ac:dyDescent="0.2">
      <c r="A50" s="18" t="s">
        <v>272</v>
      </c>
      <c r="B50" s="14" t="s">
        <v>66</v>
      </c>
      <c r="C50" s="2" t="s">
        <v>431</v>
      </c>
      <c r="D50" s="14">
        <v>11</v>
      </c>
      <c r="E50" s="14"/>
      <c r="F50" s="14" t="s">
        <v>449</v>
      </c>
      <c r="G50" s="14" t="s">
        <v>210</v>
      </c>
      <c r="H50" s="71" t="s">
        <v>71</v>
      </c>
      <c r="I50" s="11">
        <v>791793</v>
      </c>
      <c r="J50" s="11">
        <f t="shared" si="12"/>
        <v>844743</v>
      </c>
      <c r="K50" s="23">
        <f t="shared" si="13"/>
        <v>908160</v>
      </c>
      <c r="L50" s="23">
        <f t="shared" si="2"/>
        <v>953722</v>
      </c>
      <c r="M50" s="11">
        <v>1125000</v>
      </c>
      <c r="N50" s="15"/>
      <c r="O50" s="11">
        <f t="shared" ref="O50:O51" si="35">M50</f>
        <v>1125000</v>
      </c>
      <c r="P50" s="11">
        <f t="shared" si="5"/>
        <v>0</v>
      </c>
      <c r="Q50" s="11">
        <f t="shared" si="6"/>
        <v>1176300</v>
      </c>
      <c r="R50" s="11">
        <f t="shared" si="7"/>
        <v>0</v>
      </c>
      <c r="S50" s="15">
        <f t="shared" si="8"/>
        <v>1176300</v>
      </c>
      <c r="T50" s="16">
        <v>45041</v>
      </c>
      <c r="U50" s="104" t="s">
        <v>432</v>
      </c>
      <c r="V50" s="14" t="s">
        <v>48</v>
      </c>
      <c r="W50" s="16"/>
      <c r="X50" s="103"/>
      <c r="Y50" s="14"/>
      <c r="AA50" s="14"/>
      <c r="AB50" s="14" t="s">
        <v>208</v>
      </c>
      <c r="AD50" s="112" t="s">
        <v>393</v>
      </c>
      <c r="AE50" s="71"/>
      <c r="AF50" s="71"/>
      <c r="AG50" s="71"/>
      <c r="AH50" s="85">
        <v>643003</v>
      </c>
      <c r="AI50" s="60">
        <v>438012</v>
      </c>
      <c r="AJ50" s="85">
        <v>2014</v>
      </c>
      <c r="AL50" s="71" t="s">
        <v>413</v>
      </c>
    </row>
    <row r="51" spans="1:38" ht="12.75" customHeight="1" x14ac:dyDescent="0.2">
      <c r="A51" s="18" t="s">
        <v>272</v>
      </c>
      <c r="B51" s="14" t="s">
        <v>70</v>
      </c>
      <c r="C51" s="2" t="s">
        <v>431</v>
      </c>
      <c r="D51" s="14">
        <v>9</v>
      </c>
      <c r="E51" s="14"/>
      <c r="F51" s="14" t="s">
        <v>449</v>
      </c>
      <c r="G51" s="14" t="s">
        <v>210</v>
      </c>
      <c r="H51" s="61" t="s">
        <v>67</v>
      </c>
      <c r="I51" s="11">
        <v>1969387</v>
      </c>
      <c r="J51" s="11">
        <f t="shared" si="12"/>
        <v>2101088</v>
      </c>
      <c r="K51" s="23">
        <f t="shared" si="13"/>
        <v>2258823</v>
      </c>
      <c r="L51" s="23">
        <f t="shared" si="2"/>
        <v>2372147</v>
      </c>
      <c r="M51" s="11">
        <v>2950000</v>
      </c>
      <c r="N51" s="15"/>
      <c r="O51" s="11">
        <f t="shared" si="35"/>
        <v>2950000</v>
      </c>
      <c r="P51" s="11">
        <f t="shared" si="5"/>
        <v>0</v>
      </c>
      <c r="Q51" s="11">
        <f t="shared" si="6"/>
        <v>3084400</v>
      </c>
      <c r="R51" s="11">
        <f t="shared" si="7"/>
        <v>0</v>
      </c>
      <c r="S51" s="15">
        <f t="shared" si="8"/>
        <v>3084400</v>
      </c>
      <c r="T51" s="16">
        <v>45041</v>
      </c>
      <c r="U51" s="104" t="s">
        <v>433</v>
      </c>
      <c r="V51" s="14" t="s">
        <v>48</v>
      </c>
      <c r="W51" s="16"/>
      <c r="X51" s="103"/>
      <c r="Y51" s="14"/>
      <c r="AA51" s="14"/>
      <c r="AB51" s="14" t="s">
        <v>208</v>
      </c>
      <c r="AD51" s="80"/>
      <c r="AE51" s="61"/>
      <c r="AF51" s="61"/>
      <c r="AG51" s="61"/>
      <c r="AH51" s="85">
        <v>643003</v>
      </c>
      <c r="AI51" s="60">
        <v>438012</v>
      </c>
      <c r="AJ51" s="60">
        <v>2015</v>
      </c>
      <c r="AL51" s="61" t="s">
        <v>414</v>
      </c>
    </row>
    <row r="52" spans="1:38" ht="25.5" x14ac:dyDescent="0.25">
      <c r="A52" s="18" t="s">
        <v>261</v>
      </c>
      <c r="B52" s="14" t="s">
        <v>235</v>
      </c>
      <c r="C52" s="2" t="s">
        <v>65</v>
      </c>
      <c r="D52" s="14">
        <v>620</v>
      </c>
      <c r="E52" s="14" t="s">
        <v>20</v>
      </c>
      <c r="F52" s="14" t="s">
        <v>68</v>
      </c>
      <c r="G52" s="14" t="s">
        <v>210</v>
      </c>
      <c r="H52" s="61" t="s">
        <v>483</v>
      </c>
      <c r="I52" s="11">
        <v>161153</v>
      </c>
      <c r="J52" s="11">
        <v>200000</v>
      </c>
      <c r="K52" s="11">
        <f t="shared" ref="K52" si="36">ROUND(J52/145.8*147.5,0)</f>
        <v>202332</v>
      </c>
      <c r="L52" s="23">
        <f t="shared" si="2"/>
        <v>212483</v>
      </c>
      <c r="M52" s="11">
        <f t="shared" ref="M52" si="37">ROUND(L52/154.9*163.4,0)</f>
        <v>224143</v>
      </c>
      <c r="N52" s="15"/>
      <c r="O52" s="11">
        <f t="shared" ref="O52" si="38">ROUND(M52/163.4*175.3,0)</f>
        <v>240467</v>
      </c>
      <c r="P52" s="11">
        <f t="shared" si="5"/>
        <v>0</v>
      </c>
      <c r="Q52" s="11">
        <f t="shared" si="6"/>
        <v>251400</v>
      </c>
      <c r="R52" s="11">
        <f t="shared" si="7"/>
        <v>0</v>
      </c>
      <c r="S52" s="15">
        <f t="shared" si="8"/>
        <v>251400</v>
      </c>
      <c r="T52" s="16">
        <v>43976</v>
      </c>
      <c r="U52" s="13" t="s">
        <v>327</v>
      </c>
      <c r="V52" s="14" t="s">
        <v>48</v>
      </c>
      <c r="W52" s="16"/>
      <c r="X52" s="103"/>
      <c r="Y52" s="14"/>
      <c r="AA52" s="14"/>
      <c r="AB52" s="14" t="s">
        <v>208</v>
      </c>
      <c r="AD52" s="92"/>
      <c r="AE52" s="60"/>
      <c r="AF52" s="60"/>
      <c r="AG52" s="60"/>
      <c r="AH52" s="85">
        <v>643003</v>
      </c>
      <c r="AI52" s="60">
        <v>438012</v>
      </c>
      <c r="AJ52" s="60">
        <v>2014</v>
      </c>
      <c r="AL52" s="61" t="s">
        <v>415</v>
      </c>
    </row>
    <row r="53" spans="1:38" ht="25.5" x14ac:dyDescent="0.25">
      <c r="A53" s="18" t="s">
        <v>261</v>
      </c>
      <c r="B53" s="14" t="s">
        <v>236</v>
      </c>
      <c r="C53" s="2" t="s">
        <v>65</v>
      </c>
      <c r="D53" s="14">
        <v>620</v>
      </c>
      <c r="E53" s="14" t="s">
        <v>69</v>
      </c>
      <c r="F53" s="14" t="s">
        <v>68</v>
      </c>
      <c r="G53" s="14" t="s">
        <v>210</v>
      </c>
      <c r="H53" s="61" t="s">
        <v>250</v>
      </c>
      <c r="I53" s="11">
        <v>171896</v>
      </c>
      <c r="J53" s="11">
        <v>200000</v>
      </c>
      <c r="K53" s="11">
        <f t="shared" ref="K53" si="39">ROUND(J53/145.8*147.5,0)</f>
        <v>202332</v>
      </c>
      <c r="L53" s="23">
        <f t="shared" si="2"/>
        <v>212483</v>
      </c>
      <c r="M53" s="11">
        <f t="shared" si="26"/>
        <v>224143</v>
      </c>
      <c r="N53" s="15"/>
      <c r="O53" s="11">
        <f t="shared" si="4"/>
        <v>240467</v>
      </c>
      <c r="P53" s="11">
        <f t="shared" si="5"/>
        <v>0</v>
      </c>
      <c r="Q53" s="11">
        <f t="shared" si="6"/>
        <v>251400</v>
      </c>
      <c r="R53" s="11">
        <f t="shared" si="7"/>
        <v>0</v>
      </c>
      <c r="S53" s="15">
        <f t="shared" si="8"/>
        <v>251400</v>
      </c>
      <c r="T53" s="16">
        <v>43976</v>
      </c>
      <c r="U53" s="13" t="s">
        <v>326</v>
      </c>
      <c r="V53" s="14" t="s">
        <v>48</v>
      </c>
      <c r="W53" s="16"/>
      <c r="X53" s="103"/>
      <c r="Y53" s="14"/>
      <c r="AA53" s="14"/>
      <c r="AB53" s="14" t="s">
        <v>208</v>
      </c>
      <c r="AD53" s="92"/>
      <c r="AE53" s="60"/>
      <c r="AF53" s="60"/>
      <c r="AG53" s="60"/>
      <c r="AH53" s="85">
        <v>643003</v>
      </c>
      <c r="AI53" s="60">
        <v>438012</v>
      </c>
      <c r="AJ53" s="60">
        <v>2014</v>
      </c>
      <c r="AL53" s="61" t="s">
        <v>415</v>
      </c>
    </row>
    <row r="54" spans="1:38" x14ac:dyDescent="0.25">
      <c r="A54" s="18" t="s">
        <v>263</v>
      </c>
      <c r="B54" s="21" t="s">
        <v>72</v>
      </c>
      <c r="C54" s="2" t="s">
        <v>182</v>
      </c>
      <c r="D54" s="14">
        <v>23</v>
      </c>
      <c r="E54" s="14"/>
      <c r="F54" s="14" t="s">
        <v>73</v>
      </c>
      <c r="G54" s="14" t="s">
        <v>210</v>
      </c>
      <c r="H54" s="60" t="s">
        <v>366</v>
      </c>
      <c r="I54" s="11">
        <v>2323961</v>
      </c>
      <c r="J54" s="11">
        <f>2960000*1.21</f>
        <v>3581600</v>
      </c>
      <c r="K54" s="11">
        <f>ROUND(J54/135.6*147.5,0)</f>
        <v>3895914</v>
      </c>
      <c r="L54" s="23">
        <f t="shared" si="2"/>
        <v>4091370</v>
      </c>
      <c r="M54" s="11">
        <f t="shared" si="26"/>
        <v>4315880</v>
      </c>
      <c r="N54" s="15">
        <v>461900</v>
      </c>
      <c r="O54" s="11">
        <f t="shared" si="4"/>
        <v>4630194</v>
      </c>
      <c r="P54" s="20">
        <v>732171</v>
      </c>
      <c r="Q54" s="11">
        <f t="shared" si="6"/>
        <v>4841200</v>
      </c>
      <c r="R54" s="11">
        <f t="shared" si="7"/>
        <v>760300</v>
      </c>
      <c r="S54" s="15">
        <f t="shared" si="8"/>
        <v>5601500</v>
      </c>
      <c r="T54" s="16">
        <v>43628</v>
      </c>
      <c r="U54" s="13">
        <v>241176001</v>
      </c>
      <c r="V54" s="14" t="s">
        <v>48</v>
      </c>
      <c r="W54" s="16">
        <v>45177</v>
      </c>
      <c r="X54" s="103" t="s">
        <v>464</v>
      </c>
      <c r="Y54" s="14" t="s">
        <v>48</v>
      </c>
      <c r="AA54" s="22" t="s">
        <v>348</v>
      </c>
      <c r="AB54" s="14" t="s">
        <v>304</v>
      </c>
      <c r="AD54" s="108"/>
      <c r="AE54" s="65"/>
      <c r="AF54" s="65"/>
      <c r="AG54" s="65"/>
      <c r="AH54" s="60">
        <v>642000</v>
      </c>
      <c r="AI54" s="60">
        <v>438012</v>
      </c>
      <c r="AJ54" s="60"/>
      <c r="AL54" s="60" t="s">
        <v>407</v>
      </c>
    </row>
    <row r="55" spans="1:38" ht="25.5" x14ac:dyDescent="0.25">
      <c r="A55" s="18" t="s">
        <v>262</v>
      </c>
      <c r="B55" s="14" t="s">
        <v>74</v>
      </c>
      <c r="C55" s="2" t="s">
        <v>183</v>
      </c>
      <c r="D55" s="14">
        <v>2</v>
      </c>
      <c r="E55" s="14"/>
      <c r="F55" s="14" t="s">
        <v>75</v>
      </c>
      <c r="G55" s="14" t="s">
        <v>210</v>
      </c>
      <c r="H55" s="61" t="s">
        <v>484</v>
      </c>
      <c r="I55" s="11">
        <v>759909</v>
      </c>
      <c r="J55" s="11">
        <f t="shared" ref="J55" si="40">ROUND(I55/128.6*137.2,0)</f>
        <v>810727</v>
      </c>
      <c r="K55" s="23">
        <f t="shared" ref="K55" si="41">ROUND(J55/137.2*147.5,0)</f>
        <v>871591</v>
      </c>
      <c r="L55" s="23">
        <f t="shared" si="2"/>
        <v>915318</v>
      </c>
      <c r="M55" s="20">
        <v>700000</v>
      </c>
      <c r="N55" s="15"/>
      <c r="O55" s="11">
        <f>M55</f>
        <v>700000</v>
      </c>
      <c r="P55" s="11">
        <f t="shared" ref="P55:P56" si="42">ROUND(N55/111.7*122.5,0)</f>
        <v>0</v>
      </c>
      <c r="Q55" s="11">
        <f t="shared" si="6"/>
        <v>731900</v>
      </c>
      <c r="R55" s="11">
        <f t="shared" si="7"/>
        <v>0</v>
      </c>
      <c r="S55" s="15">
        <f t="shared" si="8"/>
        <v>731900</v>
      </c>
      <c r="T55" s="103">
        <v>45040</v>
      </c>
      <c r="U55" s="86" t="s">
        <v>434</v>
      </c>
      <c r="V55" s="14"/>
      <c r="W55" s="14"/>
      <c r="X55" s="13"/>
      <c r="Y55" s="14"/>
      <c r="Z55" s="19"/>
      <c r="AA55" s="14"/>
      <c r="AB55" s="14" t="s">
        <v>208</v>
      </c>
      <c r="AD55" s="80"/>
      <c r="AE55" s="61"/>
      <c r="AF55" s="61"/>
      <c r="AG55" s="61"/>
      <c r="AH55" s="60">
        <v>603000</v>
      </c>
      <c r="AI55" s="60">
        <v>438012</v>
      </c>
      <c r="AJ55" s="60">
        <v>2017</v>
      </c>
      <c r="AL55" s="61" t="s">
        <v>412</v>
      </c>
    </row>
    <row r="56" spans="1:38" x14ac:dyDescent="0.25">
      <c r="A56" s="18" t="s">
        <v>262</v>
      </c>
      <c r="B56" s="21" t="s">
        <v>76</v>
      </c>
      <c r="C56" s="2" t="s">
        <v>184</v>
      </c>
      <c r="D56" s="14">
        <v>70</v>
      </c>
      <c r="E56" s="14"/>
      <c r="F56" s="14" t="s">
        <v>77</v>
      </c>
      <c r="G56" s="14" t="s">
        <v>210</v>
      </c>
      <c r="H56" s="60" t="s">
        <v>485</v>
      </c>
      <c r="I56" s="11">
        <v>139660</v>
      </c>
      <c r="J56" s="11">
        <f>160000*1.21</f>
        <v>193600</v>
      </c>
      <c r="K56" s="11">
        <f>ROUND(J56/135.6*147.5,0)</f>
        <v>210590</v>
      </c>
      <c r="L56" s="23">
        <f t="shared" si="2"/>
        <v>221155</v>
      </c>
      <c r="M56" s="11">
        <f t="shared" ref="M56" si="43">ROUND(L56/154.9*163.4,0)</f>
        <v>233291</v>
      </c>
      <c r="N56" s="15"/>
      <c r="O56" s="11">
        <f t="shared" ref="O56" si="44">ROUND(M56/163.4*175.3,0)</f>
        <v>250281</v>
      </c>
      <c r="P56" s="11">
        <f t="shared" si="42"/>
        <v>0</v>
      </c>
      <c r="Q56" s="11">
        <f t="shared" si="6"/>
        <v>261700</v>
      </c>
      <c r="R56" s="11">
        <f t="shared" si="7"/>
        <v>0</v>
      </c>
      <c r="S56" s="15">
        <f t="shared" si="8"/>
        <v>261700</v>
      </c>
      <c r="T56" s="16">
        <v>43628</v>
      </c>
      <c r="U56" s="13">
        <v>241176001</v>
      </c>
      <c r="V56" s="14" t="s">
        <v>48</v>
      </c>
      <c r="W56" s="14"/>
      <c r="X56" s="13"/>
      <c r="Y56" s="14"/>
      <c r="AA56" s="22" t="s">
        <v>348</v>
      </c>
      <c r="AB56" s="14" t="s">
        <v>304</v>
      </c>
      <c r="AD56" s="92"/>
      <c r="AE56" s="60"/>
      <c r="AF56" s="60"/>
      <c r="AG56" s="60"/>
      <c r="AH56" s="60">
        <v>603000</v>
      </c>
      <c r="AI56" s="60">
        <v>438012</v>
      </c>
      <c r="AJ56" s="60">
        <v>2019</v>
      </c>
      <c r="AL56" s="60"/>
    </row>
    <row r="57" spans="1:38" x14ac:dyDescent="0.25">
      <c r="A57" s="18" t="s">
        <v>274</v>
      </c>
      <c r="B57" s="14" t="s">
        <v>80</v>
      </c>
      <c r="C57" s="2" t="s">
        <v>78</v>
      </c>
      <c r="D57" s="14">
        <v>1</v>
      </c>
      <c r="E57" s="14"/>
      <c r="F57" s="14" t="s">
        <v>158</v>
      </c>
      <c r="G57" s="14" t="s">
        <v>210</v>
      </c>
      <c r="H57" s="60" t="s">
        <v>472</v>
      </c>
      <c r="I57" s="11">
        <v>166525</v>
      </c>
      <c r="J57" s="11">
        <v>185000</v>
      </c>
      <c r="K57" s="11">
        <f t="shared" ref="K57" si="45">ROUND(J57/145.8*147.5,0)</f>
        <v>187157</v>
      </c>
      <c r="L57" s="23">
        <f t="shared" si="2"/>
        <v>196547</v>
      </c>
      <c r="M57" s="11">
        <f t="shared" si="26"/>
        <v>207332</v>
      </c>
      <c r="N57" s="15">
        <v>45000</v>
      </c>
      <c r="O57" s="11">
        <f t="shared" si="4"/>
        <v>222431</v>
      </c>
      <c r="P57" s="20">
        <v>57402</v>
      </c>
      <c r="Q57" s="11">
        <f t="shared" si="6"/>
        <v>232600</v>
      </c>
      <c r="R57" s="11">
        <f t="shared" si="7"/>
        <v>59600</v>
      </c>
      <c r="S57" s="15">
        <f t="shared" si="8"/>
        <v>292200</v>
      </c>
      <c r="T57" s="16">
        <v>43965</v>
      </c>
      <c r="U57" s="13" t="s">
        <v>332</v>
      </c>
      <c r="V57" s="14" t="s">
        <v>48</v>
      </c>
      <c r="W57" s="16">
        <v>45177</v>
      </c>
      <c r="X57" s="103" t="s">
        <v>464</v>
      </c>
      <c r="Y57" s="14" t="s">
        <v>48</v>
      </c>
      <c r="AA57" s="14"/>
      <c r="AB57" s="14" t="s">
        <v>208</v>
      </c>
      <c r="AD57" s="92"/>
      <c r="AE57" s="60"/>
      <c r="AF57" s="60"/>
      <c r="AG57" s="60"/>
      <c r="AH57" s="60">
        <v>675000</v>
      </c>
      <c r="AI57" s="60">
        <v>438012</v>
      </c>
      <c r="AJ57" s="60"/>
      <c r="AL57" s="92" t="s">
        <v>406</v>
      </c>
    </row>
    <row r="58" spans="1:38" x14ac:dyDescent="0.25">
      <c r="A58" s="18" t="s">
        <v>274</v>
      </c>
      <c r="B58" s="14" t="s">
        <v>81</v>
      </c>
      <c r="C58" s="2" t="s">
        <v>78</v>
      </c>
      <c r="D58" s="14">
        <v>4</v>
      </c>
      <c r="E58" s="14"/>
      <c r="F58" s="14" t="s">
        <v>158</v>
      </c>
      <c r="G58" s="14" t="s">
        <v>210</v>
      </c>
      <c r="H58" s="60" t="s">
        <v>82</v>
      </c>
      <c r="I58" s="11">
        <v>966917</v>
      </c>
      <c r="J58" s="11">
        <v>1100000</v>
      </c>
      <c r="K58" s="11">
        <f t="shared" ref="K58:K60" si="46">ROUND(J58/145.8*147.5,0)</f>
        <v>1112826</v>
      </c>
      <c r="L58" s="23">
        <f t="shared" si="2"/>
        <v>1168656</v>
      </c>
      <c r="M58" s="11">
        <f t="shared" si="26"/>
        <v>1232785</v>
      </c>
      <c r="N58" s="15">
        <v>19600</v>
      </c>
      <c r="O58" s="11">
        <f t="shared" si="4"/>
        <v>1322566</v>
      </c>
      <c r="P58" s="11">
        <f t="shared" si="5"/>
        <v>21495</v>
      </c>
      <c r="Q58" s="11">
        <f t="shared" si="6"/>
        <v>1382800</v>
      </c>
      <c r="R58" s="11">
        <f t="shared" si="7"/>
        <v>22300</v>
      </c>
      <c r="S58" s="15">
        <f t="shared" si="8"/>
        <v>1405100</v>
      </c>
      <c r="T58" s="16">
        <v>43965</v>
      </c>
      <c r="U58" s="13" t="s">
        <v>336</v>
      </c>
      <c r="V58" s="14" t="s">
        <v>48</v>
      </c>
      <c r="W58" s="126" t="s">
        <v>479</v>
      </c>
      <c r="X58" s="103"/>
      <c r="Y58" s="14"/>
      <c r="AA58" s="14"/>
      <c r="AB58" s="14" t="s">
        <v>208</v>
      </c>
      <c r="AD58" s="92"/>
      <c r="AE58" s="60"/>
      <c r="AF58" s="60"/>
      <c r="AG58" s="60"/>
      <c r="AH58" s="60">
        <v>675000</v>
      </c>
      <c r="AI58" s="60">
        <v>438012</v>
      </c>
      <c r="AJ58" s="60"/>
      <c r="AL58" s="92" t="s">
        <v>406</v>
      </c>
    </row>
    <row r="59" spans="1:38" x14ac:dyDescent="0.25">
      <c r="A59" s="18" t="s">
        <v>274</v>
      </c>
      <c r="B59" s="14" t="s">
        <v>83</v>
      </c>
      <c r="C59" s="2" t="s">
        <v>78</v>
      </c>
      <c r="D59" s="14">
        <v>7</v>
      </c>
      <c r="E59" s="14"/>
      <c r="F59" s="14" t="s">
        <v>158</v>
      </c>
      <c r="G59" s="14" t="s">
        <v>210</v>
      </c>
      <c r="H59" s="60" t="s">
        <v>147</v>
      </c>
      <c r="I59" s="11">
        <v>182639</v>
      </c>
      <c r="J59" s="11">
        <v>200000</v>
      </c>
      <c r="K59" s="11">
        <f t="shared" si="46"/>
        <v>202332</v>
      </c>
      <c r="L59" s="23">
        <f t="shared" si="2"/>
        <v>212483</v>
      </c>
      <c r="M59" s="11">
        <f t="shared" si="26"/>
        <v>224143</v>
      </c>
      <c r="N59" s="15"/>
      <c r="O59" s="11">
        <f t="shared" si="4"/>
        <v>240467</v>
      </c>
      <c r="P59" s="11">
        <f t="shared" si="5"/>
        <v>0</v>
      </c>
      <c r="Q59" s="11">
        <f t="shared" si="6"/>
        <v>251400</v>
      </c>
      <c r="R59" s="11">
        <f t="shared" si="7"/>
        <v>0</v>
      </c>
      <c r="S59" s="15">
        <f t="shared" si="8"/>
        <v>251400</v>
      </c>
      <c r="T59" s="16">
        <v>43965</v>
      </c>
      <c r="U59" s="13" t="s">
        <v>329</v>
      </c>
      <c r="V59" s="14" t="s">
        <v>48</v>
      </c>
      <c r="W59" s="16"/>
      <c r="X59" s="103"/>
      <c r="Y59" s="14"/>
      <c r="AA59" s="14"/>
      <c r="AB59" s="14" t="s">
        <v>208</v>
      </c>
      <c r="AD59" s="92"/>
      <c r="AE59" s="60"/>
      <c r="AF59" s="60"/>
      <c r="AG59" s="60"/>
      <c r="AH59" s="60">
        <v>675000</v>
      </c>
      <c r="AI59" s="60">
        <v>438012</v>
      </c>
      <c r="AJ59" s="60"/>
      <c r="AL59" s="92" t="s">
        <v>406</v>
      </c>
    </row>
    <row r="60" spans="1:38" x14ac:dyDescent="0.25">
      <c r="A60" s="18" t="s">
        <v>274</v>
      </c>
      <c r="B60" s="14" t="s">
        <v>78</v>
      </c>
      <c r="C60" s="2" t="s">
        <v>78</v>
      </c>
      <c r="D60" s="14"/>
      <c r="E60" s="14"/>
      <c r="F60" s="14" t="s">
        <v>158</v>
      </c>
      <c r="G60" s="14" t="s">
        <v>210</v>
      </c>
      <c r="H60" s="60" t="s">
        <v>79</v>
      </c>
      <c r="I60" s="11">
        <v>26858</v>
      </c>
      <c r="J60" s="11">
        <v>35000</v>
      </c>
      <c r="K60" s="11">
        <f t="shared" si="46"/>
        <v>35408</v>
      </c>
      <c r="L60" s="23">
        <f t="shared" si="2"/>
        <v>37184</v>
      </c>
      <c r="M60" s="11">
        <f t="shared" si="26"/>
        <v>39224</v>
      </c>
      <c r="N60" s="15"/>
      <c r="O60" s="11">
        <f t="shared" si="4"/>
        <v>42081</v>
      </c>
      <c r="P60" s="11">
        <f t="shared" si="5"/>
        <v>0</v>
      </c>
      <c r="Q60" s="11">
        <f t="shared" si="6"/>
        <v>44000</v>
      </c>
      <c r="R60" s="11">
        <f t="shared" si="7"/>
        <v>0</v>
      </c>
      <c r="S60" s="15">
        <f t="shared" si="8"/>
        <v>44000</v>
      </c>
      <c r="T60" s="16">
        <v>43965</v>
      </c>
      <c r="U60" s="13" t="s">
        <v>334</v>
      </c>
      <c r="V60" s="14" t="s">
        <v>48</v>
      </c>
      <c r="W60" s="16"/>
      <c r="X60" s="103"/>
      <c r="Y60" s="14"/>
      <c r="AA60" s="14"/>
      <c r="AB60" s="14"/>
      <c r="AD60" s="92"/>
      <c r="AE60" s="60"/>
      <c r="AF60" s="60"/>
      <c r="AG60" s="60"/>
      <c r="AH60" s="60">
        <v>675000</v>
      </c>
      <c r="AI60" s="60">
        <v>438012</v>
      </c>
      <c r="AJ60" s="60"/>
      <c r="AL60" s="92" t="s">
        <v>406</v>
      </c>
    </row>
    <row r="61" spans="1:38" x14ac:dyDescent="0.2">
      <c r="A61" s="18" t="s">
        <v>262</v>
      </c>
      <c r="B61" s="14" t="s">
        <v>84</v>
      </c>
      <c r="C61" s="2" t="s">
        <v>185</v>
      </c>
      <c r="D61" s="14">
        <v>39</v>
      </c>
      <c r="E61" s="14"/>
      <c r="F61" s="14" t="s">
        <v>159</v>
      </c>
      <c r="G61" s="14" t="s">
        <v>210</v>
      </c>
      <c r="H61" s="61" t="s">
        <v>367</v>
      </c>
      <c r="I61" s="11">
        <v>201933</v>
      </c>
      <c r="J61" s="11">
        <f t="shared" si="12"/>
        <v>215437</v>
      </c>
      <c r="K61" s="23">
        <f t="shared" si="13"/>
        <v>231610</v>
      </c>
      <c r="L61" s="23">
        <f t="shared" ref="L61:L107" si="47">ROUND(K61/147.5*154.9,0)</f>
        <v>243230</v>
      </c>
      <c r="M61" s="11">
        <v>215000</v>
      </c>
      <c r="N61" s="15"/>
      <c r="O61" s="11">
        <f t="shared" ref="O61" si="48">M61</f>
        <v>215000</v>
      </c>
      <c r="P61" s="11">
        <f t="shared" si="5"/>
        <v>0</v>
      </c>
      <c r="Q61" s="11">
        <f t="shared" si="6"/>
        <v>224800</v>
      </c>
      <c r="R61" s="11">
        <f t="shared" si="7"/>
        <v>0</v>
      </c>
      <c r="S61" s="15">
        <f t="shared" si="8"/>
        <v>224800</v>
      </c>
      <c r="T61" s="103">
        <v>45040</v>
      </c>
      <c r="U61" s="104" t="s">
        <v>439</v>
      </c>
      <c r="V61" s="14" t="s">
        <v>48</v>
      </c>
      <c r="W61" s="16"/>
      <c r="X61" s="103"/>
      <c r="Y61" s="14"/>
      <c r="AA61" s="14"/>
      <c r="AB61" s="14" t="s">
        <v>208</v>
      </c>
      <c r="AD61" s="80"/>
      <c r="AE61" s="61"/>
      <c r="AF61" s="61"/>
      <c r="AG61" s="61"/>
      <c r="AH61" s="60">
        <v>603000</v>
      </c>
      <c r="AI61" s="60">
        <v>438012</v>
      </c>
      <c r="AJ61" s="60">
        <v>2058</v>
      </c>
      <c r="AL61" s="92" t="s">
        <v>412</v>
      </c>
    </row>
    <row r="62" spans="1:38" x14ac:dyDescent="0.25">
      <c r="A62" s="18" t="s">
        <v>269</v>
      </c>
      <c r="B62" s="14" t="s">
        <v>237</v>
      </c>
      <c r="C62" s="2" t="s">
        <v>151</v>
      </c>
      <c r="D62" s="14">
        <v>21</v>
      </c>
      <c r="E62" s="14"/>
      <c r="F62" s="14" t="s">
        <v>87</v>
      </c>
      <c r="G62" s="14" t="s">
        <v>210</v>
      </c>
      <c r="H62" s="60" t="s">
        <v>316</v>
      </c>
      <c r="I62" s="11">
        <v>150834</v>
      </c>
      <c r="J62" s="11">
        <v>220000</v>
      </c>
      <c r="K62" s="11">
        <f>ROUND(J62/145.8*147.5,0)</f>
        <v>222565</v>
      </c>
      <c r="L62" s="23">
        <f t="shared" si="47"/>
        <v>233731</v>
      </c>
      <c r="M62" s="11">
        <f t="shared" ref="M62:M83" si="49">ROUND(L62/154.9*163.4,0)</f>
        <v>246557</v>
      </c>
      <c r="N62" s="15"/>
      <c r="O62" s="11">
        <f t="shared" ref="O62:O107" si="50">ROUND(M62/163.4*175.3,0)</f>
        <v>264513</v>
      </c>
      <c r="P62" s="11">
        <f t="shared" ref="P62:P107" si="51">ROUND(N62/111.7*122.5,0)</f>
        <v>0</v>
      </c>
      <c r="Q62" s="11">
        <f t="shared" si="6"/>
        <v>276600</v>
      </c>
      <c r="R62" s="11">
        <f t="shared" si="7"/>
        <v>0</v>
      </c>
      <c r="S62" s="15">
        <f t="shared" si="8"/>
        <v>276600</v>
      </c>
      <c r="T62" s="16">
        <v>43976</v>
      </c>
      <c r="U62" s="13" t="s">
        <v>317</v>
      </c>
      <c r="V62" s="14" t="s">
        <v>48</v>
      </c>
      <c r="W62" s="16"/>
      <c r="X62" s="103"/>
      <c r="Y62" s="14"/>
      <c r="AA62" s="14"/>
      <c r="AB62" s="14" t="s">
        <v>208</v>
      </c>
      <c r="AD62" s="92"/>
      <c r="AE62" s="60"/>
      <c r="AF62" s="60"/>
      <c r="AG62" s="60"/>
      <c r="AH62" s="60">
        <v>652002</v>
      </c>
      <c r="AI62" s="60">
        <v>438012</v>
      </c>
      <c r="AJ62" s="60">
        <v>11002</v>
      </c>
      <c r="AL62" s="92" t="s">
        <v>416</v>
      </c>
    </row>
    <row r="63" spans="1:38" x14ac:dyDescent="0.2">
      <c r="A63" s="18" t="s">
        <v>269</v>
      </c>
      <c r="B63" s="14" t="s">
        <v>238</v>
      </c>
      <c r="C63" s="2" t="s">
        <v>85</v>
      </c>
      <c r="D63" s="13">
        <v>63</v>
      </c>
      <c r="E63" s="14" t="s">
        <v>38</v>
      </c>
      <c r="F63" s="14" t="s">
        <v>214</v>
      </c>
      <c r="G63" s="14" t="s">
        <v>210</v>
      </c>
      <c r="H63" s="61" t="s">
        <v>160</v>
      </c>
      <c r="I63" s="11">
        <v>319906</v>
      </c>
      <c r="J63" s="11">
        <f t="shared" ref="J63:J101" si="52">ROUND(I63/128.6*137.2,0)</f>
        <v>341299</v>
      </c>
      <c r="K63" s="23">
        <f t="shared" ref="K63:K101" si="53">ROUND(J63/137.2*147.5,0)</f>
        <v>366921</v>
      </c>
      <c r="L63" s="23">
        <f t="shared" si="47"/>
        <v>385329</v>
      </c>
      <c r="M63" s="11">
        <v>450000</v>
      </c>
      <c r="N63" s="15"/>
      <c r="O63" s="11">
        <f t="shared" ref="O63:O65" si="54">M63</f>
        <v>450000</v>
      </c>
      <c r="P63" s="11">
        <f t="shared" si="51"/>
        <v>0</v>
      </c>
      <c r="Q63" s="11">
        <f t="shared" si="6"/>
        <v>470500</v>
      </c>
      <c r="R63" s="11">
        <f t="shared" si="7"/>
        <v>0</v>
      </c>
      <c r="S63" s="15">
        <f t="shared" si="8"/>
        <v>470500</v>
      </c>
      <c r="T63" s="16">
        <v>45041</v>
      </c>
      <c r="U63" s="104" t="s">
        <v>438</v>
      </c>
      <c r="V63" s="14" t="s">
        <v>48</v>
      </c>
      <c r="W63" s="16"/>
      <c r="X63" s="103"/>
      <c r="Y63" s="14"/>
      <c r="AA63" s="14"/>
      <c r="AB63" s="14" t="s">
        <v>208</v>
      </c>
      <c r="AD63" s="80" t="s">
        <v>393</v>
      </c>
      <c r="AE63" s="61"/>
      <c r="AF63" s="61"/>
      <c r="AG63" s="61"/>
      <c r="AH63" s="60">
        <v>652002</v>
      </c>
      <c r="AI63" s="60">
        <v>438012</v>
      </c>
      <c r="AJ63" s="60">
        <v>11002</v>
      </c>
      <c r="AL63" s="93" t="s">
        <v>417</v>
      </c>
    </row>
    <row r="64" spans="1:38" x14ac:dyDescent="0.2">
      <c r="A64" s="18" t="s">
        <v>261</v>
      </c>
      <c r="B64" s="14" t="s">
        <v>239</v>
      </c>
      <c r="C64" s="2" t="s">
        <v>88</v>
      </c>
      <c r="D64" s="13">
        <v>58</v>
      </c>
      <c r="E64" s="14">
        <v>-60</v>
      </c>
      <c r="F64" s="14" t="s">
        <v>89</v>
      </c>
      <c r="G64" s="14" t="s">
        <v>215</v>
      </c>
      <c r="H64" s="61" t="s">
        <v>216</v>
      </c>
      <c r="I64" s="11">
        <v>2404076</v>
      </c>
      <c r="J64" s="11">
        <f t="shared" si="52"/>
        <v>2564846</v>
      </c>
      <c r="K64" s="23">
        <f t="shared" si="53"/>
        <v>2757396</v>
      </c>
      <c r="L64" s="23">
        <f t="shared" si="47"/>
        <v>2895733</v>
      </c>
      <c r="M64" s="11">
        <v>3275000</v>
      </c>
      <c r="N64" s="15"/>
      <c r="O64" s="11">
        <f t="shared" si="54"/>
        <v>3275000</v>
      </c>
      <c r="P64" s="11">
        <f t="shared" si="51"/>
        <v>0</v>
      </c>
      <c r="Q64" s="11">
        <f t="shared" si="6"/>
        <v>3424200</v>
      </c>
      <c r="R64" s="11">
        <f t="shared" si="7"/>
        <v>0</v>
      </c>
      <c r="S64" s="15">
        <f t="shared" si="8"/>
        <v>3424200</v>
      </c>
      <c r="T64" s="16">
        <v>45041</v>
      </c>
      <c r="U64" s="104" t="s">
        <v>437</v>
      </c>
      <c r="V64" s="14" t="s">
        <v>48</v>
      </c>
      <c r="W64" s="16"/>
      <c r="X64" s="103"/>
      <c r="Y64" s="14"/>
      <c r="AA64" s="14"/>
      <c r="AB64" s="14" t="s">
        <v>208</v>
      </c>
      <c r="AD64" s="80"/>
      <c r="AE64" s="61"/>
      <c r="AF64" s="61"/>
      <c r="AG64" s="61"/>
      <c r="AH64" s="60">
        <v>603000</v>
      </c>
      <c r="AI64" s="60">
        <v>438012</v>
      </c>
      <c r="AJ64" s="60">
        <v>2025</v>
      </c>
      <c r="AL64" s="92" t="s">
        <v>412</v>
      </c>
    </row>
    <row r="65" spans="1:38" x14ac:dyDescent="0.2">
      <c r="A65" s="18" t="s">
        <v>260</v>
      </c>
      <c r="B65" s="14" t="s">
        <v>90</v>
      </c>
      <c r="C65" s="2" t="s">
        <v>186</v>
      </c>
      <c r="D65" s="14">
        <v>1</v>
      </c>
      <c r="E65" s="14"/>
      <c r="F65" s="14" t="s">
        <v>91</v>
      </c>
      <c r="G65" s="14" t="s">
        <v>210</v>
      </c>
      <c r="H65" s="61" t="s">
        <v>146</v>
      </c>
      <c r="I65" s="11">
        <v>1553828</v>
      </c>
      <c r="J65" s="11">
        <f t="shared" si="52"/>
        <v>1657739</v>
      </c>
      <c r="K65" s="23">
        <f t="shared" si="53"/>
        <v>1782190</v>
      </c>
      <c r="L65" s="23">
        <f t="shared" si="47"/>
        <v>1871602</v>
      </c>
      <c r="M65" s="11">
        <v>1950000</v>
      </c>
      <c r="N65" s="15">
        <v>252150</v>
      </c>
      <c r="O65" s="11">
        <f t="shared" si="54"/>
        <v>1950000</v>
      </c>
      <c r="P65" s="20">
        <v>429066</v>
      </c>
      <c r="Q65" s="11">
        <f t="shared" si="6"/>
        <v>2038800</v>
      </c>
      <c r="R65" s="11">
        <f t="shared" si="7"/>
        <v>445500</v>
      </c>
      <c r="S65" s="15">
        <f t="shared" si="8"/>
        <v>2484300</v>
      </c>
      <c r="T65" s="16">
        <v>45041</v>
      </c>
      <c r="U65" s="104" t="s">
        <v>436</v>
      </c>
      <c r="V65" s="14" t="s">
        <v>48</v>
      </c>
      <c r="W65" s="16">
        <v>45177</v>
      </c>
      <c r="X65" s="103" t="s">
        <v>464</v>
      </c>
      <c r="Y65" s="14" t="s">
        <v>48</v>
      </c>
      <c r="AA65" s="14"/>
      <c r="AB65" s="14" t="s">
        <v>208</v>
      </c>
      <c r="AD65" s="109"/>
      <c r="AE65" s="68"/>
      <c r="AF65" s="68"/>
      <c r="AG65" s="68"/>
      <c r="AH65" s="60">
        <v>642001</v>
      </c>
      <c r="AI65" s="60">
        <v>438012</v>
      </c>
      <c r="AJ65" s="60"/>
      <c r="AL65" s="92" t="s">
        <v>407</v>
      </c>
    </row>
    <row r="66" spans="1:38" x14ac:dyDescent="0.25">
      <c r="A66" s="18" t="s">
        <v>260</v>
      </c>
      <c r="B66" s="21" t="s">
        <v>92</v>
      </c>
      <c r="C66" s="2" t="s">
        <v>187</v>
      </c>
      <c r="D66" s="14">
        <v>1</v>
      </c>
      <c r="E66" s="14"/>
      <c r="F66" s="14" t="s">
        <v>93</v>
      </c>
      <c r="G66" s="14" t="s">
        <v>210</v>
      </c>
      <c r="H66" s="60" t="s">
        <v>386</v>
      </c>
      <c r="I66" s="11">
        <v>2100504</v>
      </c>
      <c r="J66" s="11">
        <f>2620000*1.21</f>
        <v>3170200</v>
      </c>
      <c r="K66" s="11">
        <f>ROUND(J66/135.6*147.5,0)</f>
        <v>3448411</v>
      </c>
      <c r="L66" s="23">
        <f t="shared" si="47"/>
        <v>3621416</v>
      </c>
      <c r="M66" s="11">
        <f t="shared" ref="M66" si="55">ROUND(L66/154.9*163.4,0)</f>
        <v>3820138</v>
      </c>
      <c r="N66" s="15">
        <v>392950</v>
      </c>
      <c r="O66" s="11">
        <f t="shared" ref="O66" si="56">ROUND(M66/163.4*175.3,0)</f>
        <v>4098349</v>
      </c>
      <c r="P66" s="20">
        <v>594594</v>
      </c>
      <c r="Q66" s="11">
        <f t="shared" si="6"/>
        <v>4285100</v>
      </c>
      <c r="R66" s="11">
        <f t="shared" si="7"/>
        <v>617400</v>
      </c>
      <c r="S66" s="15">
        <f t="shared" si="8"/>
        <v>4902500</v>
      </c>
      <c r="T66" s="16">
        <v>43628</v>
      </c>
      <c r="U66" s="13">
        <v>241176001</v>
      </c>
      <c r="V66" s="16" t="s">
        <v>14</v>
      </c>
      <c r="W66" s="16">
        <v>45177</v>
      </c>
      <c r="X66" s="103" t="s">
        <v>464</v>
      </c>
      <c r="Y66" s="14" t="s">
        <v>48</v>
      </c>
      <c r="AA66" s="22" t="s">
        <v>348</v>
      </c>
      <c r="AB66" s="14" t="s">
        <v>304</v>
      </c>
      <c r="AD66" s="92"/>
      <c r="AE66" s="60"/>
      <c r="AF66" s="60"/>
      <c r="AG66" s="60"/>
      <c r="AH66" s="60">
        <v>642001</v>
      </c>
      <c r="AI66" s="60">
        <v>438012</v>
      </c>
      <c r="AJ66" s="60"/>
      <c r="AL66" s="92" t="s">
        <v>407</v>
      </c>
    </row>
    <row r="67" spans="1:38" x14ac:dyDescent="0.25">
      <c r="C67" s="2" t="s">
        <v>188</v>
      </c>
      <c r="D67" s="14">
        <v>25</v>
      </c>
      <c r="E67" s="14" t="s">
        <v>343</v>
      </c>
      <c r="F67" s="14" t="s">
        <v>94</v>
      </c>
      <c r="G67" s="14" t="s">
        <v>210</v>
      </c>
      <c r="H67" s="60" t="s">
        <v>322</v>
      </c>
      <c r="I67" s="15"/>
      <c r="J67" s="15">
        <v>950000</v>
      </c>
      <c r="K67" s="11">
        <f t="shared" ref="K67" si="57">ROUND(J67/145.8*147.5,0)</f>
        <v>961077</v>
      </c>
      <c r="L67" s="23">
        <f t="shared" si="47"/>
        <v>1009294</v>
      </c>
      <c r="M67" s="11">
        <f t="shared" si="49"/>
        <v>1064678</v>
      </c>
      <c r="N67" s="15"/>
      <c r="O67" s="11">
        <f t="shared" si="50"/>
        <v>1142216</v>
      </c>
      <c r="P67" s="11">
        <f t="shared" si="51"/>
        <v>0</v>
      </c>
      <c r="Q67" s="11">
        <f t="shared" si="6"/>
        <v>1194300</v>
      </c>
      <c r="R67" s="11">
        <f t="shared" si="7"/>
        <v>0</v>
      </c>
      <c r="S67" s="15">
        <f t="shared" si="8"/>
        <v>1194300</v>
      </c>
      <c r="T67" s="16">
        <v>44012</v>
      </c>
      <c r="U67" s="13" t="s">
        <v>323</v>
      </c>
      <c r="V67" s="14" t="s">
        <v>48</v>
      </c>
      <c r="W67" s="14"/>
      <c r="X67" s="13"/>
      <c r="Y67" s="14"/>
      <c r="AA67" s="14"/>
      <c r="AB67" s="14" t="s">
        <v>208</v>
      </c>
      <c r="AD67" s="92" t="s">
        <v>394</v>
      </c>
      <c r="AE67" s="60"/>
      <c r="AF67" s="60"/>
      <c r="AG67" s="60"/>
      <c r="AH67" s="60">
        <v>652002</v>
      </c>
      <c r="AI67" s="60">
        <v>438012</v>
      </c>
      <c r="AJ67" s="60"/>
      <c r="AL67" s="93" t="s">
        <v>410</v>
      </c>
    </row>
    <row r="68" spans="1:38" x14ac:dyDescent="0.25">
      <c r="A68" s="18" t="s">
        <v>260</v>
      </c>
      <c r="B68" s="21" t="s">
        <v>140</v>
      </c>
      <c r="C68" s="2" t="s">
        <v>96</v>
      </c>
      <c r="D68" s="14">
        <v>2</v>
      </c>
      <c r="E68" s="14" t="s">
        <v>38</v>
      </c>
      <c r="F68" s="14" t="s">
        <v>95</v>
      </c>
      <c r="G68" s="14" t="s">
        <v>210</v>
      </c>
      <c r="H68" s="60" t="s">
        <v>368</v>
      </c>
      <c r="I68" s="11">
        <v>2668086</v>
      </c>
      <c r="J68" s="11">
        <f>2890000*1.21</f>
        <v>3496900</v>
      </c>
      <c r="K68" s="11">
        <f t="shared" ref="K68:K69" si="58">ROUND(J68/135.6*147.5,0)</f>
        <v>3803781</v>
      </c>
      <c r="L68" s="23">
        <f t="shared" si="47"/>
        <v>3994615</v>
      </c>
      <c r="M68" s="11">
        <f t="shared" si="49"/>
        <v>4213816</v>
      </c>
      <c r="N68" s="15">
        <v>430600</v>
      </c>
      <c r="O68" s="11">
        <f t="shared" si="50"/>
        <v>4520697</v>
      </c>
      <c r="P68" s="20">
        <v>646588</v>
      </c>
      <c r="Q68" s="11">
        <f t="shared" si="6"/>
        <v>4726700</v>
      </c>
      <c r="R68" s="11">
        <f t="shared" si="7"/>
        <v>671400</v>
      </c>
      <c r="S68" s="15">
        <f t="shared" si="8"/>
        <v>5398100</v>
      </c>
      <c r="T68" s="16">
        <v>43628</v>
      </c>
      <c r="U68" s="13">
        <v>241176001</v>
      </c>
      <c r="V68" s="14" t="s">
        <v>48</v>
      </c>
      <c r="W68" s="16">
        <v>45177</v>
      </c>
      <c r="X68" s="103" t="s">
        <v>464</v>
      </c>
      <c r="Y68" s="14" t="s">
        <v>48</v>
      </c>
      <c r="AA68" s="22" t="s">
        <v>348</v>
      </c>
      <c r="AB68" s="14" t="s">
        <v>304</v>
      </c>
      <c r="AD68" s="108"/>
      <c r="AE68" s="65"/>
      <c r="AF68" s="65"/>
      <c r="AG68" s="78" t="s">
        <v>395</v>
      </c>
      <c r="AH68" s="60">
        <v>642001</v>
      </c>
      <c r="AI68" s="60">
        <v>438012</v>
      </c>
      <c r="AJ68" s="60"/>
      <c r="AL68" s="92" t="s">
        <v>407</v>
      </c>
    </row>
    <row r="69" spans="1:38" x14ac:dyDescent="0.25">
      <c r="A69" s="18" t="s">
        <v>275</v>
      </c>
      <c r="B69" s="21" t="s">
        <v>97</v>
      </c>
      <c r="C69" s="2" t="s">
        <v>96</v>
      </c>
      <c r="D69" s="14">
        <v>4</v>
      </c>
      <c r="E69" s="14"/>
      <c r="F69" s="14" t="s">
        <v>95</v>
      </c>
      <c r="G69" s="14" t="s">
        <v>210</v>
      </c>
      <c r="H69" s="60" t="s">
        <v>41</v>
      </c>
      <c r="I69" s="11">
        <v>906301</v>
      </c>
      <c r="J69" s="11">
        <f>930000*1.21</f>
        <v>1125300</v>
      </c>
      <c r="K69" s="11">
        <f t="shared" si="58"/>
        <v>1224054</v>
      </c>
      <c r="L69" s="23">
        <f t="shared" si="47"/>
        <v>1285464</v>
      </c>
      <c r="M69" s="11">
        <f t="shared" si="49"/>
        <v>1356003</v>
      </c>
      <c r="N69" s="15">
        <v>90000</v>
      </c>
      <c r="O69" s="11">
        <f t="shared" si="50"/>
        <v>1454757</v>
      </c>
      <c r="P69" s="20">
        <v>86289</v>
      </c>
      <c r="Q69" s="11">
        <f t="shared" ref="Q69:Q107" si="59">ROUND(O69/125.1*130.8,-2)</f>
        <v>1521000</v>
      </c>
      <c r="R69" s="11">
        <f t="shared" ref="R69:R107" si="60">ROUND(P69/122.5*127.2,-2)</f>
        <v>89600</v>
      </c>
      <c r="S69" s="15">
        <f t="shared" ref="S69:S107" si="61">Q69+R69</f>
        <v>1610600</v>
      </c>
      <c r="T69" s="16">
        <v>43628</v>
      </c>
      <c r="U69" s="13">
        <v>241176001</v>
      </c>
      <c r="V69" s="14" t="s">
        <v>48</v>
      </c>
      <c r="W69" s="16">
        <v>45177</v>
      </c>
      <c r="X69" s="103" t="s">
        <v>464</v>
      </c>
      <c r="Y69" s="14" t="s">
        <v>48</v>
      </c>
      <c r="AA69" s="22" t="s">
        <v>348</v>
      </c>
      <c r="AB69" s="14" t="s">
        <v>304</v>
      </c>
      <c r="AD69" s="92" t="s">
        <v>394</v>
      </c>
      <c r="AE69" s="60"/>
      <c r="AF69" s="60"/>
      <c r="AG69" s="60"/>
      <c r="AH69" s="60">
        <v>652000</v>
      </c>
      <c r="AI69" s="60">
        <v>438012</v>
      </c>
      <c r="AJ69" s="60"/>
      <c r="AL69" s="93" t="s">
        <v>410</v>
      </c>
    </row>
    <row r="70" spans="1:38" x14ac:dyDescent="0.25">
      <c r="A70" s="18" t="s">
        <v>259</v>
      </c>
      <c r="B70" s="14" t="s">
        <v>98</v>
      </c>
      <c r="C70" s="2" t="s">
        <v>98</v>
      </c>
      <c r="D70" s="14"/>
      <c r="E70" s="14"/>
      <c r="F70" s="14"/>
      <c r="G70" s="14" t="s">
        <v>215</v>
      </c>
      <c r="H70" s="60" t="s">
        <v>99</v>
      </c>
      <c r="I70" s="11">
        <v>69833</v>
      </c>
      <c r="J70" s="11">
        <v>85000</v>
      </c>
      <c r="K70" s="11">
        <f>ROUND(J70/145.8*147.5,0)</f>
        <v>85991</v>
      </c>
      <c r="L70" s="23">
        <f t="shared" si="47"/>
        <v>90305</v>
      </c>
      <c r="M70" s="11">
        <f t="shared" si="49"/>
        <v>95260</v>
      </c>
      <c r="N70" s="15"/>
      <c r="O70" s="11">
        <f t="shared" si="50"/>
        <v>102198</v>
      </c>
      <c r="P70" s="11">
        <f t="shared" si="51"/>
        <v>0</v>
      </c>
      <c r="Q70" s="11">
        <f t="shared" si="59"/>
        <v>106900</v>
      </c>
      <c r="R70" s="11">
        <f t="shared" si="60"/>
        <v>0</v>
      </c>
      <c r="S70" s="15">
        <f t="shared" si="61"/>
        <v>106900</v>
      </c>
      <c r="T70" s="16">
        <v>43976</v>
      </c>
      <c r="U70" s="13" t="s">
        <v>311</v>
      </c>
      <c r="V70" s="14" t="s">
        <v>48</v>
      </c>
      <c r="W70" s="16"/>
      <c r="X70" s="103"/>
      <c r="Y70" s="14"/>
      <c r="AA70" s="14"/>
      <c r="AB70" s="14" t="s">
        <v>208</v>
      </c>
      <c r="AD70" s="92" t="s">
        <v>393</v>
      </c>
      <c r="AE70" s="60"/>
      <c r="AF70" s="60"/>
      <c r="AG70" s="60"/>
      <c r="AH70" s="60">
        <v>655000</v>
      </c>
      <c r="AI70" s="60">
        <v>438012</v>
      </c>
      <c r="AJ70" s="60"/>
      <c r="AL70" s="93" t="s">
        <v>418</v>
      </c>
    </row>
    <row r="71" spans="1:38" s="62" customFormat="1" x14ac:dyDescent="0.25">
      <c r="A71" s="87"/>
      <c r="C71" s="2" t="s">
        <v>98</v>
      </c>
      <c r="D71" s="14">
        <v>28</v>
      </c>
      <c r="E71" s="14"/>
      <c r="F71" s="14" t="s">
        <v>470</v>
      </c>
      <c r="G71" s="14" t="s">
        <v>215</v>
      </c>
      <c r="H71" s="60" t="s">
        <v>456</v>
      </c>
      <c r="I71" s="115"/>
      <c r="J71" s="22"/>
      <c r="K71" s="115"/>
      <c r="L71" s="20"/>
      <c r="M71" s="20"/>
      <c r="N71" s="115"/>
      <c r="O71" s="20">
        <v>30000</v>
      </c>
      <c r="P71" s="20"/>
      <c r="Q71" s="11">
        <f>O71</f>
        <v>30000</v>
      </c>
      <c r="R71" s="11">
        <f t="shared" si="60"/>
        <v>0</v>
      </c>
      <c r="S71" s="15">
        <f t="shared" si="61"/>
        <v>30000</v>
      </c>
      <c r="T71" s="14" t="s">
        <v>469</v>
      </c>
      <c r="U71" s="13"/>
      <c r="V71" s="14"/>
      <c r="W71" s="14"/>
      <c r="X71" s="13"/>
      <c r="Y71" s="14"/>
      <c r="AA71" s="116"/>
      <c r="AB71" s="116"/>
      <c r="AD71" s="119"/>
      <c r="AE71" s="119"/>
      <c r="AF71" s="119"/>
      <c r="AG71" s="120"/>
      <c r="AH71" s="121"/>
      <c r="AI71" s="122"/>
      <c r="AJ71" s="121"/>
      <c r="AL71" s="123"/>
    </row>
    <row r="72" spans="1:38" x14ac:dyDescent="0.25">
      <c r="A72" s="18" t="s">
        <v>260</v>
      </c>
      <c r="B72" s="14" t="s">
        <v>101</v>
      </c>
      <c r="C72" s="2" t="s">
        <v>152</v>
      </c>
      <c r="D72" s="14">
        <v>278</v>
      </c>
      <c r="E72" s="14"/>
      <c r="F72" s="14" t="s">
        <v>161</v>
      </c>
      <c r="G72" s="14" t="s">
        <v>210</v>
      </c>
      <c r="H72" s="60" t="s">
        <v>369</v>
      </c>
      <c r="I72" s="11">
        <v>0</v>
      </c>
      <c r="J72" s="11">
        <f t="shared" ref="J72" si="62">ROUND(I72/128.6*137.2,0)</f>
        <v>0</v>
      </c>
      <c r="K72" s="23">
        <f t="shared" ref="K72" si="63">ROUND(J72/137.2*147.5,0)</f>
        <v>0</v>
      </c>
      <c r="L72" s="23">
        <f t="shared" si="47"/>
        <v>0</v>
      </c>
      <c r="M72" s="11">
        <f t="shared" si="49"/>
        <v>0</v>
      </c>
      <c r="N72" s="15">
        <v>543500</v>
      </c>
      <c r="O72" s="11">
        <f t="shared" si="50"/>
        <v>0</v>
      </c>
      <c r="P72" s="20">
        <v>818747</v>
      </c>
      <c r="Q72" s="11">
        <f t="shared" si="59"/>
        <v>0</v>
      </c>
      <c r="R72" s="11">
        <f t="shared" si="60"/>
        <v>850200</v>
      </c>
      <c r="S72" s="15">
        <f t="shared" si="61"/>
        <v>850200</v>
      </c>
      <c r="T72" s="16"/>
      <c r="U72" s="13"/>
      <c r="V72" s="16"/>
      <c r="W72" s="16">
        <v>45177</v>
      </c>
      <c r="X72" s="103" t="s">
        <v>464</v>
      </c>
      <c r="Y72" s="14" t="s">
        <v>48</v>
      </c>
      <c r="AA72" s="14"/>
      <c r="AB72" s="14"/>
      <c r="AD72" s="108"/>
      <c r="AE72" s="65"/>
      <c r="AF72" s="65"/>
      <c r="AG72" s="65"/>
      <c r="AH72" s="60">
        <v>642001</v>
      </c>
      <c r="AI72" s="60">
        <v>438012</v>
      </c>
      <c r="AJ72" s="60"/>
      <c r="AL72" s="92" t="s">
        <v>407</v>
      </c>
    </row>
    <row r="73" spans="1:38" x14ac:dyDescent="0.25">
      <c r="A73" s="18" t="s">
        <v>260</v>
      </c>
      <c r="B73" s="21" t="s">
        <v>102</v>
      </c>
      <c r="C73" s="2" t="s">
        <v>189</v>
      </c>
      <c r="D73" s="14">
        <v>3501</v>
      </c>
      <c r="E73" s="14"/>
      <c r="F73" s="14" t="s">
        <v>103</v>
      </c>
      <c r="G73" s="14" t="s">
        <v>215</v>
      </c>
      <c r="H73" s="60" t="s">
        <v>370</v>
      </c>
      <c r="I73" s="11">
        <v>2413344</v>
      </c>
      <c r="J73" s="11">
        <f>2570000*1.21</f>
        <v>3109700</v>
      </c>
      <c r="K73" s="11">
        <f t="shared" ref="K73:K74" si="64">ROUND(J73/135.6*147.5,0)</f>
        <v>3382601</v>
      </c>
      <c r="L73" s="23">
        <f t="shared" si="47"/>
        <v>3552304</v>
      </c>
      <c r="M73" s="11">
        <f t="shared" si="49"/>
        <v>3747234</v>
      </c>
      <c r="N73" s="15">
        <v>309800</v>
      </c>
      <c r="O73" s="11">
        <f t="shared" si="50"/>
        <v>4020135</v>
      </c>
      <c r="P73" s="20">
        <v>496100</v>
      </c>
      <c r="Q73" s="11">
        <f t="shared" si="59"/>
        <v>4203300</v>
      </c>
      <c r="R73" s="11">
        <f t="shared" si="60"/>
        <v>515100</v>
      </c>
      <c r="S73" s="15">
        <f t="shared" si="61"/>
        <v>4718400</v>
      </c>
      <c r="T73" s="16">
        <v>43628</v>
      </c>
      <c r="U73" s="13">
        <v>241176001</v>
      </c>
      <c r="V73" s="14" t="s">
        <v>48</v>
      </c>
      <c r="W73" s="16">
        <v>45177</v>
      </c>
      <c r="X73" s="103" t="s">
        <v>464</v>
      </c>
      <c r="Y73" s="14" t="s">
        <v>48</v>
      </c>
      <c r="AA73" s="22" t="s">
        <v>348</v>
      </c>
      <c r="AB73" s="14" t="s">
        <v>304</v>
      </c>
      <c r="AD73" s="108"/>
      <c r="AE73" s="65"/>
      <c r="AF73" s="65"/>
      <c r="AG73" s="78" t="s">
        <v>392</v>
      </c>
      <c r="AH73" s="60">
        <v>642001</v>
      </c>
      <c r="AI73" s="60">
        <v>438012</v>
      </c>
      <c r="AJ73" s="60"/>
      <c r="AL73" s="92" t="s">
        <v>407</v>
      </c>
    </row>
    <row r="74" spans="1:38" x14ac:dyDescent="0.25">
      <c r="A74" s="18" t="s">
        <v>263</v>
      </c>
      <c r="B74" s="21" t="s">
        <v>104</v>
      </c>
      <c r="C74" s="2" t="s">
        <v>189</v>
      </c>
      <c r="D74" s="14">
        <v>3502</v>
      </c>
      <c r="E74" s="14"/>
      <c r="F74" s="14" t="s">
        <v>17</v>
      </c>
      <c r="G74" s="14" t="s">
        <v>210</v>
      </c>
      <c r="H74" s="60" t="s">
        <v>371</v>
      </c>
      <c r="I74" s="11">
        <v>2396585</v>
      </c>
      <c r="J74" s="11">
        <f>2820000*1.21</f>
        <v>3412200</v>
      </c>
      <c r="K74" s="11">
        <f t="shared" si="64"/>
        <v>3711648</v>
      </c>
      <c r="L74" s="23">
        <f t="shared" si="47"/>
        <v>3897859</v>
      </c>
      <c r="M74" s="11">
        <f t="shared" si="49"/>
        <v>4111751</v>
      </c>
      <c r="N74" s="15">
        <v>299000</v>
      </c>
      <c r="O74" s="11">
        <f t="shared" si="50"/>
        <v>4411199</v>
      </c>
      <c r="P74" s="20">
        <v>589391</v>
      </c>
      <c r="Q74" s="11">
        <f t="shared" si="59"/>
        <v>4612200</v>
      </c>
      <c r="R74" s="11">
        <f t="shared" si="60"/>
        <v>612000</v>
      </c>
      <c r="S74" s="15">
        <f t="shared" si="61"/>
        <v>5224200</v>
      </c>
      <c r="T74" s="16">
        <v>43628</v>
      </c>
      <c r="U74" s="13">
        <v>241176001</v>
      </c>
      <c r="V74" s="14" t="s">
        <v>48</v>
      </c>
      <c r="W74" s="16">
        <v>45177</v>
      </c>
      <c r="X74" s="103" t="s">
        <v>464</v>
      </c>
      <c r="Y74" s="14" t="s">
        <v>48</v>
      </c>
      <c r="AA74" s="22" t="s">
        <v>348</v>
      </c>
      <c r="AB74" s="14" t="s">
        <v>304</v>
      </c>
      <c r="AD74" s="108"/>
      <c r="AE74" s="65"/>
      <c r="AF74" s="65"/>
      <c r="AG74" s="65"/>
      <c r="AH74" s="60">
        <v>642000</v>
      </c>
      <c r="AI74" s="60">
        <v>438012</v>
      </c>
      <c r="AJ74" s="60"/>
      <c r="AL74" s="92" t="s">
        <v>407</v>
      </c>
    </row>
    <row r="75" spans="1:38" x14ac:dyDescent="0.25">
      <c r="A75" s="18" t="s">
        <v>259</v>
      </c>
      <c r="B75" s="14" t="s">
        <v>105</v>
      </c>
      <c r="C75" s="2" t="s">
        <v>190</v>
      </c>
      <c r="D75" s="14">
        <v>159</v>
      </c>
      <c r="E75" s="14"/>
      <c r="F75" s="14" t="s">
        <v>107</v>
      </c>
      <c r="G75" s="14" t="s">
        <v>210</v>
      </c>
      <c r="H75" s="60" t="s">
        <v>106</v>
      </c>
      <c r="I75" s="11">
        <v>2900752</v>
      </c>
      <c r="J75" s="11">
        <v>2950000</v>
      </c>
      <c r="K75" s="11">
        <f>ROUND(J75/145.8*147.5,0)</f>
        <v>2984396</v>
      </c>
      <c r="L75" s="23">
        <f t="shared" si="47"/>
        <v>3134122</v>
      </c>
      <c r="M75" s="11">
        <f t="shared" si="49"/>
        <v>3306104</v>
      </c>
      <c r="N75" s="15"/>
      <c r="O75" s="11">
        <f t="shared" si="50"/>
        <v>3546879</v>
      </c>
      <c r="P75" s="11">
        <f t="shared" si="51"/>
        <v>0</v>
      </c>
      <c r="Q75" s="11">
        <f t="shared" si="59"/>
        <v>3708500</v>
      </c>
      <c r="R75" s="11">
        <f t="shared" si="60"/>
        <v>0</v>
      </c>
      <c r="S75" s="15">
        <f t="shared" si="61"/>
        <v>3708500</v>
      </c>
      <c r="T75" s="16">
        <v>43966</v>
      </c>
      <c r="U75" s="13" t="s">
        <v>315</v>
      </c>
      <c r="V75" s="14" t="s">
        <v>48</v>
      </c>
      <c r="W75" s="16"/>
      <c r="X75" s="103"/>
      <c r="Y75" s="14"/>
      <c r="AA75" s="14"/>
      <c r="AB75" s="14" t="s">
        <v>208</v>
      </c>
      <c r="AD75" s="92" t="s">
        <v>393</v>
      </c>
      <c r="AE75" s="60"/>
      <c r="AF75" s="60"/>
      <c r="AG75" s="60"/>
      <c r="AH75" s="60">
        <v>655000</v>
      </c>
      <c r="AI75" s="60">
        <v>438012</v>
      </c>
      <c r="AJ75" s="60"/>
      <c r="AL75" s="93" t="s">
        <v>419</v>
      </c>
    </row>
    <row r="76" spans="1:38" ht="25.5" x14ac:dyDescent="0.25">
      <c r="A76" s="18" t="s">
        <v>261</v>
      </c>
      <c r="B76" s="21" t="s">
        <v>108</v>
      </c>
      <c r="C76" s="2" t="s">
        <v>191</v>
      </c>
      <c r="D76" s="14">
        <v>93</v>
      </c>
      <c r="E76" s="14" t="s">
        <v>109</v>
      </c>
      <c r="F76" s="14" t="s">
        <v>110</v>
      </c>
      <c r="G76" s="14" t="s">
        <v>210</v>
      </c>
      <c r="H76" s="60" t="s">
        <v>251</v>
      </c>
      <c r="I76" s="11">
        <v>23462</v>
      </c>
      <c r="J76" s="11">
        <f>50000*1.21</f>
        <v>60500</v>
      </c>
      <c r="K76" s="11">
        <f t="shared" ref="K76" si="65">ROUND(J76/135.6*147.5,0)</f>
        <v>65809</v>
      </c>
      <c r="L76" s="23">
        <f t="shared" si="47"/>
        <v>69111</v>
      </c>
      <c r="M76" s="11">
        <f t="shared" si="49"/>
        <v>72903</v>
      </c>
      <c r="N76" s="15"/>
      <c r="O76" s="11">
        <f t="shared" si="50"/>
        <v>78212</v>
      </c>
      <c r="P76" s="11">
        <f t="shared" si="51"/>
        <v>0</v>
      </c>
      <c r="Q76" s="11">
        <f t="shared" si="59"/>
        <v>81800</v>
      </c>
      <c r="R76" s="11">
        <f t="shared" si="60"/>
        <v>0</v>
      </c>
      <c r="S76" s="15">
        <f t="shared" si="61"/>
        <v>81800</v>
      </c>
      <c r="T76" s="16">
        <v>43628</v>
      </c>
      <c r="U76" s="13">
        <v>241176001</v>
      </c>
      <c r="V76" s="14" t="s">
        <v>48</v>
      </c>
      <c r="W76" s="14"/>
      <c r="X76" s="13"/>
      <c r="Y76" s="14"/>
      <c r="AA76" s="22" t="s">
        <v>348</v>
      </c>
      <c r="AB76" s="14" t="s">
        <v>304</v>
      </c>
      <c r="AD76" s="92"/>
      <c r="AE76" s="60"/>
      <c r="AF76" s="60"/>
      <c r="AG76" s="60"/>
      <c r="AH76" s="60">
        <v>603000</v>
      </c>
      <c r="AI76" s="60">
        <v>438012</v>
      </c>
      <c r="AJ76" s="60">
        <v>2031</v>
      </c>
      <c r="AL76" s="92" t="s">
        <v>412</v>
      </c>
    </row>
    <row r="77" spans="1:38" x14ac:dyDescent="0.2">
      <c r="A77" s="18" t="s">
        <v>263</v>
      </c>
      <c r="B77" s="14" t="s">
        <v>113</v>
      </c>
      <c r="C77" s="2" t="s">
        <v>111</v>
      </c>
      <c r="D77" s="14">
        <v>3</v>
      </c>
      <c r="E77" s="14"/>
      <c r="F77" s="14" t="s">
        <v>112</v>
      </c>
      <c r="G77" s="14" t="s">
        <v>210</v>
      </c>
      <c r="H77" s="61" t="s">
        <v>372</v>
      </c>
      <c r="I77" s="11">
        <v>914016</v>
      </c>
      <c r="J77" s="11">
        <f t="shared" ref="J77" si="66">ROUND(I77/128.6*137.2,0)</f>
        <v>975140</v>
      </c>
      <c r="K77" s="23">
        <f t="shared" ref="K77" si="67">ROUND(J77/137.2*147.5,0)</f>
        <v>1048347</v>
      </c>
      <c r="L77" s="23">
        <f t="shared" si="47"/>
        <v>1100942</v>
      </c>
      <c r="M77" s="11">
        <v>1300000</v>
      </c>
      <c r="N77" s="15">
        <v>278200</v>
      </c>
      <c r="O77" s="11">
        <f>M77</f>
        <v>1300000</v>
      </c>
      <c r="P77" s="20">
        <v>452903</v>
      </c>
      <c r="Q77" s="11">
        <f t="shared" si="59"/>
        <v>1359200</v>
      </c>
      <c r="R77" s="11">
        <f t="shared" si="60"/>
        <v>470300</v>
      </c>
      <c r="S77" s="15">
        <f t="shared" si="61"/>
        <v>1829500</v>
      </c>
      <c r="T77" s="16">
        <v>45041</v>
      </c>
      <c r="U77" s="104" t="s">
        <v>440</v>
      </c>
      <c r="V77" s="14" t="s">
        <v>48</v>
      </c>
      <c r="W77" s="16">
        <v>45177</v>
      </c>
      <c r="X77" s="103" t="s">
        <v>464</v>
      </c>
      <c r="Y77" s="14" t="s">
        <v>48</v>
      </c>
      <c r="AA77" s="14"/>
      <c r="AB77" s="14" t="s">
        <v>208</v>
      </c>
      <c r="AD77" s="109"/>
      <c r="AE77" s="68"/>
      <c r="AF77" s="68"/>
      <c r="AG77" s="68"/>
      <c r="AH77" s="60">
        <v>642000</v>
      </c>
      <c r="AI77" s="60">
        <v>438012</v>
      </c>
      <c r="AJ77" s="60"/>
      <c r="AL77" s="92" t="s">
        <v>407</v>
      </c>
    </row>
    <row r="78" spans="1:38" x14ac:dyDescent="0.25">
      <c r="A78" s="18" t="s">
        <v>260</v>
      </c>
      <c r="B78" s="14" t="s">
        <v>144</v>
      </c>
      <c r="C78" s="2" t="s">
        <v>194</v>
      </c>
      <c r="D78" s="14">
        <v>4</v>
      </c>
      <c r="E78" s="14" t="s">
        <v>193</v>
      </c>
      <c r="F78" s="14" t="s">
        <v>124</v>
      </c>
      <c r="G78" s="14" t="s">
        <v>210</v>
      </c>
      <c r="H78" s="60" t="s">
        <v>123</v>
      </c>
      <c r="I78" s="11">
        <v>0</v>
      </c>
      <c r="J78" s="11">
        <f t="shared" ref="J78:J79" si="68">ROUND(I78/128.6*137.2,0)</f>
        <v>0</v>
      </c>
      <c r="K78" s="23">
        <f t="shared" ref="K78:K79" si="69">ROUND(J78/137.2*147.5,0)</f>
        <v>0</v>
      </c>
      <c r="L78" s="23">
        <f t="shared" ref="L78:L79" si="70">ROUND(K78/147.5*154.9,0)</f>
        <v>0</v>
      </c>
      <c r="M78" s="11">
        <f t="shared" ref="M78:M79" si="71">ROUND(L78/154.9*163.4,0)</f>
        <v>0</v>
      </c>
      <c r="N78" s="15">
        <v>670900</v>
      </c>
      <c r="O78" s="11">
        <f t="shared" ref="O78:O79" si="72">ROUND(M78/163.4*175.3,0)</f>
        <v>0</v>
      </c>
      <c r="P78" s="20">
        <v>880941</v>
      </c>
      <c r="Q78" s="11">
        <f t="shared" si="59"/>
        <v>0</v>
      </c>
      <c r="R78" s="11">
        <f t="shared" si="60"/>
        <v>914700</v>
      </c>
      <c r="S78" s="15">
        <f t="shared" si="61"/>
        <v>914700</v>
      </c>
      <c r="T78" s="16"/>
      <c r="U78" s="13"/>
      <c r="V78" s="14"/>
      <c r="W78" s="16">
        <v>45177</v>
      </c>
      <c r="X78" s="103" t="s">
        <v>464</v>
      </c>
      <c r="Y78" s="14" t="s">
        <v>48</v>
      </c>
      <c r="AA78" s="14"/>
      <c r="AB78" s="14"/>
      <c r="AD78" s="108"/>
      <c r="AE78" s="65"/>
      <c r="AF78" s="65"/>
      <c r="AG78" s="65"/>
      <c r="AH78" s="60">
        <v>642001</v>
      </c>
      <c r="AI78" s="60">
        <v>438012</v>
      </c>
      <c r="AJ78" s="60"/>
      <c r="AL78" s="92" t="s">
        <v>407</v>
      </c>
    </row>
    <row r="79" spans="1:38" x14ac:dyDescent="0.25">
      <c r="A79" s="18" t="s">
        <v>260</v>
      </c>
      <c r="B79" s="14" t="s">
        <v>145</v>
      </c>
      <c r="C79" s="2" t="s">
        <v>194</v>
      </c>
      <c r="D79" s="14">
        <v>4</v>
      </c>
      <c r="E79" s="14" t="s">
        <v>192</v>
      </c>
      <c r="F79" s="14" t="s">
        <v>124</v>
      </c>
      <c r="G79" s="14" t="s">
        <v>210</v>
      </c>
      <c r="H79" s="60" t="s">
        <v>100</v>
      </c>
      <c r="I79" s="11">
        <v>0</v>
      </c>
      <c r="J79" s="11">
        <f t="shared" si="68"/>
        <v>0</v>
      </c>
      <c r="K79" s="23">
        <f t="shared" si="69"/>
        <v>0</v>
      </c>
      <c r="L79" s="23">
        <f t="shared" si="70"/>
        <v>0</v>
      </c>
      <c r="M79" s="11">
        <f t="shared" si="71"/>
        <v>0</v>
      </c>
      <c r="N79" s="15">
        <v>341100</v>
      </c>
      <c r="O79" s="11">
        <f t="shared" si="72"/>
        <v>0</v>
      </c>
      <c r="P79" s="20">
        <v>525660</v>
      </c>
      <c r="Q79" s="11">
        <f t="shared" si="59"/>
        <v>0</v>
      </c>
      <c r="R79" s="11">
        <f t="shared" si="60"/>
        <v>545800</v>
      </c>
      <c r="S79" s="15">
        <f t="shared" si="61"/>
        <v>545800</v>
      </c>
      <c r="T79" s="16"/>
      <c r="U79" s="13"/>
      <c r="V79" s="14"/>
      <c r="W79" s="16">
        <v>45177</v>
      </c>
      <c r="X79" s="103" t="s">
        <v>464</v>
      </c>
      <c r="Y79" s="14" t="s">
        <v>48</v>
      </c>
      <c r="AA79" s="14"/>
      <c r="AB79" s="14"/>
      <c r="AD79" s="108"/>
      <c r="AE79" s="65"/>
      <c r="AF79" s="65"/>
      <c r="AG79" s="65"/>
      <c r="AH79" s="60">
        <v>642001</v>
      </c>
      <c r="AI79" s="60">
        <v>438012</v>
      </c>
      <c r="AJ79" s="60"/>
      <c r="AL79" s="92" t="s">
        <v>407</v>
      </c>
    </row>
    <row r="80" spans="1:38" s="62" customFormat="1" x14ac:dyDescent="0.25">
      <c r="A80" s="87"/>
      <c r="C80" s="2" t="s">
        <v>167</v>
      </c>
      <c r="D80" s="14">
        <v>38</v>
      </c>
      <c r="E80" s="14"/>
      <c r="F80" s="14" t="s">
        <v>114</v>
      </c>
      <c r="G80" s="14" t="s">
        <v>210</v>
      </c>
      <c r="H80" s="60" t="s">
        <v>473</v>
      </c>
      <c r="I80" s="115"/>
      <c r="J80" s="115"/>
      <c r="K80" s="115"/>
      <c r="L80" s="115"/>
      <c r="M80" s="115"/>
      <c r="N80" s="115"/>
      <c r="O80" s="124"/>
      <c r="P80" s="124"/>
      <c r="Q80" s="125">
        <f t="shared" si="59"/>
        <v>0</v>
      </c>
      <c r="R80" s="125">
        <f t="shared" si="60"/>
        <v>0</v>
      </c>
      <c r="S80" s="15">
        <f t="shared" si="61"/>
        <v>0</v>
      </c>
      <c r="T80" s="14"/>
      <c r="U80" s="13"/>
      <c r="V80" s="14"/>
      <c r="W80" s="105" t="s">
        <v>480</v>
      </c>
      <c r="X80" s="13"/>
      <c r="Y80" s="14"/>
      <c r="AD80" s="110"/>
      <c r="AE80" s="88"/>
      <c r="AF80" s="88"/>
      <c r="AG80" s="88"/>
      <c r="AH80" s="88"/>
      <c r="AI80" s="88"/>
      <c r="AJ80" s="88"/>
      <c r="AL80" s="88"/>
    </row>
    <row r="81" spans="1:38" ht="25.5" x14ac:dyDescent="0.25">
      <c r="A81" s="15"/>
      <c r="B81" s="14"/>
      <c r="C81" s="26" t="s">
        <v>339</v>
      </c>
      <c r="D81" s="14">
        <v>198</v>
      </c>
      <c r="E81" s="14"/>
      <c r="F81" s="14" t="s">
        <v>450</v>
      </c>
      <c r="G81" s="14" t="s">
        <v>210</v>
      </c>
      <c r="H81" s="60" t="s">
        <v>313</v>
      </c>
      <c r="I81" s="15"/>
      <c r="J81" s="15">
        <v>1450000</v>
      </c>
      <c r="K81" s="11">
        <f>ROUND(J81/145.8*147.5,0)</f>
        <v>1466907</v>
      </c>
      <c r="L81" s="11">
        <f t="shared" si="47"/>
        <v>1540501</v>
      </c>
      <c r="M81" s="11">
        <f t="shared" si="49"/>
        <v>1625035</v>
      </c>
      <c r="N81" s="15"/>
      <c r="O81" s="11">
        <f t="shared" si="50"/>
        <v>1743382</v>
      </c>
      <c r="P81" s="11">
        <f t="shared" si="51"/>
        <v>0</v>
      </c>
      <c r="Q81" s="11">
        <f t="shared" si="59"/>
        <v>1822800</v>
      </c>
      <c r="R81" s="11">
        <f t="shared" si="60"/>
        <v>0</v>
      </c>
      <c r="S81" s="15">
        <f t="shared" si="61"/>
        <v>1822800</v>
      </c>
      <c r="T81" s="16">
        <v>43970</v>
      </c>
      <c r="U81" s="13" t="s">
        <v>314</v>
      </c>
      <c r="V81" s="14" t="s">
        <v>48</v>
      </c>
      <c r="W81" s="14"/>
      <c r="X81" s="13"/>
      <c r="Y81" s="14"/>
      <c r="AA81" s="14"/>
      <c r="AB81" s="14" t="s">
        <v>208</v>
      </c>
      <c r="AD81" s="92" t="s">
        <v>394</v>
      </c>
      <c r="AE81" s="60"/>
      <c r="AF81" s="60"/>
      <c r="AG81" s="60"/>
      <c r="AH81" s="60">
        <v>652002</v>
      </c>
      <c r="AI81" s="60">
        <v>438012</v>
      </c>
      <c r="AJ81" s="60">
        <v>11032</v>
      </c>
      <c r="AL81" s="93" t="s">
        <v>410</v>
      </c>
    </row>
    <row r="82" spans="1:38" x14ac:dyDescent="0.25">
      <c r="A82" s="15"/>
      <c r="B82" s="14"/>
      <c r="C82" s="26" t="s">
        <v>339</v>
      </c>
      <c r="D82" s="14">
        <v>198</v>
      </c>
      <c r="E82" s="14"/>
      <c r="F82" s="14" t="s">
        <v>450</v>
      </c>
      <c r="G82" s="14" t="s">
        <v>210</v>
      </c>
      <c r="H82" s="72" t="s">
        <v>300</v>
      </c>
      <c r="I82" s="15"/>
      <c r="J82" s="15"/>
      <c r="K82" s="15"/>
      <c r="L82" s="11">
        <v>100000</v>
      </c>
      <c r="M82" s="11">
        <f t="shared" si="49"/>
        <v>105487</v>
      </c>
      <c r="N82" s="15">
        <v>0</v>
      </c>
      <c r="O82" s="11">
        <f t="shared" si="50"/>
        <v>113169</v>
      </c>
      <c r="P82" s="11">
        <f t="shared" si="51"/>
        <v>0</v>
      </c>
      <c r="Q82" s="11">
        <f t="shared" si="59"/>
        <v>118300</v>
      </c>
      <c r="R82" s="11">
        <f t="shared" si="60"/>
        <v>0</v>
      </c>
      <c r="S82" s="15">
        <f t="shared" si="61"/>
        <v>118300</v>
      </c>
      <c r="T82" s="14"/>
      <c r="U82" s="13"/>
      <c r="V82" s="14"/>
      <c r="W82" s="14"/>
      <c r="X82" s="13"/>
      <c r="Y82" s="14"/>
      <c r="AA82" s="14"/>
      <c r="AB82" s="14"/>
      <c r="AD82" s="92" t="s">
        <v>394</v>
      </c>
      <c r="AE82" s="80"/>
      <c r="AF82" s="60"/>
      <c r="AG82" s="60"/>
      <c r="AH82" s="61">
        <v>652002</v>
      </c>
      <c r="AI82" s="61">
        <v>438012</v>
      </c>
      <c r="AJ82" s="61">
        <v>11032</v>
      </c>
      <c r="AL82" s="92"/>
    </row>
    <row r="83" spans="1:38" x14ac:dyDescent="0.25">
      <c r="A83" s="15"/>
      <c r="B83" s="14"/>
      <c r="C83" s="26" t="s">
        <v>339</v>
      </c>
      <c r="D83" s="14">
        <v>198</v>
      </c>
      <c r="E83" s="14"/>
      <c r="F83" s="14" t="s">
        <v>450</v>
      </c>
      <c r="G83" s="14" t="s">
        <v>210</v>
      </c>
      <c r="H83" s="72" t="s">
        <v>301</v>
      </c>
      <c r="I83" s="15"/>
      <c r="J83" s="17"/>
      <c r="K83" s="15">
        <v>150000</v>
      </c>
      <c r="L83" s="11">
        <f t="shared" ref="L83" si="73">ROUND(K83/147.5*154.9,0)</f>
        <v>157525</v>
      </c>
      <c r="M83" s="11">
        <f t="shared" si="49"/>
        <v>166169</v>
      </c>
      <c r="N83" s="15"/>
      <c r="O83" s="11">
        <f t="shared" si="50"/>
        <v>178271</v>
      </c>
      <c r="P83" s="11">
        <f t="shared" si="51"/>
        <v>0</v>
      </c>
      <c r="Q83" s="11">
        <f t="shared" si="59"/>
        <v>186400</v>
      </c>
      <c r="R83" s="11">
        <f t="shared" si="60"/>
        <v>0</v>
      </c>
      <c r="S83" s="15">
        <f t="shared" si="61"/>
        <v>186400</v>
      </c>
      <c r="T83" s="14"/>
      <c r="U83" s="13"/>
      <c r="V83" s="14"/>
      <c r="W83" s="14"/>
      <c r="X83" s="13"/>
      <c r="Y83" s="14"/>
      <c r="AA83" s="14"/>
      <c r="AB83" s="14"/>
      <c r="AD83" s="92" t="s">
        <v>394</v>
      </c>
      <c r="AE83" s="80"/>
      <c r="AF83" s="60"/>
      <c r="AG83" s="60"/>
      <c r="AH83" s="61">
        <v>652002</v>
      </c>
      <c r="AI83" s="61">
        <v>438012</v>
      </c>
      <c r="AJ83" s="61">
        <v>11032</v>
      </c>
      <c r="AL83" s="92"/>
    </row>
    <row r="84" spans="1:38" s="62" customFormat="1" x14ac:dyDescent="0.25">
      <c r="A84" s="87"/>
      <c r="C84" s="2" t="s">
        <v>474</v>
      </c>
      <c r="D84" s="14">
        <v>2</v>
      </c>
      <c r="E84" s="14" t="s">
        <v>193</v>
      </c>
      <c r="F84" s="14" t="s">
        <v>475</v>
      </c>
      <c r="G84" s="14" t="s">
        <v>210</v>
      </c>
      <c r="H84" s="60" t="s">
        <v>476</v>
      </c>
      <c r="I84" s="115"/>
      <c r="J84" s="115"/>
      <c r="K84" s="115"/>
      <c r="L84" s="115"/>
      <c r="M84" s="115"/>
      <c r="N84" s="115"/>
      <c r="O84" s="115">
        <v>450000</v>
      </c>
      <c r="P84" s="115"/>
      <c r="Q84" s="11">
        <f>O84</f>
        <v>450000</v>
      </c>
      <c r="R84" s="11">
        <f t="shared" si="60"/>
        <v>0</v>
      </c>
      <c r="S84" s="15">
        <f t="shared" si="61"/>
        <v>450000</v>
      </c>
      <c r="T84" s="14" t="s">
        <v>477</v>
      </c>
      <c r="U84" s="13"/>
      <c r="V84" s="14"/>
      <c r="X84" s="13"/>
      <c r="Y84" s="14"/>
      <c r="AD84" s="110"/>
      <c r="AE84" s="88"/>
      <c r="AF84" s="88"/>
      <c r="AG84" s="88"/>
      <c r="AH84" s="88"/>
      <c r="AI84" s="88"/>
      <c r="AJ84" s="88"/>
      <c r="AL84" s="88"/>
    </row>
    <row r="85" spans="1:38" x14ac:dyDescent="0.25">
      <c r="A85" s="18" t="s">
        <v>276</v>
      </c>
      <c r="B85" s="14" t="s">
        <v>240</v>
      </c>
      <c r="C85" s="2" t="s">
        <v>168</v>
      </c>
      <c r="D85" s="14">
        <v>1</v>
      </c>
      <c r="E85" s="14" t="s">
        <v>20</v>
      </c>
      <c r="F85" s="14" t="s">
        <v>217</v>
      </c>
      <c r="G85" s="14" t="s">
        <v>210</v>
      </c>
      <c r="H85" s="61" t="s">
        <v>115</v>
      </c>
      <c r="I85" s="11">
        <v>3438191</v>
      </c>
      <c r="J85" s="11">
        <f t="shared" si="52"/>
        <v>3668117</v>
      </c>
      <c r="K85" s="23">
        <f t="shared" si="53"/>
        <v>3943493</v>
      </c>
      <c r="L85" s="11">
        <f t="shared" si="47"/>
        <v>4141336</v>
      </c>
      <c r="M85" s="11">
        <v>4550000</v>
      </c>
      <c r="N85" s="15"/>
      <c r="O85" s="11">
        <f t="shared" ref="O85:O86" si="74">M85</f>
        <v>4550000</v>
      </c>
      <c r="P85" s="11">
        <f t="shared" si="51"/>
        <v>0</v>
      </c>
      <c r="Q85" s="11">
        <f t="shared" si="59"/>
        <v>4757300</v>
      </c>
      <c r="R85" s="11">
        <f t="shared" si="60"/>
        <v>0</v>
      </c>
      <c r="S85" s="15">
        <f t="shared" si="61"/>
        <v>4757300</v>
      </c>
      <c r="T85" s="103">
        <v>45040</v>
      </c>
      <c r="U85" s="106" t="s">
        <v>441</v>
      </c>
      <c r="V85" s="14" t="s">
        <v>48</v>
      </c>
      <c r="W85" s="16"/>
      <c r="X85" s="103"/>
      <c r="Y85" s="14"/>
      <c r="AA85" s="14"/>
      <c r="AB85" s="14" t="s">
        <v>208</v>
      </c>
      <c r="AD85" s="80" t="s">
        <v>396</v>
      </c>
      <c r="AE85" s="61"/>
      <c r="AF85" s="61"/>
      <c r="AG85" s="61"/>
      <c r="AH85" s="60">
        <v>622000</v>
      </c>
      <c r="AI85" s="60">
        <v>438012</v>
      </c>
      <c r="AJ85" s="60">
        <v>2036</v>
      </c>
      <c r="AL85" s="91" t="s">
        <v>420</v>
      </c>
    </row>
    <row r="86" spans="1:38" ht="25.5" x14ac:dyDescent="0.25">
      <c r="A86" s="18" t="s">
        <v>262</v>
      </c>
      <c r="B86" s="14" t="s">
        <v>241</v>
      </c>
      <c r="C86" s="2" t="s">
        <v>195</v>
      </c>
      <c r="D86" s="14">
        <v>76</v>
      </c>
      <c r="E86" s="14" t="s">
        <v>193</v>
      </c>
      <c r="F86" s="14" t="s">
        <v>116</v>
      </c>
      <c r="G86" s="14" t="s">
        <v>210</v>
      </c>
      <c r="H86" s="61" t="s">
        <v>486</v>
      </c>
      <c r="I86" s="11">
        <v>722711</v>
      </c>
      <c r="J86" s="11">
        <f t="shared" si="52"/>
        <v>771042</v>
      </c>
      <c r="K86" s="23">
        <f t="shared" si="53"/>
        <v>828926</v>
      </c>
      <c r="L86" s="11">
        <f t="shared" si="47"/>
        <v>870513</v>
      </c>
      <c r="M86" s="11">
        <v>160000</v>
      </c>
      <c r="N86" s="15"/>
      <c r="O86" s="11">
        <f t="shared" si="74"/>
        <v>160000</v>
      </c>
      <c r="P86" s="11">
        <f t="shared" si="51"/>
        <v>0</v>
      </c>
      <c r="Q86" s="11">
        <f t="shared" si="59"/>
        <v>167300</v>
      </c>
      <c r="R86" s="11">
        <f t="shared" si="60"/>
        <v>0</v>
      </c>
      <c r="S86" s="15">
        <f t="shared" si="61"/>
        <v>167300</v>
      </c>
      <c r="T86" s="16"/>
      <c r="U86" s="13"/>
      <c r="V86" s="14"/>
      <c r="W86" s="14"/>
      <c r="X86" s="13"/>
      <c r="Y86" s="14"/>
      <c r="AA86" s="14"/>
      <c r="AB86" s="14" t="s">
        <v>208</v>
      </c>
      <c r="AD86" s="80"/>
      <c r="AE86" s="81">
        <v>44386</v>
      </c>
      <c r="AF86" s="61"/>
      <c r="AG86" s="61"/>
      <c r="AH86" s="60">
        <v>603000</v>
      </c>
      <c r="AI86" s="60">
        <v>438012</v>
      </c>
      <c r="AJ86" s="60">
        <v>2069</v>
      </c>
      <c r="AL86" s="90" t="s">
        <v>412</v>
      </c>
    </row>
    <row r="87" spans="1:38" x14ac:dyDescent="0.25">
      <c r="C87" s="2" t="s">
        <v>292</v>
      </c>
      <c r="D87" s="14">
        <v>10</v>
      </c>
      <c r="E87" s="14"/>
      <c r="F87" s="14" t="s">
        <v>293</v>
      </c>
      <c r="G87" s="14" t="s">
        <v>210</v>
      </c>
      <c r="H87" s="61" t="s">
        <v>306</v>
      </c>
      <c r="I87" s="15"/>
      <c r="J87" s="15">
        <f>840000*1.21</f>
        <v>1016400</v>
      </c>
      <c r="K87" s="11">
        <f>ROUND(J87/135.6*147.5,0)</f>
        <v>1105597</v>
      </c>
      <c r="L87" s="11">
        <f>ROUND(K87/147.5*154.9,0)</f>
        <v>1161064</v>
      </c>
      <c r="M87" s="11">
        <f t="shared" ref="M87:M107" si="75">ROUND(L87/154.9*163.4,0)</f>
        <v>1224776</v>
      </c>
      <c r="N87" s="15"/>
      <c r="O87" s="11">
        <f t="shared" si="50"/>
        <v>1313973</v>
      </c>
      <c r="P87" s="11">
        <f t="shared" si="51"/>
        <v>0</v>
      </c>
      <c r="Q87" s="11">
        <f t="shared" si="59"/>
        <v>1373800</v>
      </c>
      <c r="R87" s="11">
        <f t="shared" si="60"/>
        <v>0</v>
      </c>
      <c r="S87" s="15">
        <f t="shared" si="61"/>
        <v>1373800</v>
      </c>
      <c r="T87" s="16">
        <v>43628</v>
      </c>
      <c r="U87" s="13">
        <v>241176001</v>
      </c>
      <c r="V87" s="14" t="s">
        <v>48</v>
      </c>
      <c r="W87" s="14"/>
      <c r="X87" s="13"/>
      <c r="Y87" s="14"/>
      <c r="AA87" s="22" t="s">
        <v>348</v>
      </c>
      <c r="AB87" s="14" t="s">
        <v>304</v>
      </c>
      <c r="AD87" s="80" t="s">
        <v>397</v>
      </c>
      <c r="AE87" s="61"/>
      <c r="AF87" s="61"/>
      <c r="AG87" s="61"/>
      <c r="AH87" s="60">
        <v>652000</v>
      </c>
      <c r="AI87" s="60">
        <v>438012</v>
      </c>
      <c r="AJ87" s="60">
        <v>11013</v>
      </c>
      <c r="AL87" s="91" t="s">
        <v>410</v>
      </c>
    </row>
    <row r="88" spans="1:38" x14ac:dyDescent="0.25">
      <c r="A88" s="15"/>
      <c r="B88" s="21"/>
      <c r="C88" s="2" t="s">
        <v>292</v>
      </c>
      <c r="D88" s="14">
        <v>38</v>
      </c>
      <c r="E88" s="14"/>
      <c r="F88" s="14" t="s">
        <v>293</v>
      </c>
      <c r="G88" s="14" t="s">
        <v>210</v>
      </c>
      <c r="H88" s="61" t="s">
        <v>373</v>
      </c>
      <c r="I88" s="15">
        <v>2500000</v>
      </c>
      <c r="J88" s="11">
        <f>2880000*1.21</f>
        <v>3484800</v>
      </c>
      <c r="K88" s="11">
        <f t="shared" ref="K88" si="76">ROUND(J88/135.6*147.5,0)</f>
        <v>3790619</v>
      </c>
      <c r="L88" s="11">
        <f>ROUND(K88/147.5*154.9,0)</f>
        <v>3980792</v>
      </c>
      <c r="M88" s="11">
        <f t="shared" si="75"/>
        <v>4199234</v>
      </c>
      <c r="N88" s="58">
        <v>399800</v>
      </c>
      <c r="O88" s="11">
        <f t="shared" si="50"/>
        <v>4505053</v>
      </c>
      <c r="P88" s="20">
        <v>564647</v>
      </c>
      <c r="Q88" s="11">
        <f t="shared" si="59"/>
        <v>4710300</v>
      </c>
      <c r="R88" s="11">
        <f t="shared" si="60"/>
        <v>586300</v>
      </c>
      <c r="S88" s="15">
        <f t="shared" si="61"/>
        <v>5296600</v>
      </c>
      <c r="T88" s="16">
        <v>43628</v>
      </c>
      <c r="U88" s="13">
        <v>241176001</v>
      </c>
      <c r="V88" s="14" t="s">
        <v>48</v>
      </c>
      <c r="W88" s="16">
        <v>45177</v>
      </c>
      <c r="X88" s="103" t="s">
        <v>464</v>
      </c>
      <c r="Y88" s="14" t="s">
        <v>48</v>
      </c>
      <c r="AA88" s="22" t="s">
        <v>348</v>
      </c>
      <c r="AB88" s="14" t="s">
        <v>304</v>
      </c>
      <c r="AD88" s="109"/>
      <c r="AE88" s="68"/>
      <c r="AF88" s="68"/>
      <c r="AG88" s="68"/>
      <c r="AH88" s="60">
        <v>642002</v>
      </c>
      <c r="AI88" s="60">
        <v>438012</v>
      </c>
      <c r="AJ88" s="60"/>
      <c r="AL88" s="90" t="s">
        <v>407</v>
      </c>
    </row>
    <row r="89" spans="1:38" x14ac:dyDescent="0.25">
      <c r="A89" s="18" t="s">
        <v>263</v>
      </c>
      <c r="B89" s="14" t="s">
        <v>117</v>
      </c>
      <c r="C89" s="2" t="s">
        <v>196</v>
      </c>
      <c r="D89" s="14">
        <v>39</v>
      </c>
      <c r="E89" s="14" t="s">
        <v>193</v>
      </c>
      <c r="F89" s="14" t="s">
        <v>118</v>
      </c>
      <c r="G89" s="14" t="s">
        <v>210</v>
      </c>
      <c r="H89" s="61" t="s">
        <v>375</v>
      </c>
      <c r="I89" s="11">
        <v>722711</v>
      </c>
      <c r="J89" s="11">
        <f t="shared" ref="J89:J90" si="77">ROUND(I89/128.6*137.2,0)</f>
        <v>771042</v>
      </c>
      <c r="K89" s="23">
        <f t="shared" ref="K89:K90" si="78">ROUND(J89/137.2*147.5,0)</f>
        <v>828926</v>
      </c>
      <c r="L89" s="11">
        <f t="shared" ref="L89:L91" si="79">ROUND(K89/147.5*154.9,0)</f>
        <v>870513</v>
      </c>
      <c r="M89" s="11">
        <v>925000</v>
      </c>
      <c r="N89" s="15">
        <v>90000</v>
      </c>
      <c r="O89" s="11">
        <f t="shared" ref="O89:O90" si="80">M89</f>
        <v>925000</v>
      </c>
      <c r="P89" s="20">
        <v>106722</v>
      </c>
      <c r="Q89" s="11">
        <f t="shared" si="59"/>
        <v>967100</v>
      </c>
      <c r="R89" s="11">
        <f t="shared" si="60"/>
        <v>110800</v>
      </c>
      <c r="S89" s="15">
        <f t="shared" si="61"/>
        <v>1077900</v>
      </c>
      <c r="T89" s="103">
        <v>45040</v>
      </c>
      <c r="U89" s="106" t="s">
        <v>442</v>
      </c>
      <c r="V89" s="14" t="s">
        <v>48</v>
      </c>
      <c r="W89" s="16">
        <v>45177</v>
      </c>
      <c r="X89" s="103" t="s">
        <v>464</v>
      </c>
      <c r="Y89" s="14" t="s">
        <v>48</v>
      </c>
      <c r="AA89" s="14"/>
      <c r="AB89" s="14" t="s">
        <v>208</v>
      </c>
      <c r="AD89" s="80" t="s">
        <v>394</v>
      </c>
      <c r="AE89" s="61"/>
      <c r="AF89" s="61"/>
      <c r="AG89" s="61"/>
      <c r="AH89" s="60">
        <v>652000</v>
      </c>
      <c r="AI89" s="60">
        <v>438012</v>
      </c>
      <c r="AJ89" s="60"/>
      <c r="AL89" s="91" t="s">
        <v>410</v>
      </c>
    </row>
    <row r="90" spans="1:38" ht="11.25" customHeight="1" x14ac:dyDescent="0.25">
      <c r="A90" s="18" t="s">
        <v>263</v>
      </c>
      <c r="B90" s="14" t="s">
        <v>117</v>
      </c>
      <c r="C90" s="2" t="s">
        <v>196</v>
      </c>
      <c r="D90" s="14">
        <v>39</v>
      </c>
      <c r="E90" s="14"/>
      <c r="F90" s="14" t="s">
        <v>118</v>
      </c>
      <c r="G90" s="14" t="s">
        <v>210</v>
      </c>
      <c r="H90" s="61" t="s">
        <v>374</v>
      </c>
      <c r="I90" s="11">
        <v>2008711</v>
      </c>
      <c r="J90" s="11">
        <f t="shared" si="77"/>
        <v>2143042</v>
      </c>
      <c r="K90" s="23">
        <f t="shared" si="78"/>
        <v>2303926</v>
      </c>
      <c r="L90" s="11">
        <f t="shared" si="79"/>
        <v>2419513</v>
      </c>
      <c r="M90" s="11">
        <v>2550000</v>
      </c>
      <c r="N90" s="15">
        <v>319250</v>
      </c>
      <c r="O90" s="11">
        <f t="shared" si="80"/>
        <v>2550000</v>
      </c>
      <c r="P90" s="20">
        <v>675785</v>
      </c>
      <c r="Q90" s="11">
        <f t="shared" si="59"/>
        <v>2666200</v>
      </c>
      <c r="R90" s="11">
        <f t="shared" si="60"/>
        <v>701700</v>
      </c>
      <c r="S90" s="15">
        <f t="shared" si="61"/>
        <v>3367900</v>
      </c>
      <c r="T90" s="103">
        <v>45040</v>
      </c>
      <c r="U90" s="106" t="s">
        <v>443</v>
      </c>
      <c r="V90" s="14" t="s">
        <v>48</v>
      </c>
      <c r="W90" s="16">
        <v>45177</v>
      </c>
      <c r="X90" s="103" t="s">
        <v>464</v>
      </c>
      <c r="Y90" s="14" t="s">
        <v>48</v>
      </c>
      <c r="AA90" s="14"/>
      <c r="AB90" s="14" t="s">
        <v>208</v>
      </c>
      <c r="AD90" s="109"/>
      <c r="AE90" s="68"/>
      <c r="AF90" s="68"/>
      <c r="AG90" s="68"/>
      <c r="AH90" s="60">
        <v>642000</v>
      </c>
      <c r="AI90" s="60">
        <v>438012</v>
      </c>
      <c r="AJ90" s="60"/>
      <c r="AL90" s="90" t="s">
        <v>407</v>
      </c>
    </row>
    <row r="91" spans="1:38" ht="25.5" x14ac:dyDescent="0.25">
      <c r="A91" s="18" t="s">
        <v>277</v>
      </c>
      <c r="B91" s="21" t="s">
        <v>119</v>
      </c>
      <c r="C91" s="2" t="s">
        <v>197</v>
      </c>
      <c r="D91" s="14">
        <v>2</v>
      </c>
      <c r="E91" s="14"/>
      <c r="F91" s="14" t="s">
        <v>120</v>
      </c>
      <c r="G91" s="14" t="s">
        <v>210</v>
      </c>
      <c r="H91" s="61" t="s">
        <v>487</v>
      </c>
      <c r="I91" s="11">
        <v>458089</v>
      </c>
      <c r="J91" s="11">
        <f>570000*1.21</f>
        <v>689700</v>
      </c>
      <c r="K91" s="11">
        <f t="shared" ref="K91" si="81">ROUND(J91/135.6*147.5,0)</f>
        <v>750227</v>
      </c>
      <c r="L91" s="11">
        <f t="shared" si="79"/>
        <v>787866</v>
      </c>
      <c r="M91" s="11">
        <f t="shared" ref="M91" si="82">ROUND(L91/154.9*163.4,0)</f>
        <v>831099</v>
      </c>
      <c r="N91" s="15"/>
      <c r="O91" s="11">
        <f t="shared" ref="O91" si="83">ROUND(M91/163.4*175.3,0)</f>
        <v>891626</v>
      </c>
      <c r="P91" s="11">
        <f t="shared" ref="P91" si="84">ROUND(N91/111.7*122.5,0)</f>
        <v>0</v>
      </c>
      <c r="Q91" s="11">
        <f t="shared" si="59"/>
        <v>932300</v>
      </c>
      <c r="R91" s="11">
        <f t="shared" si="60"/>
        <v>0</v>
      </c>
      <c r="S91" s="15">
        <f t="shared" si="61"/>
        <v>932300</v>
      </c>
      <c r="T91" s="16">
        <v>43628</v>
      </c>
      <c r="U91" s="13">
        <v>241176001</v>
      </c>
      <c r="V91" s="14" t="s">
        <v>48</v>
      </c>
      <c r="W91" s="14"/>
      <c r="X91" s="13"/>
      <c r="Y91" s="14"/>
      <c r="AA91" s="22" t="s">
        <v>348</v>
      </c>
      <c r="AB91" s="14" t="s">
        <v>304</v>
      </c>
      <c r="AD91" s="80"/>
      <c r="AE91" s="61"/>
      <c r="AF91" s="61"/>
      <c r="AG91" s="61"/>
      <c r="AH91" s="60">
        <v>603000</v>
      </c>
      <c r="AI91" s="60">
        <v>438012</v>
      </c>
      <c r="AJ91" s="60">
        <v>2070</v>
      </c>
      <c r="AL91" s="90" t="s">
        <v>412</v>
      </c>
    </row>
    <row r="92" spans="1:38" x14ac:dyDescent="0.25">
      <c r="A92" s="18" t="s">
        <v>259</v>
      </c>
      <c r="B92" s="14" t="s">
        <v>242</v>
      </c>
      <c r="C92" s="2" t="s">
        <v>165</v>
      </c>
      <c r="D92" s="13" t="s">
        <v>86</v>
      </c>
      <c r="E92" s="14"/>
      <c r="F92" s="14"/>
      <c r="G92" s="14" t="s">
        <v>210</v>
      </c>
      <c r="H92" s="61" t="s">
        <v>164</v>
      </c>
      <c r="I92" s="11">
        <v>80577</v>
      </c>
      <c r="J92" s="11">
        <f t="shared" si="52"/>
        <v>85966</v>
      </c>
      <c r="K92" s="23">
        <f t="shared" si="53"/>
        <v>92420</v>
      </c>
      <c r="L92" s="11">
        <f t="shared" si="47"/>
        <v>97057</v>
      </c>
      <c r="M92" s="11">
        <f t="shared" si="75"/>
        <v>102383</v>
      </c>
      <c r="N92" s="15"/>
      <c r="O92" s="11">
        <f t="shared" si="50"/>
        <v>109839</v>
      </c>
      <c r="P92" s="11">
        <f t="shared" si="51"/>
        <v>0</v>
      </c>
      <c r="Q92" s="11">
        <f t="shared" si="59"/>
        <v>114800</v>
      </c>
      <c r="R92" s="11">
        <f t="shared" si="60"/>
        <v>0</v>
      </c>
      <c r="S92" s="15">
        <f t="shared" si="61"/>
        <v>114800</v>
      </c>
      <c r="T92" s="16"/>
      <c r="U92" s="13"/>
      <c r="V92" s="14"/>
      <c r="W92" s="14"/>
      <c r="X92" s="13"/>
      <c r="Y92" s="14"/>
      <c r="AA92" s="14"/>
      <c r="AB92" s="14" t="s">
        <v>208</v>
      </c>
      <c r="AD92" s="80" t="s">
        <v>393</v>
      </c>
      <c r="AE92" s="61"/>
      <c r="AF92" s="61"/>
      <c r="AG92" s="61"/>
      <c r="AH92" s="60">
        <v>655000</v>
      </c>
      <c r="AI92" s="60">
        <v>438012</v>
      </c>
      <c r="AJ92" s="60"/>
      <c r="AL92" s="91" t="s">
        <v>418</v>
      </c>
    </row>
    <row r="93" spans="1:38" x14ac:dyDescent="0.25">
      <c r="A93" s="18" t="s">
        <v>261</v>
      </c>
      <c r="B93" s="14" t="s">
        <v>122</v>
      </c>
      <c r="C93" s="2" t="s">
        <v>198</v>
      </c>
      <c r="D93" s="14">
        <v>39</v>
      </c>
      <c r="E93" s="14"/>
      <c r="F93" s="14" t="s">
        <v>121</v>
      </c>
      <c r="G93" s="14" t="s">
        <v>215</v>
      </c>
      <c r="H93" s="60" t="s">
        <v>280</v>
      </c>
      <c r="I93" s="11">
        <v>263216</v>
      </c>
      <c r="J93" s="11">
        <v>310000</v>
      </c>
      <c r="K93" s="11">
        <f t="shared" ref="K93:K94" si="85">ROUND(J93/145.8*147.5,0)</f>
        <v>313615</v>
      </c>
      <c r="L93" s="11">
        <f t="shared" si="47"/>
        <v>329349</v>
      </c>
      <c r="M93" s="11">
        <f t="shared" si="75"/>
        <v>347422</v>
      </c>
      <c r="N93" s="15"/>
      <c r="O93" s="11">
        <f t="shared" si="50"/>
        <v>372724</v>
      </c>
      <c r="P93" s="11">
        <f t="shared" si="51"/>
        <v>0</v>
      </c>
      <c r="Q93" s="11">
        <f t="shared" si="59"/>
        <v>389700</v>
      </c>
      <c r="R93" s="11">
        <f t="shared" si="60"/>
        <v>0</v>
      </c>
      <c r="S93" s="15">
        <f t="shared" si="61"/>
        <v>389700</v>
      </c>
      <c r="T93" s="16">
        <v>43976</v>
      </c>
      <c r="U93" s="13" t="s">
        <v>328</v>
      </c>
      <c r="V93" s="14" t="s">
        <v>48</v>
      </c>
      <c r="W93" s="16"/>
      <c r="X93" s="103"/>
      <c r="Y93" s="14"/>
      <c r="AA93" s="22" t="s">
        <v>349</v>
      </c>
      <c r="AB93" s="14"/>
      <c r="AD93" s="92"/>
      <c r="AE93" s="60"/>
      <c r="AF93" s="60"/>
      <c r="AH93" s="60">
        <v>603000</v>
      </c>
      <c r="AI93" s="60">
        <v>438012</v>
      </c>
      <c r="AJ93" s="60">
        <v>2039</v>
      </c>
      <c r="AL93" s="90" t="s">
        <v>412</v>
      </c>
    </row>
    <row r="94" spans="1:38" x14ac:dyDescent="0.25">
      <c r="A94" s="18" t="s">
        <v>261</v>
      </c>
      <c r="B94" s="14" t="s">
        <v>243</v>
      </c>
      <c r="C94" s="2" t="s">
        <v>198</v>
      </c>
      <c r="D94" s="14">
        <v>85</v>
      </c>
      <c r="E94" s="14" t="s">
        <v>199</v>
      </c>
      <c r="F94" s="14" t="s">
        <v>121</v>
      </c>
      <c r="G94" s="14" t="s">
        <v>215</v>
      </c>
      <c r="H94" s="60" t="s">
        <v>155</v>
      </c>
      <c r="I94" s="11">
        <v>418997</v>
      </c>
      <c r="J94" s="11">
        <v>510000</v>
      </c>
      <c r="K94" s="11">
        <f t="shared" si="85"/>
        <v>515947</v>
      </c>
      <c r="L94" s="11">
        <f t="shared" si="47"/>
        <v>541832</v>
      </c>
      <c r="M94" s="11">
        <f t="shared" si="75"/>
        <v>571565</v>
      </c>
      <c r="N94" s="15">
        <v>5000</v>
      </c>
      <c r="O94" s="11">
        <f t="shared" si="50"/>
        <v>613191</v>
      </c>
      <c r="P94" s="20">
        <v>7200</v>
      </c>
      <c r="Q94" s="11">
        <f t="shared" si="59"/>
        <v>641100</v>
      </c>
      <c r="R94" s="11">
        <f t="shared" si="60"/>
        <v>7500</v>
      </c>
      <c r="S94" s="15">
        <f t="shared" si="61"/>
        <v>648600</v>
      </c>
      <c r="T94" s="16">
        <v>43976</v>
      </c>
      <c r="U94" s="13" t="s">
        <v>335</v>
      </c>
      <c r="V94" s="14" t="s">
        <v>48</v>
      </c>
      <c r="W94" s="16">
        <v>45177</v>
      </c>
      <c r="X94" s="103" t="s">
        <v>464</v>
      </c>
      <c r="Y94" s="14" t="s">
        <v>48</v>
      </c>
      <c r="AA94" s="14"/>
      <c r="AB94" s="14"/>
      <c r="AD94" s="92"/>
      <c r="AE94" s="60"/>
      <c r="AF94" s="60"/>
      <c r="AG94" s="60"/>
      <c r="AH94" s="60">
        <v>603000</v>
      </c>
      <c r="AI94" s="60">
        <v>438012</v>
      </c>
      <c r="AJ94" s="60">
        <v>2040</v>
      </c>
      <c r="AL94" s="90" t="s">
        <v>408</v>
      </c>
    </row>
    <row r="95" spans="1:38" x14ac:dyDescent="0.25">
      <c r="A95" s="18" t="s">
        <v>261</v>
      </c>
      <c r="B95" s="14" t="s">
        <v>148</v>
      </c>
      <c r="C95" s="2" t="s">
        <v>200</v>
      </c>
      <c r="D95" s="14">
        <v>73</v>
      </c>
      <c r="E95" s="14"/>
      <c r="F95" s="14" t="s">
        <v>132</v>
      </c>
      <c r="G95" s="14" t="s">
        <v>210</v>
      </c>
      <c r="H95" s="61" t="s">
        <v>376</v>
      </c>
      <c r="I95" s="11">
        <v>483458</v>
      </c>
      <c r="J95" s="11">
        <v>590000</v>
      </c>
      <c r="K95" s="11">
        <f>ROUND(J95/145.8*147.5,0)</f>
        <v>596879</v>
      </c>
      <c r="L95" s="11">
        <f t="shared" si="47"/>
        <v>626824</v>
      </c>
      <c r="M95" s="11">
        <f t="shared" si="75"/>
        <v>661220</v>
      </c>
      <c r="N95" s="15">
        <v>43976</v>
      </c>
      <c r="O95" s="11">
        <f t="shared" si="50"/>
        <v>709375</v>
      </c>
      <c r="P95" s="11">
        <f t="shared" si="51"/>
        <v>48228</v>
      </c>
      <c r="Q95" s="11">
        <f t="shared" si="59"/>
        <v>741700</v>
      </c>
      <c r="R95" s="11">
        <f t="shared" si="60"/>
        <v>50100</v>
      </c>
      <c r="S95" s="15">
        <f t="shared" si="61"/>
        <v>791800</v>
      </c>
      <c r="T95" s="16">
        <v>43976</v>
      </c>
      <c r="U95" s="13" t="s">
        <v>312</v>
      </c>
      <c r="V95" s="14" t="s">
        <v>48</v>
      </c>
      <c r="W95" s="126" t="s">
        <v>479</v>
      </c>
      <c r="X95" s="103"/>
      <c r="Y95" s="14"/>
      <c r="AA95" s="14"/>
      <c r="AB95" s="14" t="s">
        <v>208</v>
      </c>
      <c r="AD95" s="80"/>
      <c r="AE95" s="61"/>
      <c r="AF95" s="61"/>
      <c r="AG95" s="61"/>
      <c r="AH95" s="60">
        <v>661004</v>
      </c>
      <c r="AI95" s="60">
        <v>438012</v>
      </c>
      <c r="AJ95" s="60"/>
      <c r="AL95" s="90" t="s">
        <v>412</v>
      </c>
    </row>
    <row r="96" spans="1:38" x14ac:dyDescent="0.25">
      <c r="A96" s="18" t="s">
        <v>261</v>
      </c>
      <c r="B96" s="21" t="s">
        <v>125</v>
      </c>
      <c r="C96" s="2" t="s">
        <v>201</v>
      </c>
      <c r="D96" s="14">
        <v>1</v>
      </c>
      <c r="E96" s="14"/>
      <c r="F96" s="14" t="s">
        <v>163</v>
      </c>
      <c r="G96" s="14" t="s">
        <v>210</v>
      </c>
      <c r="H96" s="61" t="s">
        <v>252</v>
      </c>
      <c r="I96" s="11">
        <v>263216</v>
      </c>
      <c r="J96" s="11">
        <f>315000*1.21</f>
        <v>381150</v>
      </c>
      <c r="K96" s="11">
        <f>ROUND(J96/135.6*147.5,0)</f>
        <v>414599</v>
      </c>
      <c r="L96" s="11">
        <f t="shared" si="47"/>
        <v>435399</v>
      </c>
      <c r="M96" s="11">
        <f t="shared" si="75"/>
        <v>459291</v>
      </c>
      <c r="N96" s="15"/>
      <c r="O96" s="11">
        <f t="shared" si="50"/>
        <v>492740</v>
      </c>
      <c r="P96" s="11">
        <f t="shared" si="51"/>
        <v>0</v>
      </c>
      <c r="Q96" s="11">
        <f t="shared" si="59"/>
        <v>515200</v>
      </c>
      <c r="R96" s="11">
        <f t="shared" si="60"/>
        <v>0</v>
      </c>
      <c r="S96" s="15">
        <f t="shared" si="61"/>
        <v>515200</v>
      </c>
      <c r="T96" s="16">
        <v>43628</v>
      </c>
      <c r="U96" s="13">
        <v>241176001</v>
      </c>
      <c r="V96" s="14" t="s">
        <v>48</v>
      </c>
      <c r="W96" s="16"/>
      <c r="X96" s="103"/>
      <c r="Y96" s="14"/>
      <c r="AA96" s="22" t="s">
        <v>348</v>
      </c>
      <c r="AB96" s="14" t="s">
        <v>304</v>
      </c>
      <c r="AD96" s="80"/>
      <c r="AE96" s="61"/>
      <c r="AF96" s="61"/>
      <c r="AG96" s="61"/>
      <c r="AH96" s="60">
        <v>603000</v>
      </c>
      <c r="AI96" s="60">
        <v>438012</v>
      </c>
      <c r="AJ96" s="60">
        <v>2071</v>
      </c>
      <c r="AL96" s="90" t="s">
        <v>412</v>
      </c>
    </row>
    <row r="97" spans="1:38" ht="12" customHeight="1" x14ac:dyDescent="0.25">
      <c r="A97" s="18" t="s">
        <v>261</v>
      </c>
      <c r="B97" s="14" t="s">
        <v>126</v>
      </c>
      <c r="C97" s="2" t="s">
        <v>202</v>
      </c>
      <c r="D97" s="14">
        <v>41</v>
      </c>
      <c r="E97" s="14"/>
      <c r="F97" s="14" t="s">
        <v>127</v>
      </c>
      <c r="G97" s="14" t="s">
        <v>210</v>
      </c>
      <c r="H97" s="61" t="s">
        <v>253</v>
      </c>
      <c r="I97" s="11">
        <v>177268</v>
      </c>
      <c r="J97" s="11">
        <v>210000</v>
      </c>
      <c r="K97" s="11">
        <f>ROUND(J97/145.8*147.5,0)</f>
        <v>212449</v>
      </c>
      <c r="L97" s="11">
        <f t="shared" si="47"/>
        <v>223107</v>
      </c>
      <c r="M97" s="11">
        <f t="shared" si="75"/>
        <v>235350</v>
      </c>
      <c r="N97" s="15"/>
      <c r="O97" s="11">
        <f t="shared" si="50"/>
        <v>252490</v>
      </c>
      <c r="P97" s="11">
        <f t="shared" si="51"/>
        <v>0</v>
      </c>
      <c r="Q97" s="11">
        <f t="shared" si="59"/>
        <v>264000</v>
      </c>
      <c r="R97" s="11">
        <f t="shared" si="60"/>
        <v>0</v>
      </c>
      <c r="S97" s="15">
        <f t="shared" si="61"/>
        <v>264000</v>
      </c>
      <c r="T97" s="16">
        <v>43976</v>
      </c>
      <c r="U97" s="13" t="s">
        <v>321</v>
      </c>
      <c r="V97" s="14" t="s">
        <v>48</v>
      </c>
      <c r="W97" s="16"/>
      <c r="X97" s="103"/>
      <c r="Y97" s="14"/>
      <c r="AA97" s="14"/>
      <c r="AB97" s="14" t="s">
        <v>208</v>
      </c>
      <c r="AD97" s="80"/>
      <c r="AE97" s="61"/>
      <c r="AF97" s="61"/>
      <c r="AG97" s="61"/>
      <c r="AH97" s="60">
        <v>603000</v>
      </c>
      <c r="AI97" s="60">
        <v>438012</v>
      </c>
      <c r="AJ97" s="60">
        <v>2042</v>
      </c>
      <c r="AL97" s="90" t="s">
        <v>412</v>
      </c>
    </row>
    <row r="98" spans="1:38" x14ac:dyDescent="0.25">
      <c r="A98" s="18" t="s">
        <v>263</v>
      </c>
      <c r="B98" s="14" t="s">
        <v>128</v>
      </c>
      <c r="C98" s="2" t="s">
        <v>203</v>
      </c>
      <c r="D98" s="14">
        <v>4102</v>
      </c>
      <c r="E98" s="14"/>
      <c r="F98" s="14" t="s">
        <v>129</v>
      </c>
      <c r="G98" s="14" t="s">
        <v>215</v>
      </c>
      <c r="H98" s="61" t="s">
        <v>377</v>
      </c>
      <c r="I98" s="11">
        <v>2512483</v>
      </c>
      <c r="J98" s="11">
        <f t="shared" si="52"/>
        <v>2680503</v>
      </c>
      <c r="K98" s="23">
        <f t="shared" si="53"/>
        <v>2881736</v>
      </c>
      <c r="L98" s="11">
        <f t="shared" si="47"/>
        <v>3026311</v>
      </c>
      <c r="M98" s="11">
        <v>3075000</v>
      </c>
      <c r="N98" s="15"/>
      <c r="O98" s="11">
        <f>M98</f>
        <v>3075000</v>
      </c>
      <c r="P98" s="11">
        <f t="shared" si="51"/>
        <v>0</v>
      </c>
      <c r="Q98" s="11">
        <f t="shared" si="59"/>
        <v>3215100</v>
      </c>
      <c r="R98" s="11">
        <f t="shared" si="60"/>
        <v>0</v>
      </c>
      <c r="S98" s="15">
        <f t="shared" si="61"/>
        <v>3215100</v>
      </c>
      <c r="T98" s="103">
        <v>45041</v>
      </c>
      <c r="U98" s="106" t="s">
        <v>444</v>
      </c>
      <c r="V98" s="14" t="s">
        <v>48</v>
      </c>
      <c r="W98" s="16"/>
      <c r="X98" s="103"/>
      <c r="Y98" s="14"/>
      <c r="AA98" s="14"/>
      <c r="AB98" s="14" t="s">
        <v>208</v>
      </c>
      <c r="AD98" s="80"/>
      <c r="AE98" s="61"/>
      <c r="AF98" s="61"/>
      <c r="AG98" s="61"/>
      <c r="AH98" s="60">
        <v>603000</v>
      </c>
      <c r="AI98" s="60">
        <v>438012</v>
      </c>
      <c r="AJ98" s="60">
        <v>2043</v>
      </c>
      <c r="AL98" s="90" t="s">
        <v>407</v>
      </c>
    </row>
    <row r="99" spans="1:38" x14ac:dyDescent="0.25">
      <c r="A99" s="18" t="s">
        <v>263</v>
      </c>
      <c r="B99" s="21" t="s">
        <v>130</v>
      </c>
      <c r="C99" s="2" t="s">
        <v>203</v>
      </c>
      <c r="D99" s="14">
        <v>4103</v>
      </c>
      <c r="E99" s="14"/>
      <c r="F99" s="14" t="s">
        <v>129</v>
      </c>
      <c r="G99" s="14" t="s">
        <v>215</v>
      </c>
      <c r="H99" s="61" t="s">
        <v>41</v>
      </c>
      <c r="I99" s="11">
        <v>847541</v>
      </c>
      <c r="J99" s="11">
        <f>920000*1.21</f>
        <v>1113200</v>
      </c>
      <c r="K99" s="11">
        <f>ROUND(J99/135.6*147.5,0)</f>
        <v>1210892</v>
      </c>
      <c r="L99" s="11">
        <f t="shared" si="47"/>
        <v>1271642</v>
      </c>
      <c r="M99" s="11">
        <f t="shared" ref="M99" si="86">ROUND(L99/154.9*163.4,0)</f>
        <v>1341422</v>
      </c>
      <c r="N99" s="15">
        <v>95000</v>
      </c>
      <c r="O99" s="11">
        <f t="shared" ref="O99" si="87">ROUND(M99/163.4*175.3,0)</f>
        <v>1439114</v>
      </c>
      <c r="P99" s="20">
        <v>111502</v>
      </c>
      <c r="Q99" s="11">
        <f t="shared" si="59"/>
        <v>1504700</v>
      </c>
      <c r="R99" s="11">
        <f t="shared" si="60"/>
        <v>115800</v>
      </c>
      <c r="S99" s="15">
        <f t="shared" si="61"/>
        <v>1620500</v>
      </c>
      <c r="T99" s="16">
        <v>43628</v>
      </c>
      <c r="U99" s="13">
        <v>241176001</v>
      </c>
      <c r="V99" s="14" t="s">
        <v>48</v>
      </c>
      <c r="W99" s="16">
        <v>45177</v>
      </c>
      <c r="X99" s="103" t="s">
        <v>464</v>
      </c>
      <c r="Y99" s="14" t="s">
        <v>48</v>
      </c>
      <c r="AA99" s="22" t="s">
        <v>348</v>
      </c>
      <c r="AB99" s="14" t="s">
        <v>304</v>
      </c>
      <c r="AD99" s="80" t="s">
        <v>394</v>
      </c>
      <c r="AE99" s="61"/>
      <c r="AF99" s="61"/>
      <c r="AG99" s="61"/>
      <c r="AH99" s="60">
        <v>652000</v>
      </c>
      <c r="AI99" s="60">
        <v>438012</v>
      </c>
      <c r="AJ99" s="60"/>
      <c r="AL99" s="91" t="s">
        <v>410</v>
      </c>
    </row>
    <row r="100" spans="1:38" x14ac:dyDescent="0.25">
      <c r="A100" s="18" t="s">
        <v>260</v>
      </c>
      <c r="B100" s="14" t="s">
        <v>131</v>
      </c>
      <c r="C100" s="2" t="s">
        <v>203</v>
      </c>
      <c r="D100" s="14">
        <v>4104</v>
      </c>
      <c r="E100" s="14"/>
      <c r="F100" s="14" t="s">
        <v>129</v>
      </c>
      <c r="G100" s="14" t="s">
        <v>215</v>
      </c>
      <c r="H100" s="61" t="s">
        <v>378</v>
      </c>
      <c r="I100" s="11">
        <v>2092673</v>
      </c>
      <c r="J100" s="11">
        <f t="shared" ref="J100" si="88">ROUND(I100/128.6*137.2,0)</f>
        <v>2232618</v>
      </c>
      <c r="K100" s="23">
        <f t="shared" ref="K100" si="89">ROUND(J100/137.2*147.5,0)</f>
        <v>2400227</v>
      </c>
      <c r="L100" s="11">
        <f t="shared" si="47"/>
        <v>2520645</v>
      </c>
      <c r="M100" s="11">
        <v>2825000</v>
      </c>
      <c r="N100" s="15">
        <v>312150</v>
      </c>
      <c r="O100" s="11">
        <f>M100</f>
        <v>2825000</v>
      </c>
      <c r="P100" s="20">
        <v>458106</v>
      </c>
      <c r="Q100" s="11">
        <f t="shared" si="59"/>
        <v>2953700</v>
      </c>
      <c r="R100" s="11">
        <f t="shared" si="60"/>
        <v>475700</v>
      </c>
      <c r="S100" s="15">
        <f t="shared" si="61"/>
        <v>3429400</v>
      </c>
      <c r="T100" s="103">
        <v>45041</v>
      </c>
      <c r="U100" s="106" t="s">
        <v>445</v>
      </c>
      <c r="V100" s="14" t="s">
        <v>48</v>
      </c>
      <c r="W100" s="16">
        <v>45177</v>
      </c>
      <c r="X100" s="103" t="s">
        <v>464</v>
      </c>
      <c r="Y100" s="14" t="s">
        <v>48</v>
      </c>
      <c r="AA100" s="14"/>
      <c r="AB100" s="14" t="s">
        <v>208</v>
      </c>
      <c r="AD100" s="109"/>
      <c r="AE100" s="68"/>
      <c r="AF100" s="68"/>
      <c r="AG100" s="68"/>
      <c r="AH100" s="60">
        <v>642001</v>
      </c>
      <c r="AI100" s="60">
        <v>438012</v>
      </c>
      <c r="AJ100" s="60"/>
      <c r="AL100" s="90" t="s">
        <v>407</v>
      </c>
    </row>
    <row r="101" spans="1:38" x14ac:dyDescent="0.25">
      <c r="A101" s="18" t="s">
        <v>278</v>
      </c>
      <c r="B101" s="14" t="s">
        <v>133</v>
      </c>
      <c r="C101" s="2" t="s">
        <v>281</v>
      </c>
      <c r="D101" s="14">
        <v>4</v>
      </c>
      <c r="E101" s="14"/>
      <c r="F101" s="14" t="s">
        <v>135</v>
      </c>
      <c r="G101" s="14" t="s">
        <v>215</v>
      </c>
      <c r="H101" s="60" t="s">
        <v>162</v>
      </c>
      <c r="I101" s="11">
        <v>1128461</v>
      </c>
      <c r="J101" s="11">
        <f t="shared" si="52"/>
        <v>1203926</v>
      </c>
      <c r="K101" s="23">
        <f t="shared" si="53"/>
        <v>1294308</v>
      </c>
      <c r="L101" s="11">
        <f t="shared" si="47"/>
        <v>1359243</v>
      </c>
      <c r="M101" s="11">
        <f t="shared" si="75"/>
        <v>1433830</v>
      </c>
      <c r="N101" s="15"/>
      <c r="O101" s="11">
        <f t="shared" si="50"/>
        <v>1538252</v>
      </c>
      <c r="P101" s="11">
        <f t="shared" si="51"/>
        <v>0</v>
      </c>
      <c r="Q101" s="11">
        <f t="shared" si="59"/>
        <v>1608300</v>
      </c>
      <c r="R101" s="11">
        <f t="shared" si="60"/>
        <v>0</v>
      </c>
      <c r="S101" s="15">
        <f t="shared" si="61"/>
        <v>1608300</v>
      </c>
      <c r="T101" s="16"/>
      <c r="U101" s="13"/>
      <c r="V101" s="14"/>
      <c r="W101" s="16"/>
      <c r="X101" s="103"/>
      <c r="Y101" s="14"/>
      <c r="AA101" s="14"/>
      <c r="AB101" s="14"/>
      <c r="AD101" s="92" t="s">
        <v>394</v>
      </c>
      <c r="AE101" s="60"/>
      <c r="AF101" s="60"/>
      <c r="AG101" s="60"/>
      <c r="AH101" s="60">
        <v>652002</v>
      </c>
      <c r="AI101" s="60">
        <v>438012</v>
      </c>
      <c r="AJ101" s="60">
        <v>11005</v>
      </c>
      <c r="AL101" s="91" t="s">
        <v>410</v>
      </c>
    </row>
    <row r="102" spans="1:38" x14ac:dyDescent="0.25">
      <c r="A102" s="18" t="s">
        <v>261</v>
      </c>
      <c r="B102" s="14" t="s">
        <v>134</v>
      </c>
      <c r="C102" s="2" t="s">
        <v>281</v>
      </c>
      <c r="D102" s="14">
        <v>6</v>
      </c>
      <c r="E102" s="14"/>
      <c r="F102" s="14" t="s">
        <v>135</v>
      </c>
      <c r="G102" s="14" t="s">
        <v>215</v>
      </c>
      <c r="H102" s="60" t="s">
        <v>254</v>
      </c>
      <c r="I102" s="11">
        <v>257845</v>
      </c>
      <c r="J102" s="11">
        <v>325000</v>
      </c>
      <c r="K102" s="11">
        <f>ROUND(J102/145.8*147.5,0)</f>
        <v>328789</v>
      </c>
      <c r="L102" s="11">
        <f t="shared" si="47"/>
        <v>345284</v>
      </c>
      <c r="M102" s="11">
        <f t="shared" si="75"/>
        <v>364231</v>
      </c>
      <c r="N102" s="15"/>
      <c r="O102" s="11">
        <f t="shared" si="50"/>
        <v>390757</v>
      </c>
      <c r="P102" s="11">
        <f t="shared" si="51"/>
        <v>0</v>
      </c>
      <c r="Q102" s="11">
        <f t="shared" si="59"/>
        <v>408600</v>
      </c>
      <c r="R102" s="11">
        <f t="shared" si="60"/>
        <v>0</v>
      </c>
      <c r="S102" s="15">
        <f t="shared" si="61"/>
        <v>408600</v>
      </c>
      <c r="T102" s="16">
        <v>43966</v>
      </c>
      <c r="U102" s="13" t="s">
        <v>318</v>
      </c>
      <c r="V102" s="14" t="s">
        <v>48</v>
      </c>
      <c r="W102" s="16"/>
      <c r="X102" s="103"/>
      <c r="Y102" s="14"/>
      <c r="AA102" s="14"/>
      <c r="AB102" s="14" t="s">
        <v>208</v>
      </c>
      <c r="AD102" s="92"/>
      <c r="AE102" s="60"/>
      <c r="AF102" s="60"/>
      <c r="AG102" s="60"/>
      <c r="AH102" s="60">
        <v>603000</v>
      </c>
      <c r="AI102" s="60">
        <v>438012</v>
      </c>
      <c r="AJ102" s="60">
        <v>2045</v>
      </c>
      <c r="AL102" s="90" t="s">
        <v>412</v>
      </c>
    </row>
    <row r="103" spans="1:38" x14ac:dyDescent="0.25">
      <c r="A103" s="18" t="s">
        <v>263</v>
      </c>
      <c r="B103" s="21" t="s">
        <v>136</v>
      </c>
      <c r="C103" s="2" t="s">
        <v>281</v>
      </c>
      <c r="D103" s="14">
        <v>8</v>
      </c>
      <c r="E103" s="14"/>
      <c r="F103" s="14" t="s">
        <v>135</v>
      </c>
      <c r="G103" s="14" t="s">
        <v>215</v>
      </c>
      <c r="H103" s="60" t="s">
        <v>379</v>
      </c>
      <c r="I103" s="11">
        <v>2323961</v>
      </c>
      <c r="J103" s="11">
        <f>2750000*1.21</f>
        <v>3327500</v>
      </c>
      <c r="K103" s="11">
        <f>ROUND(J103/135.6*147.5,0)</f>
        <v>3619515</v>
      </c>
      <c r="L103" s="11">
        <f t="shared" si="47"/>
        <v>3801104</v>
      </c>
      <c r="M103" s="11">
        <f t="shared" si="75"/>
        <v>4009686</v>
      </c>
      <c r="N103" s="15">
        <v>409800</v>
      </c>
      <c r="O103" s="11">
        <f t="shared" si="50"/>
        <v>4301701</v>
      </c>
      <c r="P103" s="20">
        <v>632830</v>
      </c>
      <c r="Q103" s="11">
        <f t="shared" si="59"/>
        <v>4497700</v>
      </c>
      <c r="R103" s="11">
        <f t="shared" si="60"/>
        <v>657100</v>
      </c>
      <c r="S103" s="15">
        <f t="shared" si="61"/>
        <v>5154800</v>
      </c>
      <c r="T103" s="16">
        <v>43628</v>
      </c>
      <c r="U103" s="13">
        <v>241176001</v>
      </c>
      <c r="V103" s="14" t="s">
        <v>48</v>
      </c>
      <c r="W103" s="16">
        <v>45177</v>
      </c>
      <c r="X103" s="103" t="s">
        <v>464</v>
      </c>
      <c r="Y103" s="14" t="s">
        <v>48</v>
      </c>
      <c r="AA103" s="22" t="s">
        <v>348</v>
      </c>
      <c r="AB103" s="14" t="s">
        <v>304</v>
      </c>
      <c r="AD103" s="108"/>
      <c r="AE103" s="65"/>
      <c r="AF103" s="65"/>
      <c r="AG103" s="65"/>
      <c r="AH103" s="60">
        <v>642000</v>
      </c>
      <c r="AI103" s="60">
        <v>438012</v>
      </c>
      <c r="AJ103" s="60"/>
      <c r="AL103" s="90" t="s">
        <v>407</v>
      </c>
    </row>
    <row r="104" spans="1:38" x14ac:dyDescent="0.25">
      <c r="A104" s="18"/>
      <c r="B104" s="14"/>
      <c r="C104" s="26" t="s">
        <v>307</v>
      </c>
      <c r="D104" s="14">
        <v>52</v>
      </c>
      <c r="E104" s="14" t="s">
        <v>308</v>
      </c>
      <c r="F104" s="14" t="s">
        <v>309</v>
      </c>
      <c r="G104" s="14" t="s">
        <v>210</v>
      </c>
      <c r="H104" s="60" t="s">
        <v>344</v>
      </c>
      <c r="I104" s="11"/>
      <c r="J104" s="11">
        <f t="shared" ref="J104" si="90">ROUND(I104/128.6*137.2,0)</f>
        <v>0</v>
      </c>
      <c r="K104" s="11">
        <v>121000</v>
      </c>
      <c r="L104" s="11">
        <f t="shared" si="47"/>
        <v>127071</v>
      </c>
      <c r="M104" s="11">
        <f t="shared" si="75"/>
        <v>134044</v>
      </c>
      <c r="N104" s="15">
        <v>51650</v>
      </c>
      <c r="O104" s="11">
        <f t="shared" si="50"/>
        <v>143806</v>
      </c>
      <c r="P104" s="20">
        <v>222822</v>
      </c>
      <c r="Q104" s="11">
        <f t="shared" si="59"/>
        <v>150400</v>
      </c>
      <c r="R104" s="11">
        <f t="shared" si="60"/>
        <v>231400</v>
      </c>
      <c r="S104" s="15">
        <f t="shared" si="61"/>
        <v>381800</v>
      </c>
      <c r="T104" s="16"/>
      <c r="U104" s="13"/>
      <c r="V104" s="14"/>
      <c r="W104" s="16">
        <v>45177</v>
      </c>
      <c r="X104" s="103" t="s">
        <v>464</v>
      </c>
      <c r="Y104" s="14" t="s">
        <v>48</v>
      </c>
      <c r="AA104" s="14"/>
      <c r="AB104" s="14" t="s">
        <v>310</v>
      </c>
      <c r="AD104" s="92" t="s">
        <v>393</v>
      </c>
      <c r="AE104" s="60"/>
      <c r="AF104" s="60"/>
      <c r="AG104" s="60"/>
      <c r="AH104" s="60">
        <v>655000</v>
      </c>
      <c r="AI104" s="60">
        <v>438012</v>
      </c>
      <c r="AJ104" s="60"/>
      <c r="AL104" s="91" t="s">
        <v>421</v>
      </c>
    </row>
    <row r="105" spans="1:38" s="62" customFormat="1" x14ac:dyDescent="0.25">
      <c r="A105" s="87"/>
      <c r="C105" s="26" t="s">
        <v>307</v>
      </c>
      <c r="D105" s="14">
        <v>66</v>
      </c>
      <c r="E105" s="14"/>
      <c r="F105" s="14" t="s">
        <v>309</v>
      </c>
      <c r="G105" s="14" t="s">
        <v>210</v>
      </c>
      <c r="H105" s="60" t="s">
        <v>460</v>
      </c>
      <c r="I105" s="115"/>
      <c r="J105" s="115"/>
      <c r="K105" s="115"/>
      <c r="L105" s="115"/>
      <c r="M105" s="115">
        <v>14425000</v>
      </c>
      <c r="N105" s="115"/>
      <c r="O105" s="20">
        <f>ROUND(M105/176.5*175.3,0)</f>
        <v>14326926</v>
      </c>
      <c r="P105" s="117">
        <v>1226819</v>
      </c>
      <c r="Q105" s="11">
        <f t="shared" si="59"/>
        <v>14979700</v>
      </c>
      <c r="R105" s="11">
        <f t="shared" si="60"/>
        <v>1273900</v>
      </c>
      <c r="S105" s="15">
        <f t="shared" si="61"/>
        <v>16253600</v>
      </c>
      <c r="T105" s="16">
        <v>45009</v>
      </c>
      <c r="U105" s="13" t="s">
        <v>463</v>
      </c>
      <c r="V105" s="14" t="s">
        <v>48</v>
      </c>
      <c r="W105" s="16">
        <v>45177</v>
      </c>
      <c r="X105" s="103" t="s">
        <v>464</v>
      </c>
      <c r="Y105" s="14" t="s">
        <v>48</v>
      </c>
      <c r="Z105" s="22"/>
      <c r="AB105" s="22" t="s">
        <v>462</v>
      </c>
      <c r="AD105" s="110"/>
      <c r="AE105" s="88"/>
      <c r="AF105" s="88"/>
      <c r="AG105" s="88"/>
      <c r="AH105" s="88"/>
      <c r="AI105" s="88"/>
      <c r="AJ105" s="88"/>
      <c r="AL105" s="88"/>
    </row>
    <row r="106" spans="1:38" s="62" customFormat="1" x14ac:dyDescent="0.25">
      <c r="A106" s="87"/>
      <c r="C106" s="26" t="s">
        <v>307</v>
      </c>
      <c r="D106" s="14">
        <v>72</v>
      </c>
      <c r="E106" s="14"/>
      <c r="F106" s="14" t="s">
        <v>309</v>
      </c>
      <c r="G106" s="14" t="s">
        <v>210</v>
      </c>
      <c r="H106" s="60" t="s">
        <v>460</v>
      </c>
      <c r="I106" s="115"/>
      <c r="J106" s="115"/>
      <c r="K106" s="115"/>
      <c r="L106" s="115"/>
      <c r="M106" s="115">
        <v>10225000</v>
      </c>
      <c r="N106" s="115"/>
      <c r="O106" s="20">
        <f>ROUND(M106/176.5*175.3,0)</f>
        <v>10155482</v>
      </c>
      <c r="P106" s="117">
        <v>1624849</v>
      </c>
      <c r="Q106" s="11">
        <f t="shared" si="59"/>
        <v>10618200</v>
      </c>
      <c r="R106" s="11">
        <f t="shared" si="60"/>
        <v>1687200</v>
      </c>
      <c r="S106" s="15">
        <f t="shared" si="61"/>
        <v>12305400</v>
      </c>
      <c r="T106" s="16">
        <v>45009</v>
      </c>
      <c r="U106" s="13" t="s">
        <v>461</v>
      </c>
      <c r="V106" s="14" t="s">
        <v>48</v>
      </c>
      <c r="W106" s="16">
        <v>45177</v>
      </c>
      <c r="X106" s="103" t="s">
        <v>464</v>
      </c>
      <c r="Y106" s="14" t="s">
        <v>48</v>
      </c>
      <c r="Z106" s="22"/>
      <c r="AB106" s="22" t="s">
        <v>462</v>
      </c>
      <c r="AD106" s="110"/>
      <c r="AE106" s="88"/>
      <c r="AF106" s="88"/>
      <c r="AG106" s="88"/>
      <c r="AH106" s="88"/>
      <c r="AI106" s="88"/>
      <c r="AJ106" s="88"/>
      <c r="AL106" s="88"/>
    </row>
    <row r="107" spans="1:38" x14ac:dyDescent="0.25">
      <c r="A107" s="18" t="s">
        <v>261</v>
      </c>
      <c r="B107" s="14" t="s">
        <v>244</v>
      </c>
      <c r="C107" s="2" t="s">
        <v>205</v>
      </c>
      <c r="D107" s="14">
        <v>6</v>
      </c>
      <c r="E107" s="14" t="s">
        <v>204</v>
      </c>
      <c r="F107" s="14" t="s">
        <v>137</v>
      </c>
      <c r="G107" s="14" t="s">
        <v>210</v>
      </c>
      <c r="H107" s="60" t="s">
        <v>255</v>
      </c>
      <c r="I107" s="11">
        <v>64461</v>
      </c>
      <c r="J107" s="11">
        <v>80000</v>
      </c>
      <c r="K107" s="11">
        <f>ROUND(J107/145.8*147.5,0)</f>
        <v>80933</v>
      </c>
      <c r="L107" s="11">
        <f t="shared" si="47"/>
        <v>84993</v>
      </c>
      <c r="M107" s="11">
        <f t="shared" si="75"/>
        <v>89657</v>
      </c>
      <c r="N107" s="15"/>
      <c r="O107" s="11">
        <f t="shared" si="50"/>
        <v>96186</v>
      </c>
      <c r="P107" s="11">
        <f t="shared" si="51"/>
        <v>0</v>
      </c>
      <c r="Q107" s="11">
        <f t="shared" si="59"/>
        <v>100600</v>
      </c>
      <c r="R107" s="11">
        <f t="shared" si="60"/>
        <v>0</v>
      </c>
      <c r="S107" s="15">
        <f t="shared" si="61"/>
        <v>100600</v>
      </c>
      <c r="T107" s="16">
        <v>43976</v>
      </c>
      <c r="U107" s="13" t="s">
        <v>319</v>
      </c>
      <c r="V107" s="14" t="s">
        <v>48</v>
      </c>
      <c r="W107" s="16"/>
      <c r="X107" s="103"/>
      <c r="Y107" s="14"/>
      <c r="AA107" s="14"/>
      <c r="AB107" s="14" t="s">
        <v>208</v>
      </c>
      <c r="AD107" s="92"/>
      <c r="AE107" s="60"/>
      <c r="AF107" s="60"/>
      <c r="AG107" s="60"/>
      <c r="AH107" s="60">
        <v>603000</v>
      </c>
      <c r="AI107" s="60">
        <v>438012</v>
      </c>
      <c r="AJ107" s="60">
        <v>2046</v>
      </c>
      <c r="AL107" s="90" t="s">
        <v>412</v>
      </c>
    </row>
    <row r="108" spans="1:38" x14ac:dyDescent="0.25">
      <c r="A108" s="15"/>
      <c r="B108" s="14"/>
      <c r="C108" s="2"/>
      <c r="D108" s="14"/>
      <c r="E108" s="14"/>
      <c r="F108" s="14"/>
      <c r="G108" s="14"/>
      <c r="H108" s="74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6"/>
      <c r="U108" s="13"/>
      <c r="V108" s="14"/>
      <c r="W108" s="16"/>
      <c r="X108" s="103"/>
      <c r="Y108" s="14"/>
      <c r="AA108" s="14"/>
      <c r="AB108" s="14"/>
      <c r="AD108" s="113"/>
      <c r="AE108" s="74"/>
      <c r="AF108" s="74"/>
      <c r="AG108" s="74"/>
      <c r="AH108" s="74"/>
      <c r="AI108" s="74"/>
      <c r="AJ108" s="74"/>
      <c r="AL108" s="74"/>
    </row>
    <row r="109" spans="1:38" s="25" customFormat="1" x14ac:dyDescent="0.25">
      <c r="A109" s="31"/>
      <c r="B109" s="24"/>
      <c r="C109" s="96" t="s">
        <v>153</v>
      </c>
      <c r="D109" s="24"/>
      <c r="E109" s="24"/>
      <c r="F109" s="24"/>
      <c r="G109" s="24"/>
      <c r="H109" s="60"/>
      <c r="I109" s="31">
        <v>178040367</v>
      </c>
      <c r="J109" s="31">
        <f t="shared" ref="J109:S109" si="91">SUM(J4:J108)</f>
        <v>165596519</v>
      </c>
      <c r="K109" s="31">
        <f t="shared" si="91"/>
        <v>176310299</v>
      </c>
      <c r="L109" s="31">
        <f t="shared" si="91"/>
        <v>185255694</v>
      </c>
      <c r="M109" s="31">
        <f t="shared" si="91"/>
        <v>222172518</v>
      </c>
      <c r="N109" s="32">
        <f t="shared" si="91"/>
        <v>17053628</v>
      </c>
      <c r="O109" s="31">
        <f t="shared" si="91"/>
        <v>234826262</v>
      </c>
      <c r="P109" s="32">
        <f t="shared" si="91"/>
        <v>28234129</v>
      </c>
      <c r="Q109" s="31">
        <f t="shared" si="91"/>
        <v>245501000</v>
      </c>
      <c r="R109" s="32">
        <f t="shared" si="91"/>
        <v>29317100</v>
      </c>
      <c r="S109" s="31">
        <f t="shared" si="91"/>
        <v>274818100</v>
      </c>
      <c r="T109" s="24"/>
      <c r="U109" s="100"/>
      <c r="V109" s="24"/>
      <c r="W109" s="24"/>
      <c r="X109" s="100"/>
      <c r="Y109" s="24"/>
      <c r="AA109" s="24"/>
      <c r="AB109" s="24"/>
      <c r="AD109" s="90"/>
      <c r="AE109" s="59"/>
      <c r="AF109" s="59"/>
      <c r="AG109" s="59"/>
      <c r="AH109" s="59"/>
      <c r="AI109" s="59"/>
      <c r="AJ109" s="59"/>
      <c r="AL109" s="60"/>
    </row>
    <row r="112" spans="1:38" x14ac:dyDescent="0.25">
      <c r="U112" s="118"/>
    </row>
  </sheetData>
  <autoFilter ref="A1:Y107" xr:uid="{38BF5FC8-7666-4E02-B22A-4454A1E07880}"/>
  <mergeCells count="8">
    <mergeCell ref="AH1:AH3"/>
    <mergeCell ref="AI1:AI3"/>
    <mergeCell ref="AJ1:AJ3"/>
    <mergeCell ref="AA1:AB1"/>
    <mergeCell ref="AA2:AB2"/>
    <mergeCell ref="AA3:AB3"/>
    <mergeCell ref="AD1:AD3"/>
    <mergeCell ref="AG1:AG3"/>
  </mergeCells>
  <phoneticPr fontId="9" type="noConversion"/>
  <pageMargins left="0.31496062992125984" right="0.31496062992125984" top="1.7322834645669292" bottom="0.94488188976377963" header="0.31496062992125984" footer="0.51181102362204722"/>
  <pageSetup paperSize="9" scale="80" fitToHeight="5" orientation="landscape" r:id="rId1"/>
  <headerFooter>
    <oddFooter>&amp;L&amp;F &amp;A&amp;C&amp;P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Gemeente Den Helder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Sjaco Stokman</dc:creator>
  <cp:lastModifiedBy>Petra Cornelisse</cp:lastModifiedBy>
  <cp:lastPrinted>2025-03-17T13:46:12Z</cp:lastPrinted>
  <dcterms:created xsi:type="dcterms:W3CDTF">2013-02-27T13:04:53Z</dcterms:created>
  <dcterms:modified xsi:type="dcterms:W3CDTF">2025-03-17T13:46:16Z</dcterms:modified>
</cp:coreProperties>
</file>