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fileSharing readOnlyRecommended="1"/>
  <workbookPr/>
  <mc:AlternateContent xmlns:mc="http://schemas.openxmlformats.org/markup-compatibility/2006">
    <mc:Choice Requires="x15">
      <x15ac:absPath xmlns:x15ac="http://schemas.microsoft.com/office/spreadsheetml/2010/11/ac" url="M:\Inkoop en Aanbesteding\Aanbesteding 2025\Schoonmaak\"/>
    </mc:Choice>
  </mc:AlternateContent>
  <xr:revisionPtr revIDLastSave="0" documentId="8_{B36A9A22-A2F6-4A01-80C6-16B1940C596D}" xr6:coauthVersionLast="47" xr6:coauthVersionMax="47" xr10:uidLastSave="{00000000-0000-0000-0000-000000000000}"/>
  <bookViews>
    <workbookView xWindow="-108" yWindow="-108" windowWidth="23256" windowHeight="12456" tabRatio="946"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Vloeronderhoud" sheetId="39" r:id="rId11"/>
    <sheet name="12-Sanitaire voorzieningen" sheetId="42" r:id="rId12"/>
  </sheets>
  <externalReferences>
    <externalReference r:id="rId13"/>
    <externalReference r:id="rId14"/>
    <externalReference r:id="rId15"/>
    <externalReference r:id="rId16"/>
    <externalReference r:id="rId17"/>
    <externalReference r:id="rId18"/>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0" hidden="1">'[2]#REF'!#REF!</definedName>
    <definedName name="_Fill" localSheetId="11" hidden="1">'[2]#REF'!#REF!</definedName>
    <definedName name="_Fill" localSheetId="1" hidden="1">'[3]#REF'!#REF!</definedName>
    <definedName name="_Fill" hidden="1">'[3]#REF'!#REF!</definedName>
    <definedName name="_filll" hidden="1">'[4]#REF'!#REF!</definedName>
    <definedName name="_xlnm._FilterDatabase" localSheetId="9" hidden="1">'10-Glasbewassing'!$A$13:$AB$148</definedName>
    <definedName name="_xlnm._FilterDatabase" localSheetId="10" hidden="1">'11-Vloeronderhoud'!$A$10:$AA$39</definedName>
    <definedName name="_xlnm._FilterDatabase" localSheetId="11" hidden="1">'12-Sanitaire voorzieningen'!$A$10:$R$28</definedName>
    <definedName name="_xlnm._FilterDatabase" localSheetId="1" hidden="1">'2-Kosten per locatie'!$A$14:$J$63</definedName>
    <definedName name="_xlnm._FilterDatabase" localSheetId="3" hidden="1">'4-Basis ruimtestaat'!$B$9:$X$841</definedName>
    <definedName name="_Hlk39130726" localSheetId="0">'1-Uitgangspunten'!$A$11</definedName>
    <definedName name="_Key1" localSheetId="9" hidden="1">'[2]#REF'!#REF!</definedName>
    <definedName name="_Key1" localSheetId="10" hidden="1">'[2]#REF'!#REF!</definedName>
    <definedName name="_Key1" localSheetId="11"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'1-Uitgangspunten'!#REF!</definedName>
    <definedName name="_Toc106114459" localSheetId="0">'1-Uitgangspunten'!$A$8</definedName>
    <definedName name="_Toc518445846" localSheetId="0">'1-Uitgangspunten'!$A$12</definedName>
    <definedName name="AccessDatabase" hidden="1">"C:\data\excel\BASISWP.mdb"</definedName>
    <definedName name="Additioneel" hidden="1">'[2]#REF'!#REF!</definedName>
    <definedName name="_xlnm.Print_Area" localSheetId="1">'2-Kosten per locatie'!$A$3:$AB$62</definedName>
    <definedName name="_xlnm.Print_Area" localSheetId="3">'4-Basis ruimtestaat'!$B$3:$X$437</definedName>
    <definedName name="_xlnm.Print_Area" localSheetId="4">'5-Premies en opslagen'!$A$3:$E$55</definedName>
    <definedName name="_xlnm.Print_Area" localSheetId="5">'6-Opbouw uurtarief productie'!$A$1:$P$63</definedName>
    <definedName name="_xlnm.Print_Area" localSheetId="8">'9-Afroepprijs'!$A$3:$F$58</definedName>
    <definedName name="_xlnm.Print_Titles" localSheetId="9">'10-Glasbewassing'!$13:$13</definedName>
    <definedName name="_xlnm.Print_Titles" localSheetId="10">'11-Vloeronderhoud'!$10:$10</definedName>
    <definedName name="_xlnm.Print_Titles" localSheetId="11">'12-Sanitaire voorzieningen'!$10:$10</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0" hidden="1">'[2]#REF'!#REF!</definedName>
    <definedName name="han" localSheetId="11"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8" i="35" l="1"/>
  <c r="J130" i="35"/>
  <c r="J118" i="35"/>
  <c r="J112" i="35"/>
  <c r="J109" i="35"/>
  <c r="J105" i="35"/>
  <c r="J101" i="35"/>
  <c r="J75" i="35"/>
  <c r="J146" i="35"/>
  <c r="J97" i="35"/>
  <c r="I15" i="31"/>
  <c r="G12" i="31"/>
  <c r="G13" i="31"/>
  <c r="G11" i="31"/>
  <c r="G48" i="35"/>
  <c r="H48" i="35" s="1"/>
  <c r="H23" i="42"/>
  <c r="H12" i="42"/>
  <c r="H13" i="42"/>
  <c r="H14" i="42"/>
  <c r="H15" i="42"/>
  <c r="H16" i="42"/>
  <c r="H17" i="42"/>
  <c r="H18" i="42"/>
  <c r="H19" i="42"/>
  <c r="H20" i="42"/>
  <c r="H21" i="42"/>
  <c r="H11" i="42"/>
  <c r="U11" i="2" l="1"/>
  <c r="U12" i="2"/>
  <c r="U13" i="2"/>
  <c r="U14" i="2"/>
  <c r="U15" i="2"/>
  <c r="U16" i="2"/>
  <c r="U17" i="2"/>
  <c r="U10"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8"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4" i="2"/>
  <c r="U165" i="2"/>
  <c r="U166" i="2"/>
  <c r="U167" i="2"/>
  <c r="U168" i="2"/>
  <c r="U169" i="2"/>
  <c r="U170" i="2"/>
  <c r="U171" i="2"/>
  <c r="U172" i="2"/>
  <c r="U173" i="2"/>
  <c r="U174" i="2"/>
  <c r="U175" i="2"/>
  <c r="U176" i="2"/>
  <c r="U177" i="2"/>
  <c r="U178" i="2"/>
  <c r="U179" i="2"/>
  <c r="U180" i="2"/>
  <c r="U181" i="2"/>
  <c r="U182" i="2"/>
  <c r="U183" i="2"/>
  <c r="U184" i="2"/>
  <c r="U185" i="2"/>
  <c r="U186" i="2"/>
  <c r="U187" i="2"/>
  <c r="U188" i="2"/>
  <c r="U189" i="2"/>
  <c r="U190" i="2"/>
  <c r="U191" i="2"/>
  <c r="U192" i="2"/>
  <c r="U193" i="2"/>
  <c r="U194" i="2"/>
  <c r="U195" i="2"/>
  <c r="U196" i="2"/>
  <c r="U197" i="2"/>
  <c r="U198" i="2"/>
  <c r="U199" i="2"/>
  <c r="U200" i="2"/>
  <c r="U201" i="2"/>
  <c r="U202" i="2"/>
  <c r="U203" i="2"/>
  <c r="U204" i="2"/>
  <c r="U205" i="2"/>
  <c r="U206" i="2"/>
  <c r="U207" i="2"/>
  <c r="U208" i="2"/>
  <c r="U209" i="2"/>
  <c r="U210" i="2"/>
  <c r="U211" i="2"/>
  <c r="U212" i="2"/>
  <c r="U213" i="2"/>
  <c r="U214" i="2"/>
  <c r="U215" i="2"/>
  <c r="U216" i="2"/>
  <c r="U217" i="2"/>
  <c r="U218" i="2"/>
  <c r="U219" i="2"/>
  <c r="U220" i="2"/>
  <c r="U221" i="2"/>
  <c r="U222" i="2"/>
  <c r="U223" i="2"/>
  <c r="U224" i="2"/>
  <c r="U225" i="2"/>
  <c r="U226" i="2"/>
  <c r="U227" i="2"/>
  <c r="U228" i="2"/>
  <c r="U229" i="2"/>
  <c r="U230" i="2"/>
  <c r="U231" i="2"/>
  <c r="U232" i="2"/>
  <c r="U233" i="2"/>
  <c r="U234" i="2"/>
  <c r="U235" i="2"/>
  <c r="U236" i="2"/>
  <c r="U237" i="2"/>
  <c r="U238" i="2"/>
  <c r="U239" i="2"/>
  <c r="U240" i="2"/>
  <c r="U241" i="2"/>
  <c r="U242" i="2"/>
  <c r="U243" i="2"/>
  <c r="U244" i="2"/>
  <c r="U245" i="2"/>
  <c r="U246" i="2"/>
  <c r="U247" i="2"/>
  <c r="U248" i="2"/>
  <c r="U249" i="2"/>
  <c r="U250" i="2"/>
  <c r="U251" i="2"/>
  <c r="U252" i="2"/>
  <c r="U253" i="2"/>
  <c r="U254" i="2"/>
  <c r="U255" i="2"/>
  <c r="U256" i="2"/>
  <c r="U257" i="2"/>
  <c r="U258" i="2"/>
  <c r="U259" i="2"/>
  <c r="U260" i="2"/>
  <c r="U261" i="2"/>
  <c r="U262" i="2"/>
  <c r="U263" i="2"/>
  <c r="U264" i="2"/>
  <c r="U265" i="2"/>
  <c r="U266" i="2"/>
  <c r="U267" i="2"/>
  <c r="U268" i="2"/>
  <c r="U269" i="2"/>
  <c r="U270" i="2"/>
  <c r="U271" i="2"/>
  <c r="U272" i="2"/>
  <c r="U273" i="2"/>
  <c r="U274" i="2"/>
  <c r="U275" i="2"/>
  <c r="U276" i="2"/>
  <c r="U277" i="2"/>
  <c r="U278" i="2"/>
  <c r="U279" i="2"/>
  <c r="U280" i="2"/>
  <c r="U281" i="2"/>
  <c r="U282" i="2"/>
  <c r="U283" i="2"/>
  <c r="U284" i="2"/>
  <c r="U285" i="2"/>
  <c r="U286" i="2"/>
  <c r="U287" i="2"/>
  <c r="U288" i="2"/>
  <c r="U293" i="2"/>
  <c r="U300" i="2"/>
  <c r="U345" i="2"/>
  <c r="U353" i="2"/>
  <c r="U365" i="2"/>
  <c r="U374" i="2"/>
  <c r="U375" i="2"/>
  <c r="U376" i="2"/>
  <c r="U377" i="2"/>
  <c r="U378" i="2"/>
  <c r="U379" i="2"/>
  <c r="U390" i="2"/>
  <c r="U391" i="2"/>
  <c r="U392" i="2"/>
  <c r="U393" i="2"/>
  <c r="U435" i="2"/>
  <c r="U436" i="2"/>
  <c r="U437" i="2"/>
  <c r="U438" i="2"/>
  <c r="U439" i="2"/>
  <c r="U440" i="2"/>
  <c r="U441" i="2"/>
  <c r="U442" i="2"/>
  <c r="U443" i="2"/>
  <c r="U444" i="2"/>
  <c r="U445" i="2"/>
  <c r="U446" i="2"/>
  <c r="U447" i="2"/>
  <c r="U448" i="2"/>
  <c r="U449" i="2"/>
  <c r="U450" i="2"/>
  <c r="U451" i="2"/>
  <c r="U460" i="2"/>
  <c r="U461" i="2"/>
  <c r="U462" i="2"/>
  <c r="U463" i="2"/>
  <c r="U464" i="2"/>
  <c r="U465" i="2"/>
  <c r="U466" i="2"/>
  <c r="U467" i="2"/>
  <c r="U468" i="2"/>
  <c r="U469" i="2"/>
  <c r="U470" i="2"/>
  <c r="U471" i="2"/>
  <c r="U472" i="2"/>
  <c r="U473" i="2"/>
  <c r="U474" i="2"/>
  <c r="U475" i="2"/>
  <c r="U476" i="2"/>
  <c r="U477" i="2"/>
  <c r="U478" i="2"/>
  <c r="U479" i="2"/>
  <c r="U480" i="2"/>
  <c r="U481" i="2"/>
  <c r="U482" i="2"/>
  <c r="U483" i="2"/>
  <c r="U484" i="2"/>
  <c r="U485" i="2"/>
  <c r="U486" i="2"/>
  <c r="U487" i="2"/>
  <c r="U488" i="2"/>
  <c r="U489" i="2"/>
  <c r="U490" i="2"/>
  <c r="U491" i="2"/>
  <c r="U492" i="2"/>
  <c r="U493" i="2"/>
  <c r="U494" i="2"/>
  <c r="U495" i="2"/>
  <c r="U496" i="2"/>
  <c r="U497" i="2"/>
  <c r="U498" i="2"/>
  <c r="U499" i="2"/>
  <c r="U500" i="2"/>
  <c r="U501" i="2"/>
  <c r="U502" i="2"/>
  <c r="U503" i="2"/>
  <c r="U504" i="2"/>
  <c r="U505" i="2"/>
  <c r="U506" i="2"/>
  <c r="U507" i="2"/>
  <c r="U508" i="2"/>
  <c r="U509" i="2"/>
  <c r="U510" i="2"/>
  <c r="U511" i="2"/>
  <c r="U512" i="2"/>
  <c r="U513" i="2"/>
  <c r="U514" i="2"/>
  <c r="U515" i="2"/>
  <c r="U516" i="2"/>
  <c r="U517" i="2"/>
  <c r="U518" i="2"/>
  <c r="U519" i="2"/>
  <c r="U520" i="2"/>
  <c r="U521" i="2"/>
  <c r="U522" i="2"/>
  <c r="U523" i="2"/>
  <c r="U524" i="2"/>
  <c r="U525" i="2"/>
  <c r="U526" i="2"/>
  <c r="U527" i="2"/>
  <c r="U528" i="2"/>
  <c r="U529" i="2"/>
  <c r="U530" i="2"/>
  <c r="U531" i="2"/>
  <c r="U532" i="2"/>
  <c r="U533" i="2"/>
  <c r="U534" i="2"/>
  <c r="U535" i="2"/>
  <c r="U536" i="2"/>
  <c r="U537" i="2"/>
  <c r="U538" i="2"/>
  <c r="U539" i="2"/>
  <c r="U540" i="2"/>
  <c r="U541" i="2"/>
  <c r="U542" i="2"/>
  <c r="U543" i="2"/>
  <c r="U544" i="2"/>
  <c r="U545" i="2"/>
  <c r="U546" i="2"/>
  <c r="U547" i="2"/>
  <c r="U548" i="2"/>
  <c r="U549" i="2"/>
  <c r="U550" i="2"/>
  <c r="U551" i="2"/>
  <c r="U552" i="2"/>
  <c r="U553" i="2"/>
  <c r="U554" i="2"/>
  <c r="U555" i="2"/>
  <c r="U556" i="2"/>
  <c r="U569" i="2"/>
  <c r="U571" i="2"/>
  <c r="U572" i="2"/>
  <c r="U582" i="2"/>
  <c r="U583" i="2"/>
  <c r="U584" i="2"/>
  <c r="U585" i="2"/>
  <c r="U586" i="2"/>
  <c r="U619" i="2"/>
  <c r="U621" i="2"/>
  <c r="U622" i="2"/>
  <c r="U623" i="2"/>
  <c r="U624" i="2"/>
  <c r="U625" i="2"/>
  <c r="U626" i="2"/>
  <c r="U629" i="2"/>
  <c r="U630" i="2"/>
  <c r="U631" i="2"/>
  <c r="U637" i="2"/>
  <c r="U639" i="2"/>
  <c r="U646" i="2"/>
  <c r="U647" i="2"/>
  <c r="U651" i="2"/>
  <c r="U653" i="2"/>
  <c r="U659" i="2"/>
  <c r="U661" i="2"/>
  <c r="U662" i="2"/>
  <c r="U665" i="2"/>
  <c r="U666" i="2"/>
  <c r="U667" i="2"/>
  <c r="U668" i="2"/>
  <c r="U669" i="2"/>
  <c r="U670" i="2"/>
  <c r="U671" i="2"/>
  <c r="U672" i="2"/>
  <c r="U673" i="2"/>
  <c r="U674" i="2"/>
  <c r="U675" i="2"/>
  <c r="U676" i="2"/>
  <c r="U677" i="2"/>
  <c r="U678" i="2"/>
  <c r="U685" i="2"/>
  <c r="U686" i="2"/>
  <c r="U707" i="2"/>
  <c r="U708" i="2"/>
  <c r="U710" i="2"/>
  <c r="U712" i="2"/>
  <c r="U714" i="2"/>
  <c r="U715" i="2"/>
  <c r="U723" i="2"/>
  <c r="U725" i="2"/>
  <c r="U728" i="2"/>
  <c r="U749" i="2"/>
  <c r="U750" i="2"/>
  <c r="U753" i="2"/>
  <c r="U754" i="2"/>
  <c r="U755" i="2"/>
  <c r="U756" i="2"/>
  <c r="U757" i="2"/>
  <c r="U758" i="2"/>
  <c r="U759" i="2"/>
  <c r="U760" i="2"/>
  <c r="U761" i="2"/>
  <c r="U762" i="2"/>
  <c r="U763" i="2"/>
  <c r="U764" i="2"/>
  <c r="U765" i="2"/>
  <c r="U766" i="2"/>
  <c r="U767" i="2"/>
  <c r="U768" i="2"/>
  <c r="U769" i="2"/>
  <c r="U770" i="2"/>
  <c r="U771" i="2"/>
  <c r="U772" i="2"/>
  <c r="U773" i="2"/>
  <c r="U774" i="2"/>
  <c r="U775" i="2"/>
  <c r="U776" i="2"/>
  <c r="U777" i="2"/>
  <c r="U778" i="2"/>
  <c r="U779" i="2"/>
  <c r="U780" i="2"/>
  <c r="U781" i="2"/>
  <c r="U782" i="2"/>
  <c r="U783" i="2"/>
  <c r="U784" i="2"/>
  <c r="U785" i="2"/>
  <c r="U786" i="2"/>
  <c r="U787" i="2"/>
  <c r="U788" i="2"/>
  <c r="U789" i="2"/>
  <c r="U790" i="2"/>
  <c r="U791" i="2"/>
  <c r="U792" i="2"/>
  <c r="U793" i="2"/>
  <c r="U794" i="2"/>
  <c r="U795" i="2"/>
  <c r="U796" i="2"/>
  <c r="U797" i="2"/>
  <c r="U798" i="2"/>
  <c r="U799" i="2"/>
  <c r="U800" i="2"/>
  <c r="U801" i="2"/>
  <c r="U802" i="2"/>
  <c r="U805" i="2"/>
  <c r="U806" i="2"/>
  <c r="U807" i="2"/>
  <c r="U813" i="2"/>
  <c r="U814" i="2"/>
  <c r="U816" i="2"/>
  <c r="U817" i="2"/>
  <c r="U818" i="2"/>
  <c r="U819" i="2"/>
  <c r="U820" i="2"/>
  <c r="U821" i="2"/>
  <c r="U822" i="2"/>
  <c r="U823" i="2"/>
  <c r="U824" i="2"/>
  <c r="U825" i="2"/>
  <c r="U826" i="2"/>
  <c r="U827" i="2"/>
  <c r="U828" i="2"/>
  <c r="U829" i="2"/>
  <c r="U830" i="2"/>
  <c r="U831" i="2"/>
  <c r="U832" i="2"/>
  <c r="U833" i="2"/>
  <c r="U834" i="2"/>
  <c r="U835" i="2"/>
  <c r="U836" i="2"/>
  <c r="U837" i="2"/>
  <c r="U838" i="2"/>
  <c r="U839" i="2"/>
  <c r="U840" i="2"/>
  <c r="U841" i="2"/>
  <c r="Q11" i="2"/>
  <c r="R11" i="2"/>
  <c r="Q12" i="2"/>
  <c r="R12" i="2"/>
  <c r="Q14" i="2"/>
  <c r="R14" i="2"/>
  <c r="Q15" i="2"/>
  <c r="R15" i="2"/>
  <c r="Q16" i="2"/>
  <c r="R16" i="2"/>
  <c r="Q17" i="2"/>
  <c r="R17" i="2"/>
  <c r="Q18" i="2"/>
  <c r="R18" i="2"/>
  <c r="Q19" i="2"/>
  <c r="R19" i="2"/>
  <c r="Q20" i="2"/>
  <c r="R20" i="2"/>
  <c r="Q21" i="2"/>
  <c r="R21" i="2"/>
  <c r="Q22" i="2"/>
  <c r="R22" i="2"/>
  <c r="Q23" i="2"/>
  <c r="R23" i="2"/>
  <c r="Q24" i="2"/>
  <c r="R24" i="2"/>
  <c r="Q25" i="2"/>
  <c r="R25" i="2"/>
  <c r="Q26" i="2"/>
  <c r="R26" i="2"/>
  <c r="Q27" i="2"/>
  <c r="R27" i="2"/>
  <c r="Q28" i="2"/>
  <c r="R28" i="2"/>
  <c r="Q29" i="2"/>
  <c r="R29" i="2"/>
  <c r="Q30" i="2"/>
  <c r="R30" i="2"/>
  <c r="Q31" i="2"/>
  <c r="R31" i="2"/>
  <c r="Q32" i="2"/>
  <c r="R32" i="2"/>
  <c r="Q33" i="2"/>
  <c r="R33" i="2"/>
  <c r="Q34" i="2"/>
  <c r="R34" i="2"/>
  <c r="Q35" i="2"/>
  <c r="R35" i="2"/>
  <c r="Q36" i="2"/>
  <c r="R36" i="2"/>
  <c r="Q37" i="2"/>
  <c r="R37" i="2"/>
  <c r="Q38" i="2"/>
  <c r="R38" i="2"/>
  <c r="Q39" i="2"/>
  <c r="R39" i="2"/>
  <c r="Q40" i="2"/>
  <c r="R40" i="2"/>
  <c r="Q41" i="2"/>
  <c r="R41" i="2"/>
  <c r="Q42" i="2"/>
  <c r="R42" i="2"/>
  <c r="Q43" i="2"/>
  <c r="R43" i="2"/>
  <c r="Q44" i="2"/>
  <c r="R44" i="2"/>
  <c r="R45" i="2"/>
  <c r="Q46" i="2"/>
  <c r="R46" i="2"/>
  <c r="Q47" i="2"/>
  <c r="R47" i="2"/>
  <c r="Q48" i="2"/>
  <c r="R48" i="2"/>
  <c r="Q49" i="2"/>
  <c r="R49" i="2"/>
  <c r="Q50" i="2"/>
  <c r="R50" i="2"/>
  <c r="Q51" i="2"/>
  <c r="R51" i="2"/>
  <c r="Q52" i="2"/>
  <c r="R52" i="2"/>
  <c r="Q53" i="2"/>
  <c r="R53" i="2"/>
  <c r="Q54" i="2"/>
  <c r="R54" i="2"/>
  <c r="Q55" i="2"/>
  <c r="R55" i="2"/>
  <c r="Q56" i="2"/>
  <c r="R56" i="2"/>
  <c r="Q57" i="2"/>
  <c r="R57" i="2"/>
  <c r="Q58" i="2"/>
  <c r="R58" i="2"/>
  <c r="Q59" i="2"/>
  <c r="R59" i="2"/>
  <c r="Q60" i="2"/>
  <c r="R60" i="2"/>
  <c r="Q61" i="2"/>
  <c r="R61" i="2"/>
  <c r="Q62" i="2"/>
  <c r="R62" i="2"/>
  <c r="Q63" i="2"/>
  <c r="R63" i="2"/>
  <c r="Q64" i="2"/>
  <c r="R64" i="2"/>
  <c r="Q65" i="2"/>
  <c r="R65" i="2"/>
  <c r="Q66" i="2"/>
  <c r="R66" i="2"/>
  <c r="Q67" i="2"/>
  <c r="R67" i="2"/>
  <c r="Q68" i="2"/>
  <c r="R68" i="2"/>
  <c r="Q69" i="2"/>
  <c r="R69" i="2"/>
  <c r="Q70" i="2"/>
  <c r="R70" i="2"/>
  <c r="Q71" i="2"/>
  <c r="R71" i="2"/>
  <c r="Q72" i="2"/>
  <c r="R72" i="2"/>
  <c r="Q73" i="2"/>
  <c r="R73" i="2"/>
  <c r="Q74" i="2"/>
  <c r="R74" i="2"/>
  <c r="Q75" i="2"/>
  <c r="R75" i="2"/>
  <c r="Q76" i="2"/>
  <c r="R76" i="2"/>
  <c r="Q77" i="2"/>
  <c r="R77" i="2"/>
  <c r="Q78" i="2"/>
  <c r="R78" i="2"/>
  <c r="Q79" i="2"/>
  <c r="R79" i="2"/>
  <c r="Q80" i="2"/>
  <c r="R80" i="2"/>
  <c r="Q81" i="2"/>
  <c r="R81" i="2"/>
  <c r="Q82" i="2"/>
  <c r="R82" i="2"/>
  <c r="Q83" i="2"/>
  <c r="R83" i="2"/>
  <c r="Q84" i="2"/>
  <c r="R84" i="2"/>
  <c r="Q85" i="2"/>
  <c r="R85" i="2"/>
  <c r="Q86" i="2"/>
  <c r="R86" i="2"/>
  <c r="Q87" i="2"/>
  <c r="R87" i="2"/>
  <c r="Q88" i="2"/>
  <c r="R88" i="2"/>
  <c r="Q89" i="2"/>
  <c r="R89" i="2"/>
  <c r="Q90" i="2"/>
  <c r="R90" i="2"/>
  <c r="Q91" i="2"/>
  <c r="R91" i="2"/>
  <c r="Q92" i="2"/>
  <c r="R92" i="2"/>
  <c r="Q93" i="2"/>
  <c r="R93" i="2"/>
  <c r="Q94" i="2"/>
  <c r="R94" i="2"/>
  <c r="Q95" i="2"/>
  <c r="R95" i="2"/>
  <c r="Q96" i="2"/>
  <c r="R96" i="2"/>
  <c r="Q97" i="2"/>
  <c r="R97" i="2"/>
  <c r="Q98" i="2"/>
  <c r="R98" i="2"/>
  <c r="Q99" i="2"/>
  <c r="R99" i="2"/>
  <c r="Q100" i="2"/>
  <c r="R100" i="2"/>
  <c r="Q101" i="2"/>
  <c r="R101" i="2"/>
  <c r="Q102" i="2"/>
  <c r="R102" i="2"/>
  <c r="Q103" i="2"/>
  <c r="R103" i="2"/>
  <c r="Q104" i="2"/>
  <c r="R104" i="2"/>
  <c r="Q105" i="2"/>
  <c r="R105" i="2"/>
  <c r="Q106" i="2"/>
  <c r="R106" i="2"/>
  <c r="Q107" i="2"/>
  <c r="R107" i="2"/>
  <c r="Q108" i="2"/>
  <c r="R108" i="2"/>
  <c r="Q109" i="2"/>
  <c r="R109" i="2"/>
  <c r="Q110" i="2"/>
  <c r="R110" i="2"/>
  <c r="Q111" i="2"/>
  <c r="R111" i="2"/>
  <c r="Q112" i="2"/>
  <c r="R112" i="2"/>
  <c r="Q113" i="2"/>
  <c r="R113" i="2"/>
  <c r="Q114" i="2"/>
  <c r="R114" i="2"/>
  <c r="Q115" i="2"/>
  <c r="R115" i="2"/>
  <c r="Q116" i="2"/>
  <c r="R116" i="2"/>
  <c r="Q117" i="2"/>
  <c r="R117" i="2"/>
  <c r="Q118" i="2"/>
  <c r="R118" i="2"/>
  <c r="Q119" i="2"/>
  <c r="R119" i="2"/>
  <c r="Q120" i="2"/>
  <c r="R120" i="2"/>
  <c r="Q121" i="2"/>
  <c r="R121" i="2"/>
  <c r="Q122" i="2"/>
  <c r="R122" i="2"/>
  <c r="Q123" i="2"/>
  <c r="R123" i="2"/>
  <c r="Q124" i="2"/>
  <c r="R124" i="2"/>
  <c r="Q125" i="2"/>
  <c r="R125" i="2"/>
  <c r="Q126" i="2"/>
  <c r="R126" i="2"/>
  <c r="Q127" i="2"/>
  <c r="R127" i="2"/>
  <c r="Q128" i="2"/>
  <c r="R128" i="2"/>
  <c r="Q129" i="2"/>
  <c r="R129" i="2"/>
  <c r="Q130" i="2"/>
  <c r="R130" i="2"/>
  <c r="Q131" i="2"/>
  <c r="R131" i="2"/>
  <c r="Q132" i="2"/>
  <c r="R132" i="2"/>
  <c r="Q133" i="2"/>
  <c r="R133" i="2"/>
  <c r="Q134" i="2"/>
  <c r="R134" i="2"/>
  <c r="Q135" i="2"/>
  <c r="R135" i="2"/>
  <c r="Q136" i="2"/>
  <c r="R136" i="2"/>
  <c r="Q137" i="2"/>
  <c r="R137" i="2"/>
  <c r="Q138" i="2"/>
  <c r="R138" i="2"/>
  <c r="Q139" i="2"/>
  <c r="R139" i="2"/>
  <c r="Q140" i="2"/>
  <c r="R140" i="2"/>
  <c r="Q141" i="2"/>
  <c r="R141" i="2"/>
  <c r="Q142" i="2"/>
  <c r="R142" i="2"/>
  <c r="Q143" i="2"/>
  <c r="R143" i="2"/>
  <c r="Q144" i="2"/>
  <c r="R144" i="2"/>
  <c r="Q145" i="2"/>
  <c r="R145" i="2"/>
  <c r="Q146" i="2"/>
  <c r="R146" i="2"/>
  <c r="Q147" i="2"/>
  <c r="R147" i="2"/>
  <c r="Q148" i="2"/>
  <c r="R148" i="2"/>
  <c r="Q149" i="2"/>
  <c r="R149" i="2"/>
  <c r="Q150" i="2"/>
  <c r="R150" i="2"/>
  <c r="Q151" i="2"/>
  <c r="R151" i="2"/>
  <c r="Q152" i="2"/>
  <c r="R152" i="2"/>
  <c r="Q153" i="2"/>
  <c r="R153" i="2"/>
  <c r="Q154" i="2"/>
  <c r="R154" i="2"/>
  <c r="Q155" i="2"/>
  <c r="R155" i="2"/>
  <c r="Q156" i="2"/>
  <c r="R156" i="2"/>
  <c r="Q157" i="2"/>
  <c r="R157" i="2"/>
  <c r="Q158" i="2"/>
  <c r="R158" i="2"/>
  <c r="Q159" i="2"/>
  <c r="R159" i="2"/>
  <c r="Q160" i="2"/>
  <c r="R160" i="2"/>
  <c r="Q161" i="2"/>
  <c r="R161" i="2"/>
  <c r="Q162" i="2"/>
  <c r="R162" i="2"/>
  <c r="Q163" i="2"/>
  <c r="R163" i="2"/>
  <c r="Q164" i="2"/>
  <c r="R164" i="2"/>
  <c r="Q165" i="2"/>
  <c r="R165" i="2"/>
  <c r="Q166" i="2"/>
  <c r="R166" i="2"/>
  <c r="Q167" i="2"/>
  <c r="R167" i="2"/>
  <c r="Q168" i="2"/>
  <c r="R168" i="2"/>
  <c r="Q169" i="2"/>
  <c r="R169" i="2"/>
  <c r="Q170" i="2"/>
  <c r="R170" i="2"/>
  <c r="Q171" i="2"/>
  <c r="R171" i="2"/>
  <c r="Q172" i="2"/>
  <c r="R172" i="2"/>
  <c r="Q173" i="2"/>
  <c r="R173" i="2"/>
  <c r="Q174" i="2"/>
  <c r="R174" i="2"/>
  <c r="Q175" i="2"/>
  <c r="R175" i="2"/>
  <c r="Q176" i="2"/>
  <c r="R176" i="2"/>
  <c r="Q177" i="2"/>
  <c r="R177" i="2"/>
  <c r="Q178" i="2"/>
  <c r="R178" i="2"/>
  <c r="Q179" i="2"/>
  <c r="R179" i="2"/>
  <c r="Q180" i="2"/>
  <c r="R180" i="2"/>
  <c r="Q181" i="2"/>
  <c r="R181" i="2"/>
  <c r="Q182" i="2"/>
  <c r="R182" i="2"/>
  <c r="Q183" i="2"/>
  <c r="R183" i="2"/>
  <c r="Q184" i="2"/>
  <c r="R184" i="2"/>
  <c r="Q185" i="2"/>
  <c r="R185" i="2"/>
  <c r="Q186" i="2"/>
  <c r="R186" i="2"/>
  <c r="Q187" i="2"/>
  <c r="R187" i="2"/>
  <c r="Q188" i="2"/>
  <c r="R188" i="2"/>
  <c r="Q189" i="2"/>
  <c r="R189" i="2"/>
  <c r="Q190" i="2"/>
  <c r="R190" i="2"/>
  <c r="Q191" i="2"/>
  <c r="R191" i="2"/>
  <c r="Q192" i="2"/>
  <c r="R192" i="2"/>
  <c r="Q193" i="2"/>
  <c r="R193" i="2"/>
  <c r="Q194" i="2"/>
  <c r="R194" i="2"/>
  <c r="Q195" i="2"/>
  <c r="R195" i="2"/>
  <c r="Q196" i="2"/>
  <c r="R196" i="2"/>
  <c r="Q197" i="2"/>
  <c r="R197" i="2"/>
  <c r="Q198" i="2"/>
  <c r="R198" i="2"/>
  <c r="Q199" i="2"/>
  <c r="R199" i="2"/>
  <c r="Q200" i="2"/>
  <c r="R200" i="2"/>
  <c r="Q201" i="2"/>
  <c r="R201" i="2"/>
  <c r="Q202" i="2"/>
  <c r="R202" i="2"/>
  <c r="Q203" i="2"/>
  <c r="R203" i="2"/>
  <c r="Q204" i="2"/>
  <c r="R204" i="2"/>
  <c r="Q205" i="2"/>
  <c r="R205" i="2"/>
  <c r="Q206" i="2"/>
  <c r="R206" i="2"/>
  <c r="Q207" i="2"/>
  <c r="R207" i="2"/>
  <c r="Q208" i="2"/>
  <c r="R208" i="2"/>
  <c r="Q209" i="2"/>
  <c r="R209" i="2"/>
  <c r="Q210" i="2"/>
  <c r="R210" i="2"/>
  <c r="Q211" i="2"/>
  <c r="R211" i="2"/>
  <c r="Q212" i="2"/>
  <c r="R212" i="2"/>
  <c r="Q213" i="2"/>
  <c r="R213" i="2"/>
  <c r="Q214" i="2"/>
  <c r="R214" i="2"/>
  <c r="Q215" i="2"/>
  <c r="R215" i="2"/>
  <c r="Q216" i="2"/>
  <c r="R216" i="2"/>
  <c r="Q217" i="2"/>
  <c r="R217" i="2"/>
  <c r="Q218" i="2"/>
  <c r="R218" i="2"/>
  <c r="Q219" i="2"/>
  <c r="R219" i="2"/>
  <c r="Q220" i="2"/>
  <c r="R220" i="2"/>
  <c r="Q221" i="2"/>
  <c r="R221" i="2"/>
  <c r="Q222" i="2"/>
  <c r="R222" i="2"/>
  <c r="Q223" i="2"/>
  <c r="R223" i="2"/>
  <c r="Q224" i="2"/>
  <c r="R224" i="2"/>
  <c r="Q225" i="2"/>
  <c r="R225" i="2"/>
  <c r="Q226" i="2"/>
  <c r="R226" i="2"/>
  <c r="Q227" i="2"/>
  <c r="R227" i="2"/>
  <c r="Q228" i="2"/>
  <c r="R228" i="2"/>
  <c r="Q229" i="2"/>
  <c r="R229" i="2"/>
  <c r="Q230" i="2"/>
  <c r="R230" i="2"/>
  <c r="Q231" i="2"/>
  <c r="R231" i="2"/>
  <c r="Q232" i="2"/>
  <c r="R232" i="2"/>
  <c r="Q233" i="2"/>
  <c r="R233" i="2"/>
  <c r="Q234" i="2"/>
  <c r="R234" i="2"/>
  <c r="Q235" i="2"/>
  <c r="R235" i="2"/>
  <c r="Q236" i="2"/>
  <c r="R236" i="2"/>
  <c r="Q237" i="2"/>
  <c r="R237" i="2"/>
  <c r="Q238" i="2"/>
  <c r="R238" i="2"/>
  <c r="Q239" i="2"/>
  <c r="R239" i="2"/>
  <c r="Q240" i="2"/>
  <c r="R240" i="2"/>
  <c r="Q241" i="2"/>
  <c r="R241" i="2"/>
  <c r="Q242" i="2"/>
  <c r="R242" i="2"/>
  <c r="Q243" i="2"/>
  <c r="R243" i="2"/>
  <c r="Q244" i="2"/>
  <c r="R244" i="2"/>
  <c r="Q245" i="2"/>
  <c r="R245" i="2"/>
  <c r="Q246" i="2"/>
  <c r="R246" i="2"/>
  <c r="Q247" i="2"/>
  <c r="R247" i="2"/>
  <c r="Q248" i="2"/>
  <c r="R248" i="2"/>
  <c r="Q249" i="2"/>
  <c r="R249" i="2"/>
  <c r="Q250" i="2"/>
  <c r="R250" i="2"/>
  <c r="Q251" i="2"/>
  <c r="R251" i="2"/>
  <c r="Q252" i="2"/>
  <c r="R252" i="2"/>
  <c r="Q253" i="2"/>
  <c r="R253" i="2"/>
  <c r="Q254" i="2"/>
  <c r="R254" i="2"/>
  <c r="Q255" i="2"/>
  <c r="R255" i="2"/>
  <c r="Q256" i="2"/>
  <c r="R256" i="2"/>
  <c r="Q257" i="2"/>
  <c r="R257" i="2"/>
  <c r="Q258" i="2"/>
  <c r="R258" i="2"/>
  <c r="Q259" i="2"/>
  <c r="R259" i="2"/>
  <c r="Q260" i="2"/>
  <c r="R260" i="2"/>
  <c r="Q261" i="2"/>
  <c r="R261" i="2"/>
  <c r="Q262" i="2"/>
  <c r="R262" i="2"/>
  <c r="Q263" i="2"/>
  <c r="R263" i="2"/>
  <c r="Q264" i="2"/>
  <c r="R264" i="2"/>
  <c r="Q265" i="2"/>
  <c r="R265" i="2"/>
  <c r="Q266" i="2"/>
  <c r="R266" i="2"/>
  <c r="Q267" i="2"/>
  <c r="R267" i="2"/>
  <c r="Q268" i="2"/>
  <c r="R268" i="2"/>
  <c r="Q269" i="2"/>
  <c r="R269" i="2"/>
  <c r="Q270" i="2"/>
  <c r="R270" i="2"/>
  <c r="Q271" i="2"/>
  <c r="R271" i="2"/>
  <c r="Q272" i="2"/>
  <c r="R272" i="2"/>
  <c r="Q273" i="2"/>
  <c r="R273" i="2"/>
  <c r="Q274" i="2"/>
  <c r="R274" i="2"/>
  <c r="Q275" i="2"/>
  <c r="R275" i="2"/>
  <c r="Q276" i="2"/>
  <c r="R276" i="2"/>
  <c r="Q277" i="2"/>
  <c r="R277" i="2"/>
  <c r="Q278" i="2"/>
  <c r="R278" i="2"/>
  <c r="Q279" i="2"/>
  <c r="R279" i="2"/>
  <c r="Q280" i="2"/>
  <c r="R280" i="2"/>
  <c r="Q281" i="2"/>
  <c r="R281" i="2"/>
  <c r="Q282" i="2"/>
  <c r="R282" i="2"/>
  <c r="Q283" i="2"/>
  <c r="R283" i="2"/>
  <c r="Q284" i="2"/>
  <c r="R284" i="2"/>
  <c r="Q285" i="2"/>
  <c r="R285" i="2"/>
  <c r="Q286" i="2"/>
  <c r="R286" i="2"/>
  <c r="Q287" i="2"/>
  <c r="R287" i="2"/>
  <c r="Q288" i="2"/>
  <c r="R288" i="2"/>
  <c r="Q289" i="2"/>
  <c r="Q290" i="2"/>
  <c r="Q291" i="2"/>
  <c r="Q292" i="2"/>
  <c r="Q293" i="2"/>
  <c r="R293" i="2"/>
  <c r="Q294" i="2"/>
  <c r="Q295" i="2"/>
  <c r="Q296" i="2"/>
  <c r="Q297" i="2"/>
  <c r="Q298" i="2"/>
  <c r="Q299" i="2"/>
  <c r="Q300" i="2"/>
  <c r="R300" i="2"/>
  <c r="Q301" i="2"/>
  <c r="Q302" i="2"/>
  <c r="Q311" i="2"/>
  <c r="Q312" i="2"/>
  <c r="Q313" i="2"/>
  <c r="Q314" i="2"/>
  <c r="Q315" i="2"/>
  <c r="Q316" i="2"/>
  <c r="Q317" i="2"/>
  <c r="Q318" i="2"/>
  <c r="Q345" i="2"/>
  <c r="R345" i="2"/>
  <c r="Q353" i="2"/>
  <c r="R353" i="2"/>
  <c r="Q365" i="2"/>
  <c r="R365" i="2"/>
  <c r="Q366" i="2"/>
  <c r="Q367" i="2"/>
  <c r="Q368" i="2"/>
  <c r="Q369" i="2"/>
  <c r="Q370" i="2"/>
  <c r="Q371" i="2"/>
  <c r="Q372" i="2"/>
  <c r="Q373" i="2"/>
  <c r="Q374" i="2"/>
  <c r="R374" i="2"/>
  <c r="Q375" i="2"/>
  <c r="R375" i="2"/>
  <c r="Q376" i="2"/>
  <c r="R376" i="2"/>
  <c r="Q377" i="2"/>
  <c r="R377" i="2"/>
  <c r="Q378" i="2"/>
  <c r="R378" i="2"/>
  <c r="Q379" i="2"/>
  <c r="R379" i="2"/>
  <c r="Q380" i="2"/>
  <c r="Q381" i="2"/>
  <c r="Q382" i="2"/>
  <c r="Q383" i="2"/>
  <c r="Q384" i="2"/>
  <c r="Q385" i="2"/>
  <c r="Q386" i="2"/>
  <c r="Q387" i="2"/>
  <c r="Q388" i="2"/>
  <c r="Q389" i="2"/>
  <c r="Q390" i="2"/>
  <c r="R390" i="2"/>
  <c r="Q391" i="2"/>
  <c r="R391" i="2"/>
  <c r="Q392" i="2"/>
  <c r="R392" i="2"/>
  <c r="Q393" i="2"/>
  <c r="R393" i="2"/>
  <c r="Q394" i="2"/>
  <c r="Q395" i="2"/>
  <c r="Q396" i="2"/>
  <c r="Q397" i="2"/>
  <c r="Q398" i="2"/>
  <c r="Q399" i="2"/>
  <c r="Q400" i="2"/>
  <c r="Q412" i="2"/>
  <c r="Q413" i="2"/>
  <c r="Q414" i="2"/>
  <c r="Q415" i="2"/>
  <c r="Q416" i="2"/>
  <c r="Q417" i="2"/>
  <c r="Q418" i="2"/>
  <c r="Q419" i="2"/>
  <c r="Q420" i="2"/>
  <c r="Q421" i="2"/>
  <c r="Q422" i="2"/>
  <c r="Q423" i="2"/>
  <c r="Q424" i="2"/>
  <c r="Q425" i="2"/>
  <c r="Q426" i="2"/>
  <c r="Q427" i="2"/>
  <c r="Q428" i="2"/>
  <c r="Q429" i="2"/>
  <c r="Q430" i="2"/>
  <c r="Q431" i="2"/>
  <c r="Q432" i="2"/>
  <c r="Q433" i="2"/>
  <c r="Q434" i="2"/>
  <c r="Q435" i="2"/>
  <c r="R435" i="2"/>
  <c r="Q436" i="2"/>
  <c r="R436" i="2"/>
  <c r="Q437" i="2"/>
  <c r="R437" i="2"/>
  <c r="Q438" i="2"/>
  <c r="R438" i="2"/>
  <c r="Q439" i="2"/>
  <c r="R439" i="2"/>
  <c r="Q440" i="2"/>
  <c r="R440" i="2"/>
  <c r="Q441" i="2"/>
  <c r="R441" i="2"/>
  <c r="Q442" i="2"/>
  <c r="R442" i="2"/>
  <c r="Q443" i="2"/>
  <c r="R443" i="2"/>
  <c r="Q444" i="2"/>
  <c r="R444" i="2"/>
  <c r="Q445" i="2"/>
  <c r="R445" i="2"/>
  <c r="Q446" i="2"/>
  <c r="R446" i="2"/>
  <c r="Q447" i="2"/>
  <c r="R447" i="2"/>
  <c r="Q448" i="2"/>
  <c r="R448" i="2"/>
  <c r="Q449" i="2"/>
  <c r="R449" i="2"/>
  <c r="Q450" i="2"/>
  <c r="R450" i="2"/>
  <c r="Q451" i="2"/>
  <c r="R451" i="2"/>
  <c r="Q452" i="2"/>
  <c r="Q453" i="2"/>
  <c r="Q454" i="2"/>
  <c r="Q455" i="2"/>
  <c r="Q456" i="2"/>
  <c r="Q457" i="2"/>
  <c r="Q458" i="2"/>
  <c r="Q459" i="2"/>
  <c r="R460" i="2"/>
  <c r="R461" i="2"/>
  <c r="Q462" i="2"/>
  <c r="R462" i="2"/>
  <c r="Q463" i="2"/>
  <c r="R463" i="2"/>
  <c r="R464" i="2"/>
  <c r="R465" i="2"/>
  <c r="R466" i="2"/>
  <c r="R467" i="2"/>
  <c r="R468" i="2"/>
  <c r="R469" i="2"/>
  <c r="R470" i="2"/>
  <c r="R471" i="2"/>
  <c r="R472" i="2"/>
  <c r="R473" i="2"/>
  <c r="R474" i="2"/>
  <c r="R475" i="2"/>
  <c r="R476" i="2"/>
  <c r="R477" i="2"/>
  <c r="R478" i="2"/>
  <c r="R479" i="2"/>
  <c r="R480" i="2"/>
  <c r="R481" i="2"/>
  <c r="R482" i="2"/>
  <c r="R483" i="2"/>
  <c r="R484" i="2"/>
  <c r="R485" i="2"/>
  <c r="R486" i="2"/>
  <c r="Q487" i="2"/>
  <c r="R487" i="2"/>
  <c r="R488" i="2"/>
  <c r="R489" i="2"/>
  <c r="R490" i="2"/>
  <c r="Q491" i="2"/>
  <c r="R491" i="2"/>
  <c r="Q492" i="2"/>
  <c r="R492" i="2"/>
  <c r="Q493" i="2"/>
  <c r="R493" i="2"/>
  <c r="Q494" i="2"/>
  <c r="R494" i="2"/>
  <c r="Q495" i="2"/>
  <c r="R495" i="2"/>
  <c r="Q496" i="2"/>
  <c r="R496" i="2"/>
  <c r="Q497" i="2"/>
  <c r="R497" i="2"/>
  <c r="Q498" i="2"/>
  <c r="R498" i="2"/>
  <c r="Q499" i="2"/>
  <c r="R499" i="2"/>
  <c r="Q500" i="2"/>
  <c r="R500" i="2"/>
  <c r="Q501" i="2"/>
  <c r="R501" i="2"/>
  <c r="Q502" i="2"/>
  <c r="R502" i="2"/>
  <c r="Q503" i="2"/>
  <c r="R503" i="2"/>
  <c r="Q504" i="2"/>
  <c r="R504" i="2"/>
  <c r="Q505" i="2"/>
  <c r="R505" i="2"/>
  <c r="Q506" i="2"/>
  <c r="R506" i="2"/>
  <c r="Q507" i="2"/>
  <c r="R507" i="2"/>
  <c r="Q508" i="2"/>
  <c r="R508" i="2"/>
  <c r="Q509" i="2"/>
  <c r="R509" i="2"/>
  <c r="Q510" i="2"/>
  <c r="R510" i="2"/>
  <c r="Q511" i="2"/>
  <c r="R511" i="2"/>
  <c r="Q512" i="2"/>
  <c r="R512" i="2"/>
  <c r="Q513" i="2"/>
  <c r="R513" i="2"/>
  <c r="Q514" i="2"/>
  <c r="R514" i="2"/>
  <c r="Q515" i="2"/>
  <c r="R515" i="2"/>
  <c r="Q516" i="2"/>
  <c r="R516" i="2"/>
  <c r="Q517" i="2"/>
  <c r="R517" i="2"/>
  <c r="Q518" i="2"/>
  <c r="R518" i="2"/>
  <c r="Q519" i="2"/>
  <c r="R519" i="2"/>
  <c r="Q520" i="2"/>
  <c r="R520" i="2"/>
  <c r="Q521" i="2"/>
  <c r="R521" i="2"/>
  <c r="Q522" i="2"/>
  <c r="R522" i="2"/>
  <c r="Q523" i="2"/>
  <c r="R523" i="2"/>
  <c r="Q524" i="2"/>
  <c r="R524" i="2"/>
  <c r="Q525" i="2"/>
  <c r="R525" i="2"/>
  <c r="Q526" i="2"/>
  <c r="R526" i="2"/>
  <c r="Q527" i="2"/>
  <c r="R527" i="2"/>
  <c r="Q528" i="2"/>
  <c r="R528" i="2"/>
  <c r="Q529" i="2"/>
  <c r="R529" i="2"/>
  <c r="Q530" i="2"/>
  <c r="R530" i="2"/>
  <c r="Q531" i="2"/>
  <c r="R531" i="2"/>
  <c r="Q532" i="2"/>
  <c r="R532" i="2"/>
  <c r="Q533" i="2"/>
  <c r="R533" i="2"/>
  <c r="Q534" i="2"/>
  <c r="R534" i="2"/>
  <c r="Q535" i="2"/>
  <c r="R535" i="2"/>
  <c r="Q536" i="2"/>
  <c r="R536" i="2"/>
  <c r="Q537" i="2"/>
  <c r="R537" i="2"/>
  <c r="Q538" i="2"/>
  <c r="R538" i="2"/>
  <c r="Q539" i="2"/>
  <c r="R539" i="2"/>
  <c r="Q540" i="2"/>
  <c r="R540" i="2"/>
  <c r="Q541" i="2"/>
  <c r="R541" i="2"/>
  <c r="Q542" i="2"/>
  <c r="R542" i="2"/>
  <c r="Q543" i="2"/>
  <c r="R543" i="2"/>
  <c r="Q544" i="2"/>
  <c r="R544" i="2"/>
  <c r="Q545" i="2"/>
  <c r="R545" i="2"/>
  <c r="Q546" i="2"/>
  <c r="R546" i="2"/>
  <c r="Q547" i="2"/>
  <c r="R547" i="2"/>
  <c r="Q548" i="2"/>
  <c r="R548" i="2"/>
  <c r="Q549" i="2"/>
  <c r="R549" i="2"/>
  <c r="Q550" i="2"/>
  <c r="R550" i="2"/>
  <c r="Q551" i="2"/>
  <c r="R551" i="2"/>
  <c r="Q552" i="2"/>
  <c r="R552" i="2"/>
  <c r="Q553" i="2"/>
  <c r="R553" i="2"/>
  <c r="Q554" i="2"/>
  <c r="R554" i="2"/>
  <c r="Q555" i="2"/>
  <c r="R555" i="2"/>
  <c r="Q556" i="2"/>
  <c r="R556" i="2"/>
  <c r="Q569" i="2"/>
  <c r="R569" i="2"/>
  <c r="Q571" i="2"/>
  <c r="R571" i="2"/>
  <c r="Q572" i="2"/>
  <c r="R572" i="2"/>
  <c r="Q573" i="2"/>
  <c r="Q574" i="2"/>
  <c r="Q575" i="2"/>
  <c r="Q576" i="2"/>
  <c r="Q577" i="2"/>
  <c r="Q578" i="2"/>
  <c r="Q579" i="2"/>
  <c r="Q580" i="2"/>
  <c r="Q581" i="2"/>
  <c r="Q582" i="2"/>
  <c r="R582" i="2"/>
  <c r="Q583" i="2"/>
  <c r="R583" i="2"/>
  <c r="Q584" i="2"/>
  <c r="R584" i="2"/>
  <c r="Q585" i="2"/>
  <c r="R585" i="2"/>
  <c r="Q586" i="2"/>
  <c r="R586" i="2"/>
  <c r="Q619" i="2"/>
  <c r="R619" i="2"/>
  <c r="Q621" i="2"/>
  <c r="R621" i="2"/>
  <c r="Q622" i="2"/>
  <c r="R622" i="2"/>
  <c r="Q623" i="2"/>
  <c r="R623" i="2"/>
  <c r="Q624" i="2"/>
  <c r="R624" i="2"/>
  <c r="Q625" i="2"/>
  <c r="R625" i="2"/>
  <c r="Q626" i="2"/>
  <c r="R626" i="2"/>
  <c r="Q627" i="2"/>
  <c r="Q628" i="2"/>
  <c r="Q629" i="2"/>
  <c r="R629" i="2"/>
  <c r="Q630" i="2"/>
  <c r="R630" i="2"/>
  <c r="Q631" i="2"/>
  <c r="R631" i="2"/>
  <c r="Q632" i="2"/>
  <c r="Q633" i="2"/>
  <c r="Q634" i="2"/>
  <c r="Q635" i="2"/>
  <c r="Q636" i="2"/>
  <c r="Q637" i="2"/>
  <c r="R637" i="2"/>
  <c r="Q638" i="2"/>
  <c r="Q639" i="2"/>
  <c r="R639" i="2"/>
  <c r="Q640" i="2"/>
  <c r="Q641" i="2"/>
  <c r="Q642" i="2"/>
  <c r="Q643" i="2"/>
  <c r="Q644" i="2"/>
  <c r="Q645" i="2"/>
  <c r="Q646" i="2"/>
  <c r="R646" i="2"/>
  <c r="Q647" i="2"/>
  <c r="R647" i="2"/>
  <c r="Q648" i="2"/>
  <c r="Q649" i="2"/>
  <c r="Q650" i="2"/>
  <c r="Q651" i="2"/>
  <c r="R651" i="2"/>
  <c r="Q652" i="2"/>
  <c r="Q653" i="2"/>
  <c r="R653" i="2"/>
  <c r="Q654" i="2"/>
  <c r="Q655" i="2"/>
  <c r="Q656" i="2"/>
  <c r="Q657" i="2"/>
  <c r="Q658" i="2"/>
  <c r="Q659" i="2"/>
  <c r="R659" i="2"/>
  <c r="Q660" i="2"/>
  <c r="Q661" i="2"/>
  <c r="R661" i="2"/>
  <c r="Q662" i="2"/>
  <c r="R662" i="2"/>
  <c r="Q663" i="2"/>
  <c r="Q664" i="2"/>
  <c r="Q665" i="2"/>
  <c r="R665" i="2"/>
  <c r="Q666" i="2"/>
  <c r="R666" i="2"/>
  <c r="Q667" i="2"/>
  <c r="R667" i="2"/>
  <c r="Q668" i="2"/>
  <c r="R668" i="2"/>
  <c r="Q669" i="2"/>
  <c r="R669" i="2"/>
  <c r="Q670" i="2"/>
  <c r="R670" i="2"/>
  <c r="Q671" i="2"/>
  <c r="R671" i="2"/>
  <c r="Q672" i="2"/>
  <c r="R672" i="2"/>
  <c r="Q673" i="2"/>
  <c r="R673" i="2"/>
  <c r="Q674" i="2"/>
  <c r="R674" i="2"/>
  <c r="Q675" i="2"/>
  <c r="R675" i="2"/>
  <c r="Q676" i="2"/>
  <c r="R676" i="2"/>
  <c r="Q677" i="2"/>
  <c r="R677" i="2"/>
  <c r="Q678" i="2"/>
  <c r="R678" i="2"/>
  <c r="Q679" i="2"/>
  <c r="Q680" i="2"/>
  <c r="Q681" i="2"/>
  <c r="Q682" i="2"/>
  <c r="Q683" i="2"/>
  <c r="Q684" i="2"/>
  <c r="Q685" i="2"/>
  <c r="R685" i="2"/>
  <c r="Q686" i="2"/>
  <c r="R686" i="2"/>
  <c r="Q687" i="2"/>
  <c r="Q688" i="2"/>
  <c r="Q689" i="2"/>
  <c r="Q690" i="2"/>
  <c r="Q691" i="2"/>
  <c r="Q692" i="2"/>
  <c r="Q693" i="2"/>
  <c r="Q694" i="2"/>
  <c r="Q695" i="2"/>
  <c r="Q696" i="2"/>
  <c r="Q697" i="2"/>
  <c r="Q698" i="2"/>
  <c r="Q699" i="2"/>
  <c r="Q700" i="2"/>
  <c r="Q701" i="2"/>
  <c r="Q702" i="2"/>
  <c r="Q703" i="2"/>
  <c r="Q704" i="2"/>
  <c r="Q705" i="2"/>
  <c r="Q706" i="2"/>
  <c r="Q707" i="2"/>
  <c r="R707" i="2"/>
  <c r="Q708" i="2"/>
  <c r="R708" i="2"/>
  <c r="Q709" i="2"/>
  <c r="Q710" i="2"/>
  <c r="R710" i="2"/>
  <c r="Q711" i="2"/>
  <c r="Q712" i="2"/>
  <c r="R712" i="2"/>
  <c r="Q713" i="2"/>
  <c r="Q714" i="2"/>
  <c r="R714" i="2"/>
  <c r="Q715" i="2"/>
  <c r="R715" i="2"/>
  <c r="Q716" i="2"/>
  <c r="Q717" i="2"/>
  <c r="Q718" i="2"/>
  <c r="Q719" i="2"/>
  <c r="Q720" i="2"/>
  <c r="Q721" i="2"/>
  <c r="Q722" i="2"/>
  <c r="Q723" i="2"/>
  <c r="R723" i="2"/>
  <c r="Q724" i="2"/>
  <c r="Q725" i="2"/>
  <c r="R725" i="2"/>
  <c r="Q726" i="2"/>
  <c r="Q727" i="2"/>
  <c r="Q728" i="2"/>
  <c r="R728" i="2"/>
  <c r="Q729" i="2"/>
  <c r="Q730" i="2"/>
  <c r="Q731" i="2"/>
  <c r="Q732" i="2"/>
  <c r="Q733" i="2"/>
  <c r="Q734" i="2"/>
  <c r="Q735" i="2"/>
  <c r="Q736" i="2"/>
  <c r="Q737" i="2"/>
  <c r="Q738" i="2"/>
  <c r="Q739" i="2"/>
  <c r="Q740" i="2"/>
  <c r="Q741" i="2"/>
  <c r="Q742" i="2"/>
  <c r="Q743" i="2"/>
  <c r="Q744" i="2"/>
  <c r="Q745" i="2"/>
  <c r="Q746" i="2"/>
  <c r="Q747" i="2"/>
  <c r="Q748" i="2"/>
  <c r="Q749" i="2"/>
  <c r="R749" i="2"/>
  <c r="Q750" i="2"/>
  <c r="R750" i="2"/>
  <c r="Q751" i="2"/>
  <c r="Q752" i="2"/>
  <c r="Q753" i="2"/>
  <c r="R753" i="2"/>
  <c r="Q754" i="2"/>
  <c r="R754" i="2"/>
  <c r="Q755" i="2"/>
  <c r="R755" i="2"/>
  <c r="Q756" i="2"/>
  <c r="R756" i="2"/>
  <c r="Q757" i="2"/>
  <c r="R757" i="2"/>
  <c r="Q758" i="2"/>
  <c r="R758" i="2"/>
  <c r="Q759" i="2"/>
  <c r="R759" i="2"/>
  <c r="Q760" i="2"/>
  <c r="R760" i="2"/>
  <c r="Q761" i="2"/>
  <c r="R761" i="2"/>
  <c r="Q762" i="2"/>
  <c r="R762" i="2"/>
  <c r="Q763" i="2"/>
  <c r="R763" i="2"/>
  <c r="Q764" i="2"/>
  <c r="R764" i="2"/>
  <c r="Q765" i="2"/>
  <c r="R765" i="2"/>
  <c r="Q766" i="2"/>
  <c r="R766" i="2"/>
  <c r="Q767" i="2"/>
  <c r="R767" i="2"/>
  <c r="Q768" i="2"/>
  <c r="R768" i="2"/>
  <c r="Q769" i="2"/>
  <c r="R769" i="2"/>
  <c r="Q770" i="2"/>
  <c r="R770" i="2"/>
  <c r="Q771" i="2"/>
  <c r="R771" i="2"/>
  <c r="Q772" i="2"/>
  <c r="R772" i="2"/>
  <c r="Q773" i="2"/>
  <c r="R773" i="2"/>
  <c r="Q774" i="2"/>
  <c r="R774" i="2"/>
  <c r="Q775" i="2"/>
  <c r="R775" i="2"/>
  <c r="Q776" i="2"/>
  <c r="R776" i="2"/>
  <c r="Q777" i="2"/>
  <c r="R777" i="2"/>
  <c r="Q778" i="2"/>
  <c r="R778" i="2"/>
  <c r="Q779" i="2"/>
  <c r="R779" i="2"/>
  <c r="Q780" i="2"/>
  <c r="R780" i="2"/>
  <c r="Q781" i="2"/>
  <c r="R781" i="2"/>
  <c r="Q782" i="2"/>
  <c r="R782" i="2"/>
  <c r="Q783" i="2"/>
  <c r="R783" i="2"/>
  <c r="Q784" i="2"/>
  <c r="R784" i="2"/>
  <c r="Q785" i="2"/>
  <c r="R785" i="2"/>
  <c r="Q786" i="2"/>
  <c r="R786" i="2"/>
  <c r="Q787" i="2"/>
  <c r="R787" i="2"/>
  <c r="Q788" i="2"/>
  <c r="R788" i="2"/>
  <c r="Q789" i="2"/>
  <c r="R789" i="2"/>
  <c r="Q790" i="2"/>
  <c r="R790" i="2"/>
  <c r="Q791" i="2"/>
  <c r="R791" i="2"/>
  <c r="Q792" i="2"/>
  <c r="R792" i="2"/>
  <c r="Q793" i="2"/>
  <c r="R793" i="2"/>
  <c r="Q794" i="2"/>
  <c r="R794" i="2"/>
  <c r="Q795" i="2"/>
  <c r="R795" i="2"/>
  <c r="Q796" i="2"/>
  <c r="R796" i="2"/>
  <c r="Q797" i="2"/>
  <c r="R797" i="2"/>
  <c r="Q798" i="2"/>
  <c r="R798" i="2"/>
  <c r="Q799" i="2"/>
  <c r="R799" i="2"/>
  <c r="Q800" i="2"/>
  <c r="R800" i="2"/>
  <c r="Q801" i="2"/>
  <c r="R801" i="2"/>
  <c r="Q802" i="2"/>
  <c r="R802" i="2"/>
  <c r="Q803" i="2"/>
  <c r="Q804" i="2"/>
  <c r="Q805" i="2"/>
  <c r="R805" i="2"/>
  <c r="Q806" i="2"/>
  <c r="R806" i="2"/>
  <c r="Q807" i="2"/>
  <c r="R807" i="2"/>
  <c r="Q808" i="2"/>
  <c r="Q809" i="2"/>
  <c r="Q810" i="2"/>
  <c r="Q811" i="2"/>
  <c r="Q812" i="2"/>
  <c r="Q813" i="2"/>
  <c r="R813" i="2"/>
  <c r="Q814" i="2"/>
  <c r="R814" i="2"/>
  <c r="Q815" i="2"/>
  <c r="Q816" i="2"/>
  <c r="R816" i="2"/>
  <c r="Q817" i="2"/>
  <c r="R817" i="2"/>
  <c r="Q818" i="2"/>
  <c r="R818" i="2"/>
  <c r="Q819" i="2"/>
  <c r="R819" i="2"/>
  <c r="Q820" i="2"/>
  <c r="R820" i="2"/>
  <c r="Q821" i="2"/>
  <c r="R821" i="2"/>
  <c r="Q822" i="2"/>
  <c r="R822" i="2"/>
  <c r="Q823" i="2"/>
  <c r="R823" i="2"/>
  <c r="Q824" i="2"/>
  <c r="R824" i="2"/>
  <c r="Q825" i="2"/>
  <c r="R825" i="2"/>
  <c r="Q826" i="2"/>
  <c r="R826" i="2"/>
  <c r="Q827" i="2"/>
  <c r="R827" i="2"/>
  <c r="Q828" i="2"/>
  <c r="R828" i="2"/>
  <c r="Q829" i="2"/>
  <c r="R829" i="2"/>
  <c r="Q830" i="2"/>
  <c r="R830" i="2"/>
  <c r="Q831" i="2"/>
  <c r="R831" i="2"/>
  <c r="Q832" i="2"/>
  <c r="R832" i="2"/>
  <c r="Q833" i="2"/>
  <c r="R833" i="2"/>
  <c r="Q834" i="2"/>
  <c r="R834" i="2"/>
  <c r="Q835" i="2"/>
  <c r="R835" i="2"/>
  <c r="Q836" i="2"/>
  <c r="R836" i="2"/>
  <c r="Q837" i="2"/>
  <c r="R837" i="2"/>
  <c r="Q838" i="2"/>
  <c r="R838" i="2"/>
  <c r="Q839" i="2"/>
  <c r="R839" i="2"/>
  <c r="Q840" i="2"/>
  <c r="R840" i="2"/>
  <c r="Q841" i="2"/>
  <c r="R841" i="2"/>
  <c r="R10" i="2"/>
  <c r="Q10" i="2"/>
  <c r="P62" i="2"/>
  <c r="P65" i="2"/>
  <c r="P66" i="2"/>
  <c r="P67" i="2"/>
  <c r="P68" i="2"/>
  <c r="P70" i="2"/>
  <c r="P74" i="2"/>
  <c r="P75" i="2"/>
  <c r="P76" i="2"/>
  <c r="P77" i="2"/>
  <c r="P79" i="2"/>
  <c r="P89" i="2"/>
  <c r="P92" i="2"/>
  <c r="P98" i="2"/>
  <c r="P103" i="2"/>
  <c r="P105" i="2"/>
  <c r="P106" i="2"/>
  <c r="P140" i="2"/>
  <c r="P141" i="2"/>
  <c r="P142" i="2"/>
  <c r="P143" i="2"/>
  <c r="P144" i="2"/>
  <c r="P145" i="2"/>
  <c r="P146" i="2"/>
  <c r="P147" i="2"/>
  <c r="P148" i="2"/>
  <c r="P149" i="2"/>
  <c r="P150" i="2"/>
  <c r="P151" i="2"/>
  <c r="P153" i="2"/>
  <c r="P154" i="2"/>
  <c r="P156" i="2"/>
  <c r="P157" i="2"/>
  <c r="P158" i="2"/>
  <c r="P159" i="2"/>
  <c r="P160" i="2"/>
  <c r="P161" i="2"/>
  <c r="P162" i="2"/>
  <c r="P163" i="2"/>
  <c r="P164" i="2"/>
  <c r="P165" i="2"/>
  <c r="P166" i="2"/>
  <c r="P167" i="2"/>
  <c r="P173" i="2"/>
  <c r="P174" i="2"/>
  <c r="P176" i="2"/>
  <c r="P177" i="2"/>
  <c r="P178" i="2"/>
  <c r="P180" i="2"/>
  <c r="P183" i="2"/>
  <c r="P191" i="2"/>
  <c r="P192" i="2"/>
  <c r="P193" i="2"/>
  <c r="P195" i="2"/>
  <c r="P242" i="2"/>
  <c r="P252" i="2"/>
  <c r="P271" i="2"/>
  <c r="P279" i="2"/>
  <c r="P288" i="2"/>
  <c r="P462" i="2"/>
  <c r="P463" i="2"/>
  <c r="P487" i="2"/>
  <c r="P619" i="2"/>
  <c r="P621" i="2"/>
  <c r="P629" i="2"/>
  <c r="P630" i="2"/>
  <c r="P631" i="2"/>
  <c r="P639" i="2"/>
  <c r="P646" i="2"/>
  <c r="P647" i="2"/>
  <c r="P651" i="2"/>
  <c r="P653" i="2"/>
  <c r="P659" i="2"/>
  <c r="P661" i="2"/>
  <c r="P662" i="2"/>
  <c r="P665" i="2"/>
  <c r="P666" i="2"/>
  <c r="P667" i="2"/>
  <c r="P668" i="2"/>
  <c r="P669" i="2"/>
  <c r="P670" i="2"/>
  <c r="P671" i="2"/>
  <c r="P672" i="2"/>
  <c r="P673" i="2"/>
  <c r="P674" i="2"/>
  <c r="P675" i="2"/>
  <c r="P676" i="2"/>
  <c r="P677" i="2"/>
  <c r="P678" i="2"/>
  <c r="P685" i="2"/>
  <c r="P686" i="2"/>
  <c r="P707" i="2"/>
  <c r="P708" i="2"/>
  <c r="P723" i="2"/>
  <c r="P725" i="2"/>
  <c r="P728" i="2"/>
  <c r="P750" i="2"/>
  <c r="P753" i="2"/>
  <c r="P757" i="2"/>
  <c r="P758" i="2"/>
  <c r="P759" i="2"/>
  <c r="P765" i="2"/>
  <c r="P798" i="2"/>
  <c r="P807" i="2"/>
  <c r="P813" i="2"/>
  <c r="P814" i="2"/>
  <c r="N11" i="28"/>
  <c r="L833" i="2"/>
  <c r="X833" i="2" s="1"/>
  <c r="L834" i="2"/>
  <c r="L835" i="2"/>
  <c r="X835" i="2" s="1"/>
  <c r="L836" i="2"/>
  <c r="X836" i="2" s="1"/>
  <c r="L837" i="2"/>
  <c r="X837" i="2" s="1"/>
  <c r="L838" i="2"/>
  <c r="X838" i="2" s="1"/>
  <c r="L839" i="2"/>
  <c r="X839" i="2" s="1"/>
  <c r="L840" i="2"/>
  <c r="X840" i="2" s="1"/>
  <c r="L841" i="2"/>
  <c r="X841" i="2" s="1"/>
  <c r="X834" i="2"/>
  <c r="T816" i="2" l="1"/>
  <c r="T817" i="2"/>
  <c r="T818" i="2"/>
  <c r="T819" i="2"/>
  <c r="T820" i="2"/>
  <c r="T821" i="2"/>
  <c r="T822" i="2"/>
  <c r="T823" i="2"/>
  <c r="T824" i="2"/>
  <c r="T825" i="2"/>
  <c r="T826" i="2"/>
  <c r="T827" i="2"/>
  <c r="T828" i="2"/>
  <c r="T829" i="2"/>
  <c r="T830" i="2"/>
  <c r="T831" i="2"/>
  <c r="T832" i="2"/>
  <c r="L816" i="2"/>
  <c r="X816" i="2" s="1"/>
  <c r="L817" i="2"/>
  <c r="X817" i="2" s="1"/>
  <c r="L818" i="2"/>
  <c r="X818" i="2" s="1"/>
  <c r="L819" i="2"/>
  <c r="X819" i="2" s="1"/>
  <c r="L820" i="2"/>
  <c r="X820" i="2" s="1"/>
  <c r="L821" i="2"/>
  <c r="X821" i="2" s="1"/>
  <c r="L822" i="2"/>
  <c r="X822" i="2" s="1"/>
  <c r="L823" i="2"/>
  <c r="X823" i="2" s="1"/>
  <c r="L824" i="2"/>
  <c r="X824" i="2" s="1"/>
  <c r="L825" i="2"/>
  <c r="X825" i="2" s="1"/>
  <c r="L826" i="2"/>
  <c r="X826" i="2" s="1"/>
  <c r="L827" i="2"/>
  <c r="X827" i="2" s="1"/>
  <c r="L828" i="2"/>
  <c r="X828" i="2" s="1"/>
  <c r="L829" i="2"/>
  <c r="X829" i="2" s="1"/>
  <c r="L830" i="2"/>
  <c r="X830" i="2" s="1"/>
  <c r="L831" i="2"/>
  <c r="X831" i="2" s="1"/>
  <c r="L832" i="2"/>
  <c r="X832" i="2" s="1"/>
  <c r="A10" i="2"/>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643" i="2" s="1"/>
  <c r="A644" i="2" s="1"/>
  <c r="A645" i="2" s="1"/>
  <c r="A646" i="2" s="1"/>
  <c r="A647" i="2" s="1"/>
  <c r="A648" i="2" s="1"/>
  <c r="A649" i="2" s="1"/>
  <c r="A650" i="2" s="1"/>
  <c r="A651" i="2" s="1"/>
  <c r="A652" i="2" s="1"/>
  <c r="A653" i="2" s="1"/>
  <c r="A654" i="2" s="1"/>
  <c r="A655" i="2" s="1"/>
  <c r="A656" i="2" s="1"/>
  <c r="A657" i="2" s="1"/>
  <c r="A658" i="2" s="1"/>
  <c r="A659" i="2" s="1"/>
  <c r="A660" i="2" s="1"/>
  <c r="A661" i="2" s="1"/>
  <c r="A662" i="2" s="1"/>
  <c r="A663" i="2" s="1"/>
  <c r="A664" i="2" s="1"/>
  <c r="A665" i="2" s="1"/>
  <c r="A666" i="2" s="1"/>
  <c r="A667" i="2" s="1"/>
  <c r="A668" i="2" s="1"/>
  <c r="A669" i="2" s="1"/>
  <c r="A670" i="2" s="1"/>
  <c r="A671" i="2" s="1"/>
  <c r="A672" i="2" s="1"/>
  <c r="A673" i="2" s="1"/>
  <c r="A674" i="2" s="1"/>
  <c r="A675" i="2" s="1"/>
  <c r="A676" i="2" s="1"/>
  <c r="A677" i="2" s="1"/>
  <c r="A678" i="2" s="1"/>
  <c r="A679" i="2" s="1"/>
  <c r="A680" i="2" s="1"/>
  <c r="A681" i="2" s="1"/>
  <c r="A682" i="2" s="1"/>
  <c r="A683" i="2" s="1"/>
  <c r="A684" i="2" s="1"/>
  <c r="A685" i="2" s="1"/>
  <c r="A686" i="2" s="1"/>
  <c r="A687" i="2" s="1"/>
  <c r="A688" i="2" s="1"/>
  <c r="A689" i="2" s="1"/>
  <c r="A690" i="2" s="1"/>
  <c r="A691" i="2" s="1"/>
  <c r="A692" i="2" s="1"/>
  <c r="A693" i="2" s="1"/>
  <c r="A694" i="2" s="1"/>
  <c r="A695" i="2" s="1"/>
  <c r="A696" i="2" s="1"/>
  <c r="A697" i="2" s="1"/>
  <c r="A698" i="2" s="1"/>
  <c r="A699" i="2" s="1"/>
  <c r="A700" i="2" s="1"/>
  <c r="A701" i="2" s="1"/>
  <c r="A702" i="2" s="1"/>
  <c r="A703" i="2" s="1"/>
  <c r="A704" i="2" s="1"/>
  <c r="A705" i="2" s="1"/>
  <c r="A706" i="2" s="1"/>
  <c r="A707" i="2" s="1"/>
  <c r="A708" i="2" s="1"/>
  <c r="A709" i="2" s="1"/>
  <c r="A710" i="2" s="1"/>
  <c r="A711" i="2" s="1"/>
  <c r="A712" i="2" s="1"/>
  <c r="A713" i="2" s="1"/>
  <c r="A714" i="2" s="1"/>
  <c r="A715" i="2" s="1"/>
  <c r="A716" i="2" s="1"/>
  <c r="A717" i="2" s="1"/>
  <c r="A718" i="2" s="1"/>
  <c r="A719" i="2" s="1"/>
  <c r="A720" i="2" s="1"/>
  <c r="A721" i="2" s="1"/>
  <c r="A722" i="2" s="1"/>
  <c r="A723" i="2" s="1"/>
  <c r="A724" i="2" s="1"/>
  <c r="A725" i="2" s="1"/>
  <c r="A726" i="2" s="1"/>
  <c r="A727" i="2" s="1"/>
  <c r="A728" i="2" s="1"/>
  <c r="A729" i="2" s="1"/>
  <c r="A730" i="2" s="1"/>
  <c r="A731" i="2" s="1"/>
  <c r="A732" i="2" s="1"/>
  <c r="A733" i="2" s="1"/>
  <c r="A734" i="2" s="1"/>
  <c r="A735" i="2" s="1"/>
  <c r="A736" i="2" s="1"/>
  <c r="A737" i="2" s="1"/>
  <c r="A738" i="2" s="1"/>
  <c r="A739" i="2" s="1"/>
  <c r="A740" i="2" s="1"/>
  <c r="A741" i="2" s="1"/>
  <c r="A742" i="2" s="1"/>
  <c r="A743" i="2" s="1"/>
  <c r="A744" i="2" s="1"/>
  <c r="A745" i="2" s="1"/>
  <c r="A746" i="2" s="1"/>
  <c r="A747" i="2" s="1"/>
  <c r="A748" i="2" s="1"/>
  <c r="A749" i="2" s="1"/>
  <c r="A750" i="2" s="1"/>
  <c r="A751" i="2" s="1"/>
  <c r="A752" i="2" s="1"/>
  <c r="A753" i="2" s="1"/>
  <c r="A754" i="2" s="1"/>
  <c r="A755" i="2" s="1"/>
  <c r="A756" i="2" s="1"/>
  <c r="A757" i="2" s="1"/>
  <c r="A758" i="2" s="1"/>
  <c r="A759" i="2" s="1"/>
  <c r="A760" i="2" s="1"/>
  <c r="A761" i="2" s="1"/>
  <c r="A762" i="2" s="1"/>
  <c r="A763" i="2" s="1"/>
  <c r="A764" i="2" s="1"/>
  <c r="A765" i="2" s="1"/>
  <c r="A766" i="2" s="1"/>
  <c r="A767" i="2" s="1"/>
  <c r="A768" i="2" s="1"/>
  <c r="A769" i="2" s="1"/>
  <c r="A770" i="2" s="1"/>
  <c r="A771" i="2" s="1"/>
  <c r="A772" i="2" s="1"/>
  <c r="A773" i="2" s="1"/>
  <c r="A774" i="2" s="1"/>
  <c r="A775" i="2" s="1"/>
  <c r="A776" i="2" s="1"/>
  <c r="A777" i="2" s="1"/>
  <c r="A778" i="2" s="1"/>
  <c r="A779" i="2" s="1"/>
  <c r="A780" i="2" s="1"/>
  <c r="A781" i="2" s="1"/>
  <c r="A782" i="2" s="1"/>
  <c r="A783" i="2" s="1"/>
  <c r="A784" i="2" s="1"/>
  <c r="A785" i="2" s="1"/>
  <c r="A786" i="2" s="1"/>
  <c r="A787" i="2" s="1"/>
  <c r="A788" i="2" s="1"/>
  <c r="A789" i="2" s="1"/>
  <c r="A790" i="2" s="1"/>
  <c r="A791" i="2" s="1"/>
  <c r="A792" i="2" s="1"/>
  <c r="A793" i="2" s="1"/>
  <c r="A794" i="2" s="1"/>
  <c r="A795" i="2" s="1"/>
  <c r="A796" i="2" s="1"/>
  <c r="A797" i="2" s="1"/>
  <c r="A798" i="2" s="1"/>
  <c r="A799" i="2" s="1"/>
  <c r="A800" i="2" s="1"/>
  <c r="A801" i="2" s="1"/>
  <c r="A802" i="2" s="1"/>
  <c r="A803" i="2" s="1"/>
  <c r="A804" i="2" s="1"/>
  <c r="A805" i="2" s="1"/>
  <c r="A806" i="2" s="1"/>
  <c r="A807" i="2" s="1"/>
  <c r="A808" i="2" s="1"/>
  <c r="A809" i="2" s="1"/>
  <c r="A810" i="2" s="1"/>
  <c r="A811" i="2" s="1"/>
  <c r="A812" i="2" s="1"/>
  <c r="A813" i="2" s="1"/>
  <c r="A814" i="2" s="1"/>
  <c r="A815" i="2" s="1"/>
  <c r="A816" i="2" s="1"/>
  <c r="A817" i="2" s="1"/>
  <c r="A818" i="2" s="1"/>
  <c r="A819" i="2" s="1"/>
  <c r="A820" i="2" s="1"/>
  <c r="A821" i="2" s="1"/>
  <c r="A822" i="2" s="1"/>
  <c r="A823" i="2" s="1"/>
  <c r="A824" i="2" s="1"/>
  <c r="A825" i="2" s="1"/>
  <c r="A826" i="2" s="1"/>
  <c r="A827" i="2" s="1"/>
  <c r="A828" i="2" s="1"/>
  <c r="A829" i="2" s="1"/>
  <c r="A830" i="2" s="1"/>
  <c r="A831" i="2" s="1"/>
  <c r="A832" i="2" s="1"/>
  <c r="A833" i="2" s="1"/>
  <c r="A834" i="2" s="1"/>
  <c r="A835" i="2" s="1"/>
  <c r="A836" i="2" s="1"/>
  <c r="A837" i="2" s="1"/>
  <c r="A838" i="2" s="1"/>
  <c r="A839" i="2" s="1"/>
  <c r="A840" i="2" s="1"/>
  <c r="A841" i="2" s="1"/>
  <c r="T46" i="2"/>
  <c r="T47" i="2"/>
  <c r="T48" i="2"/>
  <c r="T49" i="2"/>
  <c r="T50" i="2"/>
  <c r="T51" i="2"/>
  <c r="T52" i="2"/>
  <c r="T53" i="2"/>
  <c r="T54" i="2"/>
  <c r="T55" i="2"/>
  <c r="T56" i="2"/>
  <c r="T57" i="2"/>
  <c r="T58" i="2"/>
  <c r="L46" i="2"/>
  <c r="X46" i="2" s="1"/>
  <c r="L47" i="2"/>
  <c r="X47" i="2" s="1"/>
  <c r="L48" i="2"/>
  <c r="X48" i="2" s="1"/>
  <c r="L49" i="2"/>
  <c r="X49" i="2" s="1"/>
  <c r="L50" i="2"/>
  <c r="X50" i="2" s="1"/>
  <c r="L51" i="2"/>
  <c r="X51" i="2" s="1"/>
  <c r="L52" i="2"/>
  <c r="X52" i="2" s="1"/>
  <c r="E11" i="39" l="1"/>
  <c r="G136" i="35"/>
  <c r="H136" i="35" s="1"/>
  <c r="J136" i="35" s="1"/>
  <c r="G137" i="35"/>
  <c r="H137" i="35" s="1"/>
  <c r="J137" i="35" s="1"/>
  <c r="G138" i="35"/>
  <c r="H138" i="35" s="1"/>
  <c r="J138" i="35" s="1"/>
  <c r="G139" i="35"/>
  <c r="H139" i="35" s="1"/>
  <c r="J139" i="35" s="1"/>
  <c r="G140" i="35"/>
  <c r="H140" i="35" s="1"/>
  <c r="J140" i="35" s="1"/>
  <c r="G141" i="35"/>
  <c r="H141" i="35" s="1"/>
  <c r="J141" i="35" s="1"/>
  <c r="G142" i="35"/>
  <c r="H142" i="35" s="1"/>
  <c r="J142" i="35" s="1"/>
  <c r="G143" i="35"/>
  <c r="H143" i="35" s="1"/>
  <c r="J143" i="35" s="1"/>
  <c r="G144" i="35"/>
  <c r="H144" i="35" s="1"/>
  <c r="J144" i="35" s="1"/>
  <c r="G145" i="35"/>
  <c r="H145" i="35" s="1"/>
  <c r="J145" i="35" s="1"/>
  <c r="T219" i="2" l="1"/>
  <c r="L219" i="2"/>
  <c r="X219" i="2" s="1"/>
  <c r="T155" i="2"/>
  <c r="L153" i="2"/>
  <c r="L154" i="2"/>
  <c r="L155" i="2"/>
  <c r="X155" i="2" s="1"/>
  <c r="L156" i="2"/>
  <c r="L157" i="2"/>
  <c r="L158" i="2"/>
  <c r="T152" i="2"/>
  <c r="L152" i="2"/>
  <c r="X152" i="2" s="1"/>
  <c r="T59" i="2" l="1"/>
  <c r="T60" i="2"/>
  <c r="T61" i="2"/>
  <c r="S62" i="2"/>
  <c r="T62" i="2"/>
  <c r="T63" i="2"/>
  <c r="T64" i="2"/>
  <c r="S65" i="2"/>
  <c r="T65" i="2"/>
  <c r="S66" i="2"/>
  <c r="T66" i="2"/>
  <c r="S67" i="2"/>
  <c r="T67" i="2"/>
  <c r="S68" i="2"/>
  <c r="T68" i="2"/>
  <c r="T69" i="2"/>
  <c r="S70" i="2"/>
  <c r="T70" i="2"/>
  <c r="T71" i="2"/>
  <c r="T72" i="2"/>
  <c r="T73" i="2"/>
  <c r="S74" i="2"/>
  <c r="T74" i="2"/>
  <c r="S75" i="2"/>
  <c r="T75" i="2"/>
  <c r="S76" i="2"/>
  <c r="T76" i="2"/>
  <c r="S77" i="2"/>
  <c r="T77" i="2"/>
  <c r="T78" i="2"/>
  <c r="S79" i="2"/>
  <c r="T79" i="2"/>
  <c r="T80" i="2"/>
  <c r="T81" i="2"/>
  <c r="T82" i="2"/>
  <c r="T83" i="2"/>
  <c r="T84" i="2"/>
  <c r="T85" i="2"/>
  <c r="T86" i="2"/>
  <c r="T87" i="2"/>
  <c r="T88" i="2"/>
  <c r="S89" i="2"/>
  <c r="T89" i="2"/>
  <c r="T90" i="2"/>
  <c r="T91" i="2"/>
  <c r="S92" i="2"/>
  <c r="T92" i="2"/>
  <c r="L59" i="2"/>
  <c r="X59" i="2" s="1"/>
  <c r="L60" i="2"/>
  <c r="X60" i="2" s="1"/>
  <c r="L61" i="2"/>
  <c r="X61" i="2" s="1"/>
  <c r="L62" i="2"/>
  <c r="X62" i="2" s="1"/>
  <c r="L63" i="2"/>
  <c r="X63" i="2" s="1"/>
  <c r="L64" i="2"/>
  <c r="X64" i="2" s="1"/>
  <c r="L65" i="2"/>
  <c r="X65" i="2" s="1"/>
  <c r="L66" i="2"/>
  <c r="X66" i="2" s="1"/>
  <c r="L67" i="2"/>
  <c r="X67" i="2" s="1"/>
  <c r="L68" i="2"/>
  <c r="X68" i="2" s="1"/>
  <c r="L69" i="2"/>
  <c r="X69" i="2" s="1"/>
  <c r="L70" i="2"/>
  <c r="X70" i="2" s="1"/>
  <c r="L71" i="2"/>
  <c r="X71" i="2" s="1"/>
  <c r="L72" i="2"/>
  <c r="X72" i="2" s="1"/>
  <c r="L73" i="2"/>
  <c r="X73" i="2" s="1"/>
  <c r="L74" i="2"/>
  <c r="X74" i="2" s="1"/>
  <c r="L75" i="2"/>
  <c r="X75" i="2" s="1"/>
  <c r="L76" i="2"/>
  <c r="X76" i="2" s="1"/>
  <c r="L77" i="2"/>
  <c r="X77" i="2" s="1"/>
  <c r="L78" i="2"/>
  <c r="X78" i="2" s="1"/>
  <c r="L79" i="2"/>
  <c r="X79" i="2" s="1"/>
  <c r="L80" i="2"/>
  <c r="X80" i="2" s="1"/>
  <c r="L81" i="2"/>
  <c r="X81" i="2" s="1"/>
  <c r="L82" i="2"/>
  <c r="X82" i="2" s="1"/>
  <c r="L83" i="2"/>
  <c r="X83" i="2" s="1"/>
  <c r="L84" i="2"/>
  <c r="X84" i="2" s="1"/>
  <c r="L85" i="2"/>
  <c r="X85" i="2" s="1"/>
  <c r="L86" i="2"/>
  <c r="X86" i="2" s="1"/>
  <c r="L87" i="2"/>
  <c r="X87" i="2" s="1"/>
  <c r="L88" i="2"/>
  <c r="X88" i="2" s="1"/>
  <c r="L89" i="2"/>
  <c r="X89" i="2" s="1"/>
  <c r="L90" i="2"/>
  <c r="X90" i="2" s="1"/>
  <c r="L91" i="2"/>
  <c r="X91" i="2" s="1"/>
  <c r="L92" i="2"/>
  <c r="X92" i="2" s="1"/>
  <c r="E12" i="39" l="1"/>
  <c r="E13" i="39"/>
  <c r="E14" i="39"/>
  <c r="E15" i="39"/>
  <c r="E16" i="39"/>
  <c r="E17" i="39"/>
  <c r="E18" i="39"/>
  <c r="E19" i="39"/>
  <c r="E20" i="39"/>
  <c r="E21" i="39"/>
  <c r="E22" i="39"/>
  <c r="E23" i="39"/>
  <c r="E24" i="39"/>
  <c r="E25" i="39"/>
  <c r="E26" i="39"/>
  <c r="E27" i="39"/>
  <c r="E28" i="39"/>
  <c r="E29" i="39"/>
  <c r="E30" i="39"/>
  <c r="E31" i="39"/>
  <c r="E32" i="39"/>
  <c r="E33" i="39"/>
  <c r="E34" i="39"/>
  <c r="E35" i="39"/>
  <c r="E36" i="39"/>
  <c r="E37" i="39"/>
  <c r="B4" i="39"/>
  <c r="F12" i="39"/>
  <c r="F13" i="39"/>
  <c r="F14" i="39"/>
  <c r="F15" i="39"/>
  <c r="F16" i="39"/>
  <c r="F17" i="39"/>
  <c r="F18" i="39"/>
  <c r="F19" i="39"/>
  <c r="F20" i="39"/>
  <c r="F21" i="39"/>
  <c r="F22" i="39"/>
  <c r="F23" i="39"/>
  <c r="F24" i="39"/>
  <c r="F25" i="39"/>
  <c r="F26" i="39"/>
  <c r="F27" i="39"/>
  <c r="F28" i="39"/>
  <c r="F29" i="39"/>
  <c r="F30" i="39"/>
  <c r="F31" i="39"/>
  <c r="F32" i="39"/>
  <c r="F33" i="39"/>
  <c r="F34" i="39"/>
  <c r="F35" i="39"/>
  <c r="F36" i="39"/>
  <c r="F37" i="39"/>
  <c r="F11" i="39"/>
  <c r="G12" i="39" l="1"/>
  <c r="I12" i="39" s="1"/>
  <c r="G13" i="39"/>
  <c r="G21" i="39"/>
  <c r="I21" i="39" s="1"/>
  <c r="G14" i="39"/>
  <c r="I14" i="39" s="1"/>
  <c r="G23" i="39"/>
  <c r="I23" i="39" s="1"/>
  <c r="G15" i="39"/>
  <c r="I15" i="39" s="1"/>
  <c r="G22" i="39"/>
  <c r="I22" i="39" s="1"/>
  <c r="G30" i="39"/>
  <c r="I30" i="39" s="1"/>
  <c r="G11" i="39"/>
  <c r="I11" i="39" s="1"/>
  <c r="G16" i="39"/>
  <c r="I16" i="39" s="1"/>
  <c r="G20" i="39"/>
  <c r="I20" i="39" s="1"/>
  <c r="G31" i="39"/>
  <c r="I31" i="39" s="1"/>
  <c r="G29" i="39"/>
  <c r="I29" i="39" s="1"/>
  <c r="G33" i="39"/>
  <c r="I33" i="39" s="1"/>
  <c r="G28" i="39"/>
  <c r="I28" i="39" s="1"/>
  <c r="G17" i="39"/>
  <c r="I17" i="39" s="1"/>
  <c r="G37" i="39"/>
  <c r="I37" i="39" s="1"/>
  <c r="G36" i="39"/>
  <c r="I36" i="39" s="1"/>
  <c r="G35" i="39"/>
  <c r="I35" i="39" s="1"/>
  <c r="G27" i="39"/>
  <c r="I27" i="39" s="1"/>
  <c r="G19" i="39"/>
  <c r="I19" i="39" s="1"/>
  <c r="G34" i="39"/>
  <c r="I34" i="39" s="1"/>
  <c r="G26" i="39"/>
  <c r="I26" i="39" s="1"/>
  <c r="G18" i="39"/>
  <c r="I18" i="39" s="1"/>
  <c r="G25" i="39"/>
  <c r="I25" i="39" s="1"/>
  <c r="G32" i="39"/>
  <c r="I32" i="39" s="1"/>
  <c r="G24" i="39"/>
  <c r="I24" i="39" s="1"/>
  <c r="I13" i="39"/>
  <c r="G17" i="35" l="1"/>
  <c r="H17" i="35" s="1"/>
  <c r="J17" i="35" s="1"/>
  <c r="G18" i="35"/>
  <c r="H18" i="35" s="1"/>
  <c r="J18" i="35" s="1"/>
  <c r="G19" i="35"/>
  <c r="H19" i="35" s="1"/>
  <c r="J19" i="35" s="1"/>
  <c r="G20" i="35"/>
  <c r="H20" i="35" s="1"/>
  <c r="J20" i="35" s="1"/>
  <c r="G21" i="35"/>
  <c r="H21" i="35" s="1"/>
  <c r="J21" i="35" s="1"/>
  <c r="G22" i="35"/>
  <c r="H22" i="35" s="1"/>
  <c r="J22" i="35" s="1"/>
  <c r="G23" i="35"/>
  <c r="H23" i="35" s="1"/>
  <c r="J23" i="35" s="1"/>
  <c r="G24" i="35"/>
  <c r="H24" i="35" s="1"/>
  <c r="J24" i="35" s="1"/>
  <c r="G25" i="35"/>
  <c r="H25" i="35" s="1"/>
  <c r="J25" i="35" s="1"/>
  <c r="G26" i="35"/>
  <c r="H26" i="35" s="1"/>
  <c r="J26" i="35" s="1"/>
  <c r="G27" i="35"/>
  <c r="H27" i="35" s="1"/>
  <c r="J27" i="35" s="1"/>
  <c r="G28" i="35"/>
  <c r="H28" i="35" s="1"/>
  <c r="J28" i="35" s="1"/>
  <c r="G29" i="35"/>
  <c r="H29" i="35" s="1"/>
  <c r="J29" i="35" s="1"/>
  <c r="G30" i="35"/>
  <c r="H30" i="35" s="1"/>
  <c r="J30" i="35" s="1"/>
  <c r="G31" i="35"/>
  <c r="H31" i="35" s="1"/>
  <c r="J31" i="35" s="1"/>
  <c r="G32" i="35"/>
  <c r="H32" i="35" s="1"/>
  <c r="J32" i="35" s="1"/>
  <c r="G33" i="35"/>
  <c r="H33" i="35" s="1"/>
  <c r="J33" i="35" s="1"/>
  <c r="G34" i="35"/>
  <c r="H34" i="35" s="1"/>
  <c r="J34" i="35" s="1"/>
  <c r="G35" i="35"/>
  <c r="H35" i="35" s="1"/>
  <c r="J35" i="35" s="1"/>
  <c r="G36" i="35"/>
  <c r="H36" i="35" s="1"/>
  <c r="J36" i="35" s="1"/>
  <c r="G37" i="35"/>
  <c r="H37" i="35" s="1"/>
  <c r="J37" i="35" s="1"/>
  <c r="G38" i="35"/>
  <c r="H38" i="35" s="1"/>
  <c r="J38" i="35" s="1"/>
  <c r="G39" i="35"/>
  <c r="H39" i="35" s="1"/>
  <c r="J39" i="35" s="1"/>
  <c r="G40" i="35"/>
  <c r="H40" i="35" s="1"/>
  <c r="J40" i="35" s="1"/>
  <c r="G41" i="35"/>
  <c r="H41" i="35" s="1"/>
  <c r="J41" i="35" s="1"/>
  <c r="G42" i="35"/>
  <c r="H42" i="35" s="1"/>
  <c r="J42" i="35" s="1"/>
  <c r="G43" i="35"/>
  <c r="H43" i="35" s="1"/>
  <c r="J43" i="35" s="1"/>
  <c r="G44" i="35"/>
  <c r="H44" i="35" s="1"/>
  <c r="J44" i="35" s="1"/>
  <c r="G14" i="35"/>
  <c r="H14" i="35" s="1"/>
  <c r="J14" i="35" s="1"/>
  <c r="G15" i="35"/>
  <c r="H15" i="35" s="1"/>
  <c r="J15" i="35" s="1"/>
  <c r="G16" i="35"/>
  <c r="H16" i="35" s="1"/>
  <c r="J16" i="35" s="1"/>
  <c r="G45" i="35"/>
  <c r="H45" i="35" s="1"/>
  <c r="J45" i="35" s="1"/>
  <c r="A109" i="37" l="1"/>
  <c r="A110" i="37"/>
  <c r="A111" i="37"/>
  <c r="L420" i="2"/>
  <c r="X420" i="2" s="1"/>
  <c r="T420" i="2"/>
  <c r="L421" i="2"/>
  <c r="X421" i="2" s="1"/>
  <c r="T421" i="2"/>
  <c r="L422" i="2"/>
  <c r="X422" i="2" s="1"/>
  <c r="T422" i="2"/>
  <c r="L423" i="2"/>
  <c r="X423" i="2" s="1"/>
  <c r="T423" i="2"/>
  <c r="L424" i="2"/>
  <c r="X424" i="2" s="1"/>
  <c r="T424" i="2"/>
  <c r="L425" i="2"/>
  <c r="X425" i="2" s="1"/>
  <c r="T425" i="2"/>
  <c r="L426" i="2"/>
  <c r="X426" i="2" s="1"/>
  <c r="T426" i="2"/>
  <c r="A90" i="37"/>
  <c r="A86" i="37"/>
  <c r="A87" i="37"/>
  <c r="A88" i="37"/>
  <c r="A89" i="37"/>
  <c r="A91" i="37"/>
  <c r="A92" i="37"/>
  <c r="A93" i="37"/>
  <c r="A94" i="37"/>
  <c r="A95" i="37"/>
  <c r="A96" i="37"/>
  <c r="A97" i="37"/>
  <c r="A98" i="37"/>
  <c r="A99" i="37"/>
  <c r="A100" i="37"/>
  <c r="A101" i="37"/>
  <c r="A102" i="37"/>
  <c r="A103" i="37"/>
  <c r="A104" i="37"/>
  <c r="A105" i="37"/>
  <c r="A106" i="37"/>
  <c r="A107" i="37"/>
  <c r="A108" i="37"/>
  <c r="A70" i="37" l="1"/>
  <c r="A65" i="37"/>
  <c r="A66" i="37"/>
  <c r="A67" i="37"/>
  <c r="A68" i="37"/>
  <c r="A69" i="37"/>
  <c r="A71" i="37"/>
  <c r="A72" i="37"/>
  <c r="A73" i="37"/>
  <c r="A74" i="37"/>
  <c r="A75" i="37"/>
  <c r="A76" i="37"/>
  <c r="A77" i="37"/>
  <c r="A78" i="37"/>
  <c r="A79" i="37"/>
  <c r="A80" i="37"/>
  <c r="A81" i="37"/>
  <c r="A82" i="37"/>
  <c r="A83" i="37"/>
  <c r="A84" i="37"/>
  <c r="A85" i="37"/>
  <c r="G113" i="35" l="1"/>
  <c r="H113" i="35" s="1"/>
  <c r="J113" i="35" s="1"/>
  <c r="G114" i="35"/>
  <c r="H114" i="35" s="1"/>
  <c r="J114" i="35" s="1"/>
  <c r="L815" i="2"/>
  <c r="X815" i="2" s="1"/>
  <c r="L793" i="2"/>
  <c r="X793" i="2" s="1"/>
  <c r="T793" i="2"/>
  <c r="L794" i="2"/>
  <c r="X794" i="2" s="1"/>
  <c r="T794" i="2"/>
  <c r="L795" i="2"/>
  <c r="X795" i="2" s="1"/>
  <c r="T795" i="2"/>
  <c r="L796" i="2"/>
  <c r="X796" i="2" s="1"/>
  <c r="T796" i="2"/>
  <c r="L797" i="2"/>
  <c r="X797" i="2" s="1"/>
  <c r="T797" i="2"/>
  <c r="L798" i="2"/>
  <c r="X798" i="2" s="1"/>
  <c r="S798" i="2"/>
  <c r="T798" i="2"/>
  <c r="L799" i="2"/>
  <c r="X799" i="2" s="1"/>
  <c r="T799" i="2"/>
  <c r="L800" i="2"/>
  <c r="X800" i="2" s="1"/>
  <c r="T800" i="2"/>
  <c r="L801" i="2"/>
  <c r="X801" i="2" s="1"/>
  <c r="T801" i="2"/>
  <c r="L802" i="2"/>
  <c r="X802" i="2" s="1"/>
  <c r="T802" i="2"/>
  <c r="L803" i="2"/>
  <c r="X803" i="2" s="1"/>
  <c r="L804" i="2"/>
  <c r="X804" i="2" s="1"/>
  <c r="L805" i="2"/>
  <c r="X805" i="2" s="1"/>
  <c r="T805" i="2"/>
  <c r="L806" i="2"/>
  <c r="X806" i="2" s="1"/>
  <c r="T806" i="2"/>
  <c r="L807" i="2"/>
  <c r="X807" i="2" s="1"/>
  <c r="S807" i="2"/>
  <c r="T807" i="2"/>
  <c r="L808" i="2"/>
  <c r="X808" i="2" s="1"/>
  <c r="L809" i="2"/>
  <c r="X809" i="2" s="1"/>
  <c r="L810" i="2"/>
  <c r="X810" i="2" s="1"/>
  <c r="L811" i="2"/>
  <c r="X811" i="2" s="1"/>
  <c r="L812" i="2"/>
  <c r="X812" i="2" s="1"/>
  <c r="L813" i="2"/>
  <c r="X813" i="2" s="1"/>
  <c r="S813" i="2"/>
  <c r="T813" i="2"/>
  <c r="L814" i="2"/>
  <c r="X814" i="2" s="1"/>
  <c r="S814" i="2"/>
  <c r="T814" i="2"/>
  <c r="G50" i="35"/>
  <c r="G51" i="35"/>
  <c r="G52" i="35"/>
  <c r="G53" i="35"/>
  <c r="G54" i="35"/>
  <c r="H54" i="35" s="1"/>
  <c r="G55" i="35"/>
  <c r="H55" i="35" s="1"/>
  <c r="G56" i="35"/>
  <c r="H56" i="35" s="1"/>
  <c r="G57" i="35"/>
  <c r="H57" i="35" s="1"/>
  <c r="G58" i="35"/>
  <c r="G59" i="35"/>
  <c r="G60" i="35"/>
  <c r="G61" i="35"/>
  <c r="H61" i="35" s="1"/>
  <c r="G62" i="35"/>
  <c r="G63" i="35"/>
  <c r="G64" i="35"/>
  <c r="H64" i="35" s="1"/>
  <c r="G65" i="35"/>
  <c r="H65" i="35" s="1"/>
  <c r="G66" i="35"/>
  <c r="G67" i="35"/>
  <c r="G68" i="35"/>
  <c r="H68" i="35" s="1"/>
  <c r="J68" i="35" s="1"/>
  <c r="G69" i="35"/>
  <c r="G70" i="35"/>
  <c r="H70" i="35" s="1"/>
  <c r="G71" i="35"/>
  <c r="H71" i="35" s="1"/>
  <c r="G72" i="35"/>
  <c r="H72" i="35" s="1"/>
  <c r="G73" i="35"/>
  <c r="H73" i="35" s="1"/>
  <c r="G74" i="35"/>
  <c r="G76" i="35"/>
  <c r="G77" i="35"/>
  <c r="H77" i="35" s="1"/>
  <c r="G78" i="35"/>
  <c r="G79" i="35"/>
  <c r="G80" i="35"/>
  <c r="H80" i="35" s="1"/>
  <c r="G81" i="35"/>
  <c r="H81" i="35" s="1"/>
  <c r="G82" i="35"/>
  <c r="H82" i="35" s="1"/>
  <c r="G83" i="35"/>
  <c r="G84" i="35"/>
  <c r="G85" i="35"/>
  <c r="H85" i="35" s="1"/>
  <c r="G86" i="35"/>
  <c r="H86" i="35" s="1"/>
  <c r="G87" i="35"/>
  <c r="G88" i="35"/>
  <c r="H88" i="35" s="1"/>
  <c r="G89" i="35"/>
  <c r="H89" i="35" s="1"/>
  <c r="G90" i="35"/>
  <c r="H90" i="35" s="1"/>
  <c r="G91" i="35"/>
  <c r="G92" i="35"/>
  <c r="G93" i="35"/>
  <c r="H93" i="35" s="1"/>
  <c r="G94" i="35"/>
  <c r="H94" i="35" s="1"/>
  <c r="G95" i="35"/>
  <c r="G96" i="35"/>
  <c r="H96" i="35" s="1"/>
  <c r="G98" i="35"/>
  <c r="G99" i="35"/>
  <c r="H99" i="35" s="1"/>
  <c r="G100" i="35"/>
  <c r="G102" i="35"/>
  <c r="G103" i="35"/>
  <c r="H103" i="35" s="1"/>
  <c r="G104" i="35"/>
  <c r="H104" i="35" s="1"/>
  <c r="G106" i="35"/>
  <c r="H106" i="35" s="1"/>
  <c r="G107" i="35"/>
  <c r="G108" i="35"/>
  <c r="G110" i="35"/>
  <c r="H110" i="35" s="1"/>
  <c r="J110" i="35" s="1"/>
  <c r="G111" i="35"/>
  <c r="G115" i="35"/>
  <c r="H115" i="35" s="1"/>
  <c r="G116" i="35"/>
  <c r="H116" i="35" s="1"/>
  <c r="G117" i="35"/>
  <c r="H117" i="35" s="1"/>
  <c r="G119" i="35"/>
  <c r="H119" i="35" s="1"/>
  <c r="G120" i="35"/>
  <c r="H120" i="35" s="1"/>
  <c r="J120" i="35" s="1"/>
  <c r="G121" i="35"/>
  <c r="G122" i="35"/>
  <c r="G123" i="35"/>
  <c r="H123" i="35" s="1"/>
  <c r="J123" i="35" s="1"/>
  <c r="G124" i="35"/>
  <c r="H124" i="35" s="1"/>
  <c r="H60" i="35" l="1"/>
  <c r="J60" i="35" s="1"/>
  <c r="H52" i="35"/>
  <c r="J52" i="35" s="1"/>
  <c r="J70" i="35"/>
  <c r="J55" i="35"/>
  <c r="J94" i="35"/>
  <c r="J99" i="35"/>
  <c r="J93" i="35"/>
  <c r="J85" i="35"/>
  <c r="J77" i="35"/>
  <c r="J61" i="35"/>
  <c r="H63" i="35"/>
  <c r="J63" i="35" s="1"/>
  <c r="H102" i="35"/>
  <c r="J102" i="35" s="1"/>
  <c r="H95" i="35"/>
  <c r="J95" i="35" s="1"/>
  <c r="H87" i="35"/>
  <c r="J87" i="35" s="1"/>
  <c r="H79" i="35"/>
  <c r="J79" i="35" s="1"/>
  <c r="H111" i="35"/>
  <c r="J111" i="35" s="1"/>
  <c r="H53" i="35"/>
  <c r="J53" i="35" s="1"/>
  <c r="J115" i="35"/>
  <c r="J104" i="35"/>
  <c r="J89" i="35"/>
  <c r="J81" i="35"/>
  <c r="J72" i="35"/>
  <c r="J65" i="35"/>
  <c r="J57" i="35"/>
  <c r="H122" i="35"/>
  <c r="J122" i="35" s="1"/>
  <c r="H108" i="35"/>
  <c r="J108" i="35" s="1"/>
  <c r="H98" i="35"/>
  <c r="J98" i="35" s="1"/>
  <c r="H92" i="35"/>
  <c r="J92" i="35" s="1"/>
  <c r="H84" i="35"/>
  <c r="J84" i="35" s="1"/>
  <c r="H76" i="35"/>
  <c r="J76" i="35" s="1"/>
  <c r="H67" i="35"/>
  <c r="J67" i="35" s="1"/>
  <c r="H59" i="35"/>
  <c r="J59" i="35" s="1"/>
  <c r="H51" i="35"/>
  <c r="J51" i="35" s="1"/>
  <c r="J86" i="35"/>
  <c r="J54" i="35"/>
  <c r="H62" i="35"/>
  <c r="J62" i="35" s="1"/>
  <c r="H100" i="35"/>
  <c r="J100" i="35" s="1"/>
  <c r="H78" i="35"/>
  <c r="J78" i="35" s="1"/>
  <c r="H69" i="35"/>
  <c r="J69" i="35" s="1"/>
  <c r="J103" i="35"/>
  <c r="J96" i="35"/>
  <c r="J88" i="35"/>
  <c r="J80" i="35"/>
  <c r="J71" i="35"/>
  <c r="J64" i="35"/>
  <c r="J56" i="35"/>
  <c r="H121" i="35"/>
  <c r="J121" i="35" s="1"/>
  <c r="H107" i="35"/>
  <c r="J107" i="35" s="1"/>
  <c r="H91" i="35"/>
  <c r="J91" i="35" s="1"/>
  <c r="H83" i="35"/>
  <c r="J83" i="35" s="1"/>
  <c r="H74" i="35"/>
  <c r="J74" i="35" s="1"/>
  <c r="H66" i="35"/>
  <c r="J66" i="35" s="1"/>
  <c r="H58" i="35"/>
  <c r="J58" i="35" s="1"/>
  <c r="H50" i="35"/>
  <c r="J50" i="35" s="1"/>
  <c r="J124" i="35"/>
  <c r="J117" i="35"/>
  <c r="J119" i="35"/>
  <c r="J116" i="35"/>
  <c r="J106" i="35"/>
  <c r="J90" i="35"/>
  <c r="J82" i="35"/>
  <c r="J73" i="35"/>
  <c r="N13" i="28"/>
  <c r="N14" i="28"/>
  <c r="N12" i="28"/>
  <c r="T438" i="2"/>
  <c r="T439" i="2"/>
  <c r="T440" i="2"/>
  <c r="T441" i="2"/>
  <c r="T442" i="2"/>
  <c r="T443" i="2"/>
  <c r="T444" i="2"/>
  <c r="T445" i="2"/>
  <c r="T446" i="2"/>
  <c r="T447" i="2"/>
  <c r="T448" i="2"/>
  <c r="T449" i="2"/>
  <c r="T450" i="2"/>
  <c r="T451" i="2"/>
  <c r="T452" i="2"/>
  <c r="T453" i="2"/>
  <c r="T454" i="2"/>
  <c r="T455" i="2"/>
  <c r="T456" i="2"/>
  <c r="T457" i="2"/>
  <c r="T458" i="2"/>
  <c r="T459" i="2"/>
  <c r="S462" i="2"/>
  <c r="T462" i="2"/>
  <c r="S463" i="2"/>
  <c r="T463" i="2"/>
  <c r="S487" i="2"/>
  <c r="T487" i="2"/>
  <c r="T491" i="2"/>
  <c r="T492" i="2"/>
  <c r="T493" i="2"/>
  <c r="T494" i="2"/>
  <c r="T495" i="2"/>
  <c r="T496" i="2"/>
  <c r="T497" i="2"/>
  <c r="T498" i="2"/>
  <c r="T499" i="2"/>
  <c r="T500" i="2"/>
  <c r="T501" i="2"/>
  <c r="T502" i="2"/>
  <c r="T503" i="2"/>
  <c r="T504" i="2"/>
  <c r="T505" i="2"/>
  <c r="T506" i="2"/>
  <c r="T507" i="2"/>
  <c r="T508" i="2"/>
  <c r="T509" i="2"/>
  <c r="T510" i="2"/>
  <c r="T511" i="2"/>
  <c r="T512" i="2"/>
  <c r="T513" i="2"/>
  <c r="T514" i="2"/>
  <c r="T515" i="2"/>
  <c r="T516" i="2"/>
  <c r="T517" i="2"/>
  <c r="T518" i="2"/>
  <c r="T519" i="2"/>
  <c r="T520" i="2"/>
  <c r="T521" i="2"/>
  <c r="T522" i="2"/>
  <c r="T523" i="2"/>
  <c r="T524" i="2"/>
  <c r="T525" i="2"/>
  <c r="T526" i="2"/>
  <c r="T527" i="2"/>
  <c r="T528" i="2"/>
  <c r="T529" i="2"/>
  <c r="T530" i="2"/>
  <c r="T531" i="2"/>
  <c r="T532" i="2"/>
  <c r="T533" i="2"/>
  <c r="T534" i="2"/>
  <c r="T535" i="2"/>
  <c r="T536" i="2"/>
  <c r="T537" i="2"/>
  <c r="T538" i="2"/>
  <c r="T539" i="2"/>
  <c r="T540" i="2"/>
  <c r="T541" i="2"/>
  <c r="T542" i="2"/>
  <c r="T543" i="2"/>
  <c r="T544" i="2"/>
  <c r="T545" i="2"/>
  <c r="T546" i="2"/>
  <c r="T547" i="2"/>
  <c r="T548" i="2"/>
  <c r="T549" i="2"/>
  <c r="T550" i="2"/>
  <c r="T551" i="2"/>
  <c r="T552" i="2"/>
  <c r="T553" i="2"/>
  <c r="T554" i="2"/>
  <c r="T555" i="2"/>
  <c r="T556" i="2"/>
  <c r="T569" i="2"/>
  <c r="T571" i="2"/>
  <c r="T572" i="2"/>
  <c r="T573" i="2"/>
  <c r="T574" i="2"/>
  <c r="T575" i="2"/>
  <c r="T576" i="2"/>
  <c r="T577" i="2"/>
  <c r="T578" i="2"/>
  <c r="T579" i="2"/>
  <c r="T580" i="2"/>
  <c r="T581" i="2"/>
  <c r="T582" i="2"/>
  <c r="T583" i="2"/>
  <c r="T584" i="2"/>
  <c r="T585" i="2"/>
  <c r="T586" i="2"/>
  <c r="S619" i="2"/>
  <c r="T619" i="2"/>
  <c r="S621" i="2"/>
  <c r="T621" i="2"/>
  <c r="T622" i="2"/>
  <c r="T623" i="2"/>
  <c r="T624" i="2"/>
  <c r="T625" i="2"/>
  <c r="T626" i="2"/>
  <c r="T627" i="2"/>
  <c r="T628" i="2"/>
  <c r="S629" i="2"/>
  <c r="T629" i="2"/>
  <c r="S630" i="2"/>
  <c r="T630" i="2"/>
  <c r="S631" i="2"/>
  <c r="T631" i="2"/>
  <c r="T632" i="2"/>
  <c r="T633" i="2"/>
  <c r="T634" i="2"/>
  <c r="T635" i="2"/>
  <c r="T636" i="2"/>
  <c r="T637" i="2"/>
  <c r="T638" i="2"/>
  <c r="S639" i="2"/>
  <c r="T639" i="2"/>
  <c r="T640" i="2"/>
  <c r="T641" i="2"/>
  <c r="T642" i="2"/>
  <c r="T643" i="2"/>
  <c r="T644" i="2"/>
  <c r="T645" i="2"/>
  <c r="S646" i="2"/>
  <c r="T646" i="2"/>
  <c r="S647" i="2"/>
  <c r="T647" i="2"/>
  <c r="T648" i="2"/>
  <c r="T649" i="2"/>
  <c r="T650" i="2"/>
  <c r="S651" i="2"/>
  <c r="T651" i="2"/>
  <c r="T652" i="2"/>
  <c r="S653" i="2"/>
  <c r="T653" i="2"/>
  <c r="T654" i="2"/>
  <c r="T655" i="2"/>
  <c r="T656" i="2"/>
  <c r="T657" i="2"/>
  <c r="T658" i="2"/>
  <c r="S659" i="2"/>
  <c r="T659" i="2"/>
  <c r="T660" i="2"/>
  <c r="S661" i="2"/>
  <c r="T661" i="2"/>
  <c r="S662" i="2"/>
  <c r="T662" i="2"/>
  <c r="T663" i="2"/>
  <c r="T664" i="2"/>
  <c r="S665" i="2"/>
  <c r="T665" i="2"/>
  <c r="S666" i="2"/>
  <c r="T666" i="2"/>
  <c r="S667" i="2"/>
  <c r="T667" i="2"/>
  <c r="S668" i="2"/>
  <c r="T668" i="2"/>
  <c r="S669" i="2"/>
  <c r="T669" i="2"/>
  <c r="S670" i="2"/>
  <c r="T670" i="2"/>
  <c r="S671" i="2"/>
  <c r="T671" i="2"/>
  <c r="S672" i="2"/>
  <c r="T672" i="2"/>
  <c r="S673" i="2"/>
  <c r="T673" i="2"/>
  <c r="S674" i="2"/>
  <c r="T674" i="2"/>
  <c r="S675" i="2"/>
  <c r="T675" i="2"/>
  <c r="S676" i="2"/>
  <c r="T676" i="2"/>
  <c r="S677" i="2"/>
  <c r="T677" i="2"/>
  <c r="S678" i="2"/>
  <c r="T678" i="2"/>
  <c r="T679" i="2"/>
  <c r="T680" i="2"/>
  <c r="T681" i="2"/>
  <c r="T682" i="2"/>
  <c r="T683" i="2"/>
  <c r="T684" i="2"/>
  <c r="S685" i="2"/>
  <c r="T685" i="2"/>
  <c r="S686" i="2"/>
  <c r="T686" i="2"/>
  <c r="T687" i="2"/>
  <c r="T688" i="2"/>
  <c r="T689" i="2"/>
  <c r="T690" i="2"/>
  <c r="T691" i="2"/>
  <c r="T692" i="2"/>
  <c r="T693" i="2"/>
  <c r="T694" i="2"/>
  <c r="T695" i="2"/>
  <c r="T696" i="2"/>
  <c r="T697" i="2"/>
  <c r="T698" i="2"/>
  <c r="T699" i="2"/>
  <c r="T700" i="2"/>
  <c r="T701" i="2"/>
  <c r="T702" i="2"/>
  <c r="T703" i="2"/>
  <c r="T704" i="2"/>
  <c r="T705" i="2"/>
  <c r="T706" i="2"/>
  <c r="S707" i="2"/>
  <c r="T707" i="2"/>
  <c r="S708" i="2"/>
  <c r="T708" i="2"/>
  <c r="T709" i="2"/>
  <c r="T710" i="2"/>
  <c r="T711" i="2"/>
  <c r="T712" i="2"/>
  <c r="T713" i="2"/>
  <c r="T714" i="2"/>
  <c r="T715" i="2"/>
  <c r="T716" i="2"/>
  <c r="T717" i="2"/>
  <c r="T718" i="2"/>
  <c r="T719" i="2"/>
  <c r="T720" i="2"/>
  <c r="T721" i="2"/>
  <c r="T722" i="2"/>
  <c r="S723" i="2"/>
  <c r="T723" i="2"/>
  <c r="T724" i="2"/>
  <c r="S725" i="2"/>
  <c r="T725" i="2"/>
  <c r="T726" i="2"/>
  <c r="T727" i="2"/>
  <c r="S728" i="2"/>
  <c r="T728" i="2"/>
  <c r="T729" i="2"/>
  <c r="T730" i="2"/>
  <c r="T731" i="2"/>
  <c r="T732" i="2"/>
  <c r="T733" i="2"/>
  <c r="T734" i="2"/>
  <c r="T735" i="2"/>
  <c r="T736" i="2"/>
  <c r="T737" i="2"/>
  <c r="T738" i="2"/>
  <c r="T739" i="2"/>
  <c r="T740" i="2"/>
  <c r="T741" i="2"/>
  <c r="T742" i="2"/>
  <c r="T743" i="2"/>
  <c r="T744" i="2"/>
  <c r="T745" i="2"/>
  <c r="T746" i="2"/>
  <c r="T747" i="2"/>
  <c r="T748" i="2"/>
  <c r="T749" i="2"/>
  <c r="S750" i="2"/>
  <c r="T750" i="2"/>
  <c r="T751" i="2"/>
  <c r="T752" i="2"/>
  <c r="S753" i="2"/>
  <c r="T753" i="2"/>
  <c r="S757" i="2"/>
  <c r="T757" i="2"/>
  <c r="S758" i="2"/>
  <c r="T758" i="2"/>
  <c r="S759" i="2"/>
  <c r="T759" i="2"/>
  <c r="S765" i="2"/>
  <c r="T765" i="2"/>
  <c r="L438" i="2"/>
  <c r="X438" i="2" s="1"/>
  <c r="L439" i="2"/>
  <c r="X439" i="2" s="1"/>
  <c r="L440" i="2"/>
  <c r="X440" i="2" s="1"/>
  <c r="L441" i="2"/>
  <c r="X441" i="2" s="1"/>
  <c r="L442" i="2"/>
  <c r="X442" i="2" s="1"/>
  <c r="L443" i="2"/>
  <c r="X443" i="2" s="1"/>
  <c r="L444" i="2"/>
  <c r="X444" i="2" s="1"/>
  <c r="L445" i="2"/>
  <c r="X445" i="2" s="1"/>
  <c r="L446" i="2"/>
  <c r="X446" i="2" s="1"/>
  <c r="L447" i="2"/>
  <c r="X447" i="2" s="1"/>
  <c r="L448" i="2"/>
  <c r="X448" i="2" s="1"/>
  <c r="L449" i="2"/>
  <c r="X449" i="2" s="1"/>
  <c r="L450" i="2"/>
  <c r="X450" i="2" s="1"/>
  <c r="L451" i="2"/>
  <c r="X451" i="2" s="1"/>
  <c r="L452" i="2"/>
  <c r="X452" i="2" s="1"/>
  <c r="L453" i="2"/>
  <c r="X453" i="2" s="1"/>
  <c r="L454" i="2"/>
  <c r="X454" i="2" s="1"/>
  <c r="L455" i="2"/>
  <c r="X455" i="2" s="1"/>
  <c r="L456" i="2"/>
  <c r="X456" i="2" s="1"/>
  <c r="L457" i="2"/>
  <c r="X457" i="2" s="1"/>
  <c r="L458" i="2"/>
  <c r="X458" i="2" s="1"/>
  <c r="L459" i="2"/>
  <c r="X459" i="2" s="1"/>
  <c r="L460" i="2"/>
  <c r="X460" i="2" s="1"/>
  <c r="L461" i="2"/>
  <c r="X461" i="2" s="1"/>
  <c r="L462" i="2"/>
  <c r="X462" i="2" s="1"/>
  <c r="L463" i="2"/>
  <c r="X463" i="2" s="1"/>
  <c r="L464" i="2"/>
  <c r="X464" i="2" s="1"/>
  <c r="L465" i="2"/>
  <c r="X465" i="2" s="1"/>
  <c r="L466" i="2"/>
  <c r="X466" i="2" s="1"/>
  <c r="L467" i="2"/>
  <c r="X467" i="2" s="1"/>
  <c r="L468" i="2"/>
  <c r="X468" i="2" s="1"/>
  <c r="L469" i="2"/>
  <c r="X469" i="2" s="1"/>
  <c r="L470" i="2"/>
  <c r="X470" i="2" s="1"/>
  <c r="L471" i="2"/>
  <c r="X471" i="2" s="1"/>
  <c r="L472" i="2"/>
  <c r="X472" i="2" s="1"/>
  <c r="L473" i="2"/>
  <c r="X473" i="2" s="1"/>
  <c r="L474" i="2"/>
  <c r="X474" i="2" s="1"/>
  <c r="L475" i="2"/>
  <c r="X475" i="2" s="1"/>
  <c r="L476" i="2"/>
  <c r="X476" i="2" s="1"/>
  <c r="L477" i="2"/>
  <c r="X477" i="2" s="1"/>
  <c r="L478" i="2"/>
  <c r="X478" i="2" s="1"/>
  <c r="L479" i="2"/>
  <c r="X479" i="2" s="1"/>
  <c r="L480" i="2"/>
  <c r="X480" i="2" s="1"/>
  <c r="L481" i="2"/>
  <c r="X481" i="2" s="1"/>
  <c r="L482" i="2"/>
  <c r="X482" i="2" s="1"/>
  <c r="L483" i="2"/>
  <c r="X483" i="2" s="1"/>
  <c r="L484" i="2"/>
  <c r="X484" i="2" s="1"/>
  <c r="L485" i="2"/>
  <c r="X485" i="2" s="1"/>
  <c r="L486" i="2"/>
  <c r="X486" i="2" s="1"/>
  <c r="L487" i="2"/>
  <c r="X487" i="2" s="1"/>
  <c r="L488" i="2"/>
  <c r="X488" i="2" s="1"/>
  <c r="L489" i="2"/>
  <c r="X489" i="2" s="1"/>
  <c r="L490" i="2"/>
  <c r="X490" i="2" s="1"/>
  <c r="L491" i="2"/>
  <c r="X491" i="2" s="1"/>
  <c r="L492" i="2"/>
  <c r="X492" i="2" s="1"/>
  <c r="L493" i="2"/>
  <c r="X493" i="2" s="1"/>
  <c r="L494" i="2"/>
  <c r="X494" i="2" s="1"/>
  <c r="L495" i="2"/>
  <c r="X495" i="2" s="1"/>
  <c r="L496" i="2"/>
  <c r="X496" i="2" s="1"/>
  <c r="L497" i="2"/>
  <c r="X497" i="2" s="1"/>
  <c r="L498" i="2"/>
  <c r="X498" i="2" s="1"/>
  <c r="L499" i="2"/>
  <c r="X499" i="2" s="1"/>
  <c r="L500" i="2"/>
  <c r="X500" i="2" s="1"/>
  <c r="L501" i="2"/>
  <c r="X501" i="2" s="1"/>
  <c r="L502" i="2"/>
  <c r="X502" i="2" s="1"/>
  <c r="L503" i="2"/>
  <c r="X503" i="2" s="1"/>
  <c r="L504" i="2"/>
  <c r="X504" i="2" s="1"/>
  <c r="L505" i="2"/>
  <c r="X505" i="2" s="1"/>
  <c r="L506" i="2"/>
  <c r="X506" i="2" s="1"/>
  <c r="L507" i="2"/>
  <c r="X507" i="2" s="1"/>
  <c r="L508" i="2"/>
  <c r="X508" i="2" s="1"/>
  <c r="L509" i="2"/>
  <c r="X509" i="2" s="1"/>
  <c r="L510" i="2"/>
  <c r="X510" i="2" s="1"/>
  <c r="L511" i="2"/>
  <c r="X511" i="2" s="1"/>
  <c r="L512" i="2"/>
  <c r="X512" i="2" s="1"/>
  <c r="L513" i="2"/>
  <c r="X513" i="2" s="1"/>
  <c r="L514" i="2"/>
  <c r="X514" i="2" s="1"/>
  <c r="L515" i="2"/>
  <c r="X515" i="2" s="1"/>
  <c r="L516" i="2"/>
  <c r="X516" i="2" s="1"/>
  <c r="L517" i="2"/>
  <c r="X517" i="2" s="1"/>
  <c r="L518" i="2"/>
  <c r="X518" i="2" s="1"/>
  <c r="L519" i="2"/>
  <c r="X519" i="2" s="1"/>
  <c r="L520" i="2"/>
  <c r="X520" i="2" s="1"/>
  <c r="L521" i="2"/>
  <c r="X521" i="2" s="1"/>
  <c r="L522" i="2"/>
  <c r="X522" i="2" s="1"/>
  <c r="L523" i="2"/>
  <c r="X523" i="2" s="1"/>
  <c r="L524" i="2"/>
  <c r="X524" i="2" s="1"/>
  <c r="L525" i="2"/>
  <c r="X525" i="2" s="1"/>
  <c r="L526" i="2"/>
  <c r="X526" i="2" s="1"/>
  <c r="L527" i="2"/>
  <c r="X527" i="2" s="1"/>
  <c r="L528" i="2"/>
  <c r="X528" i="2" s="1"/>
  <c r="L529" i="2"/>
  <c r="X529" i="2" s="1"/>
  <c r="L530" i="2"/>
  <c r="X530" i="2" s="1"/>
  <c r="L531" i="2"/>
  <c r="X531" i="2" s="1"/>
  <c r="L532" i="2"/>
  <c r="X532" i="2" s="1"/>
  <c r="L533" i="2"/>
  <c r="X533" i="2" s="1"/>
  <c r="L534" i="2"/>
  <c r="X534" i="2" s="1"/>
  <c r="L535" i="2"/>
  <c r="X535" i="2" s="1"/>
  <c r="L536" i="2"/>
  <c r="X536" i="2" s="1"/>
  <c r="L537" i="2"/>
  <c r="X537" i="2" s="1"/>
  <c r="L538" i="2"/>
  <c r="X538" i="2" s="1"/>
  <c r="L539" i="2"/>
  <c r="X539" i="2" s="1"/>
  <c r="L540" i="2"/>
  <c r="X540" i="2" s="1"/>
  <c r="L541" i="2"/>
  <c r="X541" i="2" s="1"/>
  <c r="L542" i="2"/>
  <c r="X542" i="2" s="1"/>
  <c r="L543" i="2"/>
  <c r="X543" i="2" s="1"/>
  <c r="L544" i="2"/>
  <c r="X544" i="2" s="1"/>
  <c r="L545" i="2"/>
  <c r="X545" i="2" s="1"/>
  <c r="L546" i="2"/>
  <c r="X546" i="2" s="1"/>
  <c r="L547" i="2"/>
  <c r="X547" i="2" s="1"/>
  <c r="L548" i="2"/>
  <c r="X548" i="2" s="1"/>
  <c r="L549" i="2"/>
  <c r="X549" i="2" s="1"/>
  <c r="L550" i="2"/>
  <c r="X550" i="2" s="1"/>
  <c r="L551" i="2"/>
  <c r="X551" i="2" s="1"/>
  <c r="L552" i="2"/>
  <c r="X552" i="2" s="1"/>
  <c r="L553" i="2"/>
  <c r="X553" i="2" s="1"/>
  <c r="L554" i="2"/>
  <c r="X554" i="2" s="1"/>
  <c r="L555" i="2"/>
  <c r="X555" i="2" s="1"/>
  <c r="L556" i="2"/>
  <c r="X556" i="2" s="1"/>
  <c r="L557" i="2"/>
  <c r="X557" i="2" s="1"/>
  <c r="L558" i="2"/>
  <c r="X558" i="2" s="1"/>
  <c r="L559" i="2"/>
  <c r="X559" i="2" s="1"/>
  <c r="L560" i="2"/>
  <c r="X560" i="2" s="1"/>
  <c r="L561" i="2"/>
  <c r="X561" i="2" s="1"/>
  <c r="L562" i="2"/>
  <c r="X562" i="2" s="1"/>
  <c r="L563" i="2"/>
  <c r="X563" i="2" s="1"/>
  <c r="L564" i="2"/>
  <c r="X564" i="2" s="1"/>
  <c r="L565" i="2"/>
  <c r="X565" i="2" s="1"/>
  <c r="L566" i="2"/>
  <c r="X566" i="2" s="1"/>
  <c r="L567" i="2"/>
  <c r="X567" i="2" s="1"/>
  <c r="L568" i="2"/>
  <c r="X568" i="2" s="1"/>
  <c r="L569" i="2"/>
  <c r="X569" i="2" s="1"/>
  <c r="L570" i="2"/>
  <c r="X570" i="2" s="1"/>
  <c r="L571" i="2"/>
  <c r="X571" i="2" s="1"/>
  <c r="L572" i="2"/>
  <c r="X572" i="2" s="1"/>
  <c r="L573" i="2"/>
  <c r="X573" i="2" s="1"/>
  <c r="L574" i="2"/>
  <c r="X574" i="2" s="1"/>
  <c r="L575" i="2"/>
  <c r="X575" i="2" s="1"/>
  <c r="L576" i="2"/>
  <c r="X576" i="2" s="1"/>
  <c r="L577" i="2"/>
  <c r="X577" i="2" s="1"/>
  <c r="L578" i="2"/>
  <c r="X578" i="2" s="1"/>
  <c r="L579" i="2"/>
  <c r="X579" i="2" s="1"/>
  <c r="L580" i="2"/>
  <c r="X580" i="2" s="1"/>
  <c r="L581" i="2"/>
  <c r="X581" i="2" s="1"/>
  <c r="L582" i="2"/>
  <c r="X582" i="2" s="1"/>
  <c r="L583" i="2"/>
  <c r="X583" i="2" s="1"/>
  <c r="L584" i="2"/>
  <c r="X584" i="2" s="1"/>
  <c r="L585" i="2"/>
  <c r="X585" i="2" s="1"/>
  <c r="L586" i="2"/>
  <c r="X586" i="2" s="1"/>
  <c r="L587" i="2"/>
  <c r="X587" i="2" s="1"/>
  <c r="L588" i="2"/>
  <c r="X588" i="2" s="1"/>
  <c r="L589" i="2"/>
  <c r="X589" i="2" s="1"/>
  <c r="L590" i="2"/>
  <c r="X590" i="2" s="1"/>
  <c r="L591" i="2"/>
  <c r="X591" i="2" s="1"/>
  <c r="L592" i="2"/>
  <c r="X592" i="2" s="1"/>
  <c r="L593" i="2"/>
  <c r="X593" i="2" s="1"/>
  <c r="L594" i="2"/>
  <c r="X594" i="2" s="1"/>
  <c r="L595" i="2"/>
  <c r="X595" i="2" s="1"/>
  <c r="L596" i="2"/>
  <c r="X596" i="2" s="1"/>
  <c r="L597" i="2"/>
  <c r="X597" i="2" s="1"/>
  <c r="L598" i="2"/>
  <c r="X598" i="2" s="1"/>
  <c r="L599" i="2"/>
  <c r="X599" i="2" s="1"/>
  <c r="L600" i="2"/>
  <c r="X600" i="2" s="1"/>
  <c r="L601" i="2"/>
  <c r="X601" i="2" s="1"/>
  <c r="L602" i="2"/>
  <c r="X602" i="2" s="1"/>
  <c r="L603" i="2"/>
  <c r="X603" i="2" s="1"/>
  <c r="L604" i="2"/>
  <c r="X604" i="2" s="1"/>
  <c r="L605" i="2"/>
  <c r="X605" i="2" s="1"/>
  <c r="L606" i="2"/>
  <c r="X606" i="2" s="1"/>
  <c r="L607" i="2"/>
  <c r="X607" i="2" s="1"/>
  <c r="L608" i="2"/>
  <c r="X608" i="2" s="1"/>
  <c r="L609" i="2"/>
  <c r="X609" i="2" s="1"/>
  <c r="L610" i="2"/>
  <c r="X610" i="2" s="1"/>
  <c r="L611" i="2"/>
  <c r="X611" i="2" s="1"/>
  <c r="L612" i="2"/>
  <c r="X612" i="2" s="1"/>
  <c r="L613" i="2"/>
  <c r="X613" i="2" s="1"/>
  <c r="L614" i="2"/>
  <c r="X614" i="2" s="1"/>
  <c r="L615" i="2"/>
  <c r="X615" i="2" s="1"/>
  <c r="L616" i="2"/>
  <c r="X616" i="2" s="1"/>
  <c r="L617" i="2"/>
  <c r="X617" i="2" s="1"/>
  <c r="L618" i="2"/>
  <c r="X618" i="2" s="1"/>
  <c r="L619" i="2"/>
  <c r="X619" i="2" s="1"/>
  <c r="L620" i="2"/>
  <c r="X620" i="2" s="1"/>
  <c r="L621" i="2"/>
  <c r="X621" i="2" s="1"/>
  <c r="L622" i="2"/>
  <c r="X622" i="2" s="1"/>
  <c r="L623" i="2"/>
  <c r="X623" i="2" s="1"/>
  <c r="L624" i="2"/>
  <c r="X624" i="2" s="1"/>
  <c r="L625" i="2"/>
  <c r="X625" i="2" s="1"/>
  <c r="L626" i="2"/>
  <c r="X626" i="2" s="1"/>
  <c r="L627" i="2"/>
  <c r="X627" i="2" s="1"/>
  <c r="L628" i="2"/>
  <c r="X628" i="2" s="1"/>
  <c r="L629" i="2"/>
  <c r="X629" i="2" s="1"/>
  <c r="L630" i="2"/>
  <c r="X630" i="2" s="1"/>
  <c r="L631" i="2"/>
  <c r="X631" i="2" s="1"/>
  <c r="L632" i="2"/>
  <c r="X632" i="2" s="1"/>
  <c r="L633" i="2"/>
  <c r="X633" i="2" s="1"/>
  <c r="L634" i="2"/>
  <c r="X634" i="2" s="1"/>
  <c r="L635" i="2"/>
  <c r="X635" i="2" s="1"/>
  <c r="L636" i="2"/>
  <c r="X636" i="2" s="1"/>
  <c r="L637" i="2"/>
  <c r="X637" i="2" s="1"/>
  <c r="L638" i="2"/>
  <c r="X638" i="2" s="1"/>
  <c r="L639" i="2"/>
  <c r="X639" i="2" s="1"/>
  <c r="L640" i="2"/>
  <c r="X640" i="2" s="1"/>
  <c r="L641" i="2"/>
  <c r="X641" i="2" s="1"/>
  <c r="L642" i="2"/>
  <c r="X642" i="2" s="1"/>
  <c r="L643" i="2"/>
  <c r="X643" i="2" s="1"/>
  <c r="L644" i="2"/>
  <c r="X644" i="2" s="1"/>
  <c r="L645" i="2"/>
  <c r="X645" i="2" s="1"/>
  <c r="L646" i="2"/>
  <c r="X646" i="2" s="1"/>
  <c r="L647" i="2"/>
  <c r="X647" i="2" s="1"/>
  <c r="L648" i="2"/>
  <c r="X648" i="2" s="1"/>
  <c r="L649" i="2"/>
  <c r="X649" i="2" s="1"/>
  <c r="L650" i="2"/>
  <c r="X650" i="2" s="1"/>
  <c r="L651" i="2"/>
  <c r="X651" i="2" s="1"/>
  <c r="L652" i="2"/>
  <c r="X652" i="2" s="1"/>
  <c r="L653" i="2"/>
  <c r="X653" i="2" s="1"/>
  <c r="L654" i="2"/>
  <c r="X654" i="2" s="1"/>
  <c r="L655" i="2"/>
  <c r="X655" i="2" s="1"/>
  <c r="L656" i="2"/>
  <c r="X656" i="2" s="1"/>
  <c r="L657" i="2"/>
  <c r="X657" i="2" s="1"/>
  <c r="L658" i="2"/>
  <c r="X658" i="2" s="1"/>
  <c r="L659" i="2"/>
  <c r="X659" i="2" s="1"/>
  <c r="L660" i="2"/>
  <c r="X660" i="2" s="1"/>
  <c r="L661" i="2"/>
  <c r="X661" i="2" s="1"/>
  <c r="L662" i="2"/>
  <c r="X662" i="2" s="1"/>
  <c r="L663" i="2"/>
  <c r="X663" i="2" s="1"/>
  <c r="L664" i="2"/>
  <c r="X664" i="2" s="1"/>
  <c r="L665" i="2"/>
  <c r="X665" i="2" s="1"/>
  <c r="L666" i="2"/>
  <c r="X666" i="2" s="1"/>
  <c r="L667" i="2"/>
  <c r="X667" i="2" s="1"/>
  <c r="L668" i="2"/>
  <c r="X668" i="2" s="1"/>
  <c r="L669" i="2"/>
  <c r="X669" i="2" s="1"/>
  <c r="L670" i="2"/>
  <c r="X670" i="2" s="1"/>
  <c r="L671" i="2"/>
  <c r="X671" i="2" s="1"/>
  <c r="L672" i="2"/>
  <c r="X672" i="2" s="1"/>
  <c r="L673" i="2"/>
  <c r="X673" i="2" s="1"/>
  <c r="L674" i="2"/>
  <c r="X674" i="2" s="1"/>
  <c r="L675" i="2"/>
  <c r="X675" i="2" s="1"/>
  <c r="L676" i="2"/>
  <c r="X676" i="2" s="1"/>
  <c r="L677" i="2"/>
  <c r="X677" i="2" s="1"/>
  <c r="L678" i="2"/>
  <c r="X678" i="2" s="1"/>
  <c r="L679" i="2"/>
  <c r="X679" i="2" s="1"/>
  <c r="L680" i="2"/>
  <c r="X680" i="2" s="1"/>
  <c r="L681" i="2"/>
  <c r="X681" i="2" s="1"/>
  <c r="L682" i="2"/>
  <c r="X682" i="2" s="1"/>
  <c r="L683" i="2"/>
  <c r="X683" i="2" s="1"/>
  <c r="L684" i="2"/>
  <c r="X684" i="2" s="1"/>
  <c r="L685" i="2"/>
  <c r="X685" i="2" s="1"/>
  <c r="L686" i="2"/>
  <c r="X686" i="2" s="1"/>
  <c r="L687" i="2"/>
  <c r="X687" i="2" s="1"/>
  <c r="L688" i="2"/>
  <c r="X688" i="2" s="1"/>
  <c r="L689" i="2"/>
  <c r="X689" i="2" s="1"/>
  <c r="L690" i="2"/>
  <c r="X690" i="2" s="1"/>
  <c r="L691" i="2"/>
  <c r="X691" i="2" s="1"/>
  <c r="L692" i="2"/>
  <c r="X692" i="2" s="1"/>
  <c r="L693" i="2"/>
  <c r="X693" i="2" s="1"/>
  <c r="L694" i="2"/>
  <c r="X694" i="2" s="1"/>
  <c r="L695" i="2"/>
  <c r="X695" i="2" s="1"/>
  <c r="L696" i="2"/>
  <c r="X696" i="2" s="1"/>
  <c r="L697" i="2"/>
  <c r="X697" i="2" s="1"/>
  <c r="L698" i="2"/>
  <c r="X698" i="2" s="1"/>
  <c r="L699" i="2"/>
  <c r="X699" i="2" s="1"/>
  <c r="L700" i="2"/>
  <c r="X700" i="2" s="1"/>
  <c r="L701" i="2"/>
  <c r="X701" i="2" s="1"/>
  <c r="L702" i="2"/>
  <c r="X702" i="2" s="1"/>
  <c r="L703" i="2"/>
  <c r="X703" i="2" s="1"/>
  <c r="L704" i="2"/>
  <c r="X704" i="2" s="1"/>
  <c r="L705" i="2"/>
  <c r="X705" i="2" s="1"/>
  <c r="L706" i="2"/>
  <c r="X706" i="2" s="1"/>
  <c r="L707" i="2"/>
  <c r="X707" i="2" s="1"/>
  <c r="L708" i="2"/>
  <c r="X708" i="2" s="1"/>
  <c r="L709" i="2"/>
  <c r="X709" i="2" s="1"/>
  <c r="L710" i="2"/>
  <c r="X710" i="2" s="1"/>
  <c r="L711" i="2"/>
  <c r="X711" i="2" s="1"/>
  <c r="L712" i="2"/>
  <c r="X712" i="2" s="1"/>
  <c r="L713" i="2"/>
  <c r="X713" i="2" s="1"/>
  <c r="L714" i="2"/>
  <c r="X714" i="2" s="1"/>
  <c r="L715" i="2"/>
  <c r="X715" i="2" s="1"/>
  <c r="L716" i="2"/>
  <c r="X716" i="2" s="1"/>
  <c r="L717" i="2"/>
  <c r="X717" i="2" s="1"/>
  <c r="L718" i="2"/>
  <c r="X718" i="2" s="1"/>
  <c r="L719" i="2"/>
  <c r="X719" i="2" s="1"/>
  <c r="L720" i="2"/>
  <c r="X720" i="2" s="1"/>
  <c r="L721" i="2"/>
  <c r="X721" i="2" s="1"/>
  <c r="L722" i="2"/>
  <c r="X722" i="2" s="1"/>
  <c r="L723" i="2"/>
  <c r="X723" i="2" s="1"/>
  <c r="L724" i="2"/>
  <c r="X724" i="2" s="1"/>
  <c r="L725" i="2"/>
  <c r="X725" i="2" s="1"/>
  <c r="L726" i="2"/>
  <c r="X726" i="2" s="1"/>
  <c r="L727" i="2"/>
  <c r="X727" i="2" s="1"/>
  <c r="L728" i="2"/>
  <c r="X728" i="2" s="1"/>
  <c r="L729" i="2"/>
  <c r="X729" i="2" s="1"/>
  <c r="L730" i="2"/>
  <c r="X730" i="2" s="1"/>
  <c r="L731" i="2"/>
  <c r="X731" i="2" s="1"/>
  <c r="L732" i="2"/>
  <c r="X732" i="2" s="1"/>
  <c r="L733" i="2"/>
  <c r="X733" i="2" s="1"/>
  <c r="L734" i="2"/>
  <c r="X734" i="2" s="1"/>
  <c r="L735" i="2"/>
  <c r="X735" i="2" s="1"/>
  <c r="L736" i="2"/>
  <c r="X736" i="2" s="1"/>
  <c r="L737" i="2"/>
  <c r="X737" i="2" s="1"/>
  <c r="L738" i="2"/>
  <c r="X738" i="2" s="1"/>
  <c r="L739" i="2"/>
  <c r="X739" i="2" s="1"/>
  <c r="L740" i="2"/>
  <c r="X740" i="2" s="1"/>
  <c r="L741" i="2"/>
  <c r="X741" i="2" s="1"/>
  <c r="L742" i="2"/>
  <c r="X742" i="2" s="1"/>
  <c r="L743" i="2"/>
  <c r="X743" i="2" s="1"/>
  <c r="L744" i="2"/>
  <c r="X744" i="2" s="1"/>
  <c r="L745" i="2"/>
  <c r="X745" i="2" s="1"/>
  <c r="L746" i="2"/>
  <c r="X746" i="2" s="1"/>
  <c r="L747" i="2"/>
  <c r="X747" i="2" s="1"/>
  <c r="L748" i="2"/>
  <c r="X748" i="2" s="1"/>
  <c r="L749" i="2"/>
  <c r="X749" i="2" s="1"/>
  <c r="L750" i="2"/>
  <c r="X750" i="2" s="1"/>
  <c r="L751" i="2"/>
  <c r="X751" i="2" s="1"/>
  <c r="L752" i="2"/>
  <c r="X752" i="2" s="1"/>
  <c r="L753" i="2"/>
  <c r="X753" i="2" s="1"/>
  <c r="L754" i="2"/>
  <c r="X754" i="2" s="1"/>
  <c r="L755" i="2"/>
  <c r="X755" i="2" s="1"/>
  <c r="L756" i="2"/>
  <c r="X756" i="2" s="1"/>
  <c r="L757" i="2"/>
  <c r="X757" i="2" s="1"/>
  <c r="L758" i="2"/>
  <c r="X758" i="2" s="1"/>
  <c r="L759" i="2"/>
  <c r="X759" i="2" s="1"/>
  <c r="L760" i="2"/>
  <c r="X760" i="2" s="1"/>
  <c r="L761" i="2"/>
  <c r="X761" i="2" s="1"/>
  <c r="L762" i="2"/>
  <c r="X762" i="2" s="1"/>
  <c r="L763" i="2"/>
  <c r="X763" i="2" s="1"/>
  <c r="L764" i="2"/>
  <c r="X764" i="2" s="1"/>
  <c r="L765" i="2"/>
  <c r="X765" i="2" s="1"/>
  <c r="L766" i="2"/>
  <c r="X766" i="2" s="1"/>
  <c r="L767" i="2"/>
  <c r="X767" i="2" s="1"/>
  <c r="L768" i="2"/>
  <c r="X768" i="2" s="1"/>
  <c r="L769" i="2"/>
  <c r="X769" i="2" s="1"/>
  <c r="L770" i="2"/>
  <c r="X770" i="2" s="1"/>
  <c r="L771" i="2"/>
  <c r="X771" i="2" s="1"/>
  <c r="L772" i="2"/>
  <c r="X772" i="2" s="1"/>
  <c r="L773" i="2"/>
  <c r="X773" i="2" s="1"/>
  <c r="L774" i="2"/>
  <c r="X774" i="2" s="1"/>
  <c r="L775" i="2"/>
  <c r="X775" i="2" s="1"/>
  <c r="L776" i="2"/>
  <c r="X776" i="2" s="1"/>
  <c r="L777" i="2"/>
  <c r="X777" i="2" s="1"/>
  <c r="L778" i="2"/>
  <c r="X778" i="2" s="1"/>
  <c r="L779" i="2"/>
  <c r="X779" i="2" s="1"/>
  <c r="L780" i="2"/>
  <c r="X780" i="2" s="1"/>
  <c r="L781" i="2"/>
  <c r="X781" i="2" s="1"/>
  <c r="L782" i="2"/>
  <c r="X782" i="2" s="1"/>
  <c r="L783" i="2"/>
  <c r="X783" i="2" s="1"/>
  <c r="L784" i="2"/>
  <c r="X784" i="2" s="1"/>
  <c r="L785" i="2"/>
  <c r="X785" i="2" s="1"/>
  <c r="L786" i="2"/>
  <c r="X786" i="2" s="1"/>
  <c r="L787" i="2"/>
  <c r="X787" i="2" s="1"/>
  <c r="L788" i="2"/>
  <c r="X788" i="2" s="1"/>
  <c r="L789" i="2"/>
  <c r="X789" i="2" s="1"/>
  <c r="L790" i="2"/>
  <c r="X790" i="2" s="1"/>
  <c r="L791" i="2"/>
  <c r="X791" i="2" s="1"/>
  <c r="L792" i="2"/>
  <c r="X792" i="2" s="1"/>
  <c r="L288" i="2"/>
  <c r="I33" i="18" l="1"/>
  <c r="J33" i="18"/>
  <c r="K33" i="18"/>
  <c r="L33" i="18"/>
  <c r="M33" i="18"/>
  <c r="N33" i="18"/>
  <c r="I34" i="18"/>
  <c r="J34" i="18"/>
  <c r="K34" i="18"/>
  <c r="L34" i="18"/>
  <c r="M34" i="18"/>
  <c r="N34" i="18"/>
  <c r="I35" i="18"/>
  <c r="J35" i="18"/>
  <c r="K35" i="18"/>
  <c r="L35" i="18"/>
  <c r="M35" i="18"/>
  <c r="N35" i="18"/>
  <c r="I36" i="18"/>
  <c r="J36" i="18"/>
  <c r="K36" i="18"/>
  <c r="L36" i="18"/>
  <c r="M36" i="18"/>
  <c r="N36" i="18"/>
  <c r="I37" i="18"/>
  <c r="J37" i="18"/>
  <c r="K37" i="18"/>
  <c r="L37" i="18"/>
  <c r="M37" i="18"/>
  <c r="N37" i="18"/>
  <c r="I38" i="18"/>
  <c r="J38" i="18"/>
  <c r="K38" i="18"/>
  <c r="L38" i="18"/>
  <c r="M38" i="18"/>
  <c r="N38" i="18"/>
  <c r="I39" i="18"/>
  <c r="J39" i="18"/>
  <c r="K39" i="18"/>
  <c r="L39" i="18"/>
  <c r="M39" i="18"/>
  <c r="N39" i="18"/>
  <c r="L15" i="2" l="1"/>
  <c r="X15" i="2" s="1"/>
  <c r="L16" i="2"/>
  <c r="X16" i="2" s="1"/>
  <c r="L17" i="2"/>
  <c r="X17" i="2" s="1"/>
  <c r="L18" i="2"/>
  <c r="X18" i="2" s="1"/>
  <c r="L19" i="2"/>
  <c r="X19" i="2" s="1"/>
  <c r="L20" i="2"/>
  <c r="X20" i="2" s="1"/>
  <c r="L21" i="2"/>
  <c r="X21" i="2" s="1"/>
  <c r="L22" i="2"/>
  <c r="X22" i="2" s="1"/>
  <c r="L23" i="2"/>
  <c r="X23" i="2" s="1"/>
  <c r="L24" i="2"/>
  <c r="X24" i="2" s="1"/>
  <c r="L25" i="2"/>
  <c r="X25" i="2" s="1"/>
  <c r="L26" i="2"/>
  <c r="X26" i="2" s="1"/>
  <c r="L27" i="2"/>
  <c r="X27" i="2" s="1"/>
  <c r="L28" i="2"/>
  <c r="X28" i="2" s="1"/>
  <c r="L29" i="2"/>
  <c r="X29" i="2" s="1"/>
  <c r="L30" i="2"/>
  <c r="X30" i="2" s="1"/>
  <c r="L31" i="2"/>
  <c r="X31" i="2" s="1"/>
  <c r="L32" i="2"/>
  <c r="X32" i="2" s="1"/>
  <c r="L33" i="2"/>
  <c r="X33" i="2" s="1"/>
  <c r="L34" i="2"/>
  <c r="X34" i="2" s="1"/>
  <c r="L35" i="2"/>
  <c r="X35" i="2" s="1"/>
  <c r="L36" i="2"/>
  <c r="X36" i="2" s="1"/>
  <c r="L37" i="2"/>
  <c r="X37" i="2" s="1"/>
  <c r="L38" i="2"/>
  <c r="X38" i="2" s="1"/>
  <c r="L39" i="2"/>
  <c r="X39" i="2" s="1"/>
  <c r="L40" i="2"/>
  <c r="X40" i="2" s="1"/>
  <c r="L41" i="2"/>
  <c r="X41" i="2" s="1"/>
  <c r="L42" i="2"/>
  <c r="X42" i="2" s="1"/>
  <c r="L43" i="2"/>
  <c r="X43" i="2" s="1"/>
  <c r="L44" i="2"/>
  <c r="X44" i="2" s="1"/>
  <c r="L45" i="2"/>
  <c r="X45" i="2" s="1"/>
  <c r="L53" i="2"/>
  <c r="X53" i="2" s="1"/>
  <c r="L54" i="2"/>
  <c r="X54" i="2" s="1"/>
  <c r="L55" i="2"/>
  <c r="X55" i="2" s="1"/>
  <c r="L56" i="2"/>
  <c r="X56" i="2" s="1"/>
  <c r="L57" i="2"/>
  <c r="X57" i="2" s="1"/>
  <c r="L58" i="2"/>
  <c r="X58" i="2" s="1"/>
  <c r="X93" i="2"/>
  <c r="X94" i="2"/>
  <c r="X95" i="2"/>
  <c r="X96" i="2"/>
  <c r="X97" i="2"/>
  <c r="X98" i="2"/>
  <c r="X99" i="2"/>
  <c r="X100" i="2"/>
  <c r="X101" i="2"/>
  <c r="X102" i="2"/>
  <c r="X103" i="2"/>
  <c r="X104" i="2"/>
  <c r="X105" i="2"/>
  <c r="X106" i="2"/>
  <c r="X107" i="2"/>
  <c r="L108" i="2"/>
  <c r="X108" i="2" s="1"/>
  <c r="L109" i="2"/>
  <c r="X109" i="2" s="1"/>
  <c r="L110" i="2"/>
  <c r="X110" i="2" s="1"/>
  <c r="L111" i="2"/>
  <c r="X111" i="2" s="1"/>
  <c r="L112" i="2"/>
  <c r="X112" i="2" s="1"/>
  <c r="L113" i="2"/>
  <c r="X113" i="2" s="1"/>
  <c r="L114" i="2"/>
  <c r="X114" i="2" s="1"/>
  <c r="L115" i="2"/>
  <c r="X115" i="2" s="1"/>
  <c r="L116" i="2"/>
  <c r="X116" i="2" s="1"/>
  <c r="L117" i="2"/>
  <c r="X117" i="2" s="1"/>
  <c r="L118" i="2"/>
  <c r="X118" i="2" s="1"/>
  <c r="L119" i="2"/>
  <c r="X119" i="2" s="1"/>
  <c r="L120" i="2"/>
  <c r="X120" i="2" s="1"/>
  <c r="L121" i="2"/>
  <c r="X121" i="2" s="1"/>
  <c r="L122" i="2"/>
  <c r="X122" i="2" s="1"/>
  <c r="L123" i="2"/>
  <c r="X123" i="2" s="1"/>
  <c r="L124" i="2"/>
  <c r="X124" i="2" s="1"/>
  <c r="L125" i="2"/>
  <c r="X125" i="2" s="1"/>
  <c r="L126" i="2"/>
  <c r="X126" i="2" s="1"/>
  <c r="L127" i="2"/>
  <c r="X127" i="2" s="1"/>
  <c r="L128" i="2"/>
  <c r="X128" i="2" s="1"/>
  <c r="L129" i="2"/>
  <c r="X129" i="2" s="1"/>
  <c r="L130" i="2"/>
  <c r="X130" i="2" s="1"/>
  <c r="L131" i="2"/>
  <c r="X131" i="2" s="1"/>
  <c r="L132" i="2"/>
  <c r="X132" i="2" s="1"/>
  <c r="L133" i="2"/>
  <c r="X133" i="2" s="1"/>
  <c r="L134" i="2"/>
  <c r="X134" i="2" s="1"/>
  <c r="L135" i="2"/>
  <c r="X135" i="2" s="1"/>
  <c r="L136" i="2"/>
  <c r="X136" i="2" s="1"/>
  <c r="L137" i="2"/>
  <c r="X137" i="2" s="1"/>
  <c r="L138" i="2"/>
  <c r="X138" i="2" s="1"/>
  <c r="L139" i="2"/>
  <c r="X139" i="2" s="1"/>
  <c r="L140" i="2"/>
  <c r="X140" i="2" s="1"/>
  <c r="L141" i="2"/>
  <c r="X141" i="2" s="1"/>
  <c r="L142" i="2"/>
  <c r="X142" i="2" s="1"/>
  <c r="L143" i="2"/>
  <c r="X143" i="2" s="1"/>
  <c r="L144" i="2"/>
  <c r="X144" i="2" s="1"/>
  <c r="L145" i="2"/>
  <c r="X145" i="2" s="1"/>
  <c r="L146" i="2"/>
  <c r="X146" i="2" s="1"/>
  <c r="L147" i="2"/>
  <c r="X147" i="2" s="1"/>
  <c r="L148" i="2"/>
  <c r="X148" i="2" s="1"/>
  <c r="L149" i="2"/>
  <c r="X149" i="2" s="1"/>
  <c r="L150" i="2"/>
  <c r="X150" i="2" s="1"/>
  <c r="L151" i="2"/>
  <c r="X151" i="2" s="1"/>
  <c r="X153" i="2"/>
  <c r="X154" i="2"/>
  <c r="X156" i="2"/>
  <c r="X157" i="2"/>
  <c r="X158" i="2"/>
  <c r="L159" i="2"/>
  <c r="X159" i="2" s="1"/>
  <c r="L160" i="2"/>
  <c r="X160" i="2" s="1"/>
  <c r="L161" i="2"/>
  <c r="X161" i="2" s="1"/>
  <c r="L162" i="2"/>
  <c r="X162" i="2" s="1"/>
  <c r="L163" i="2"/>
  <c r="X163" i="2" s="1"/>
  <c r="L164" i="2"/>
  <c r="X164" i="2" s="1"/>
  <c r="L165" i="2"/>
  <c r="X165" i="2" s="1"/>
  <c r="L166" i="2"/>
  <c r="X166" i="2" s="1"/>
  <c r="L167" i="2"/>
  <c r="X167" i="2" s="1"/>
  <c r="L168" i="2"/>
  <c r="X168" i="2" s="1"/>
  <c r="L169" i="2"/>
  <c r="X169" i="2" s="1"/>
  <c r="L170" i="2"/>
  <c r="X170" i="2" s="1"/>
  <c r="L171" i="2"/>
  <c r="X171" i="2" s="1"/>
  <c r="L172" i="2"/>
  <c r="X172" i="2" s="1"/>
  <c r="L173" i="2"/>
  <c r="X173" i="2" s="1"/>
  <c r="L174" i="2"/>
  <c r="X174" i="2" s="1"/>
  <c r="L175" i="2"/>
  <c r="X175" i="2" s="1"/>
  <c r="L176" i="2"/>
  <c r="X176" i="2" s="1"/>
  <c r="L177" i="2"/>
  <c r="X177" i="2" s="1"/>
  <c r="L178" i="2"/>
  <c r="X178" i="2" s="1"/>
  <c r="L179" i="2"/>
  <c r="X179" i="2" s="1"/>
  <c r="L180" i="2"/>
  <c r="X180" i="2" s="1"/>
  <c r="L181" i="2"/>
  <c r="X181" i="2" s="1"/>
  <c r="L182" i="2"/>
  <c r="X182" i="2" s="1"/>
  <c r="L183" i="2"/>
  <c r="X183" i="2" s="1"/>
  <c r="L184" i="2"/>
  <c r="X184" i="2" s="1"/>
  <c r="L185" i="2"/>
  <c r="X185" i="2" s="1"/>
  <c r="L186" i="2"/>
  <c r="X186" i="2" s="1"/>
  <c r="L187" i="2"/>
  <c r="X187" i="2" s="1"/>
  <c r="L188" i="2"/>
  <c r="X188" i="2" s="1"/>
  <c r="L189" i="2"/>
  <c r="X189" i="2" s="1"/>
  <c r="L190" i="2"/>
  <c r="X190" i="2" s="1"/>
  <c r="L191" i="2"/>
  <c r="X191" i="2" s="1"/>
  <c r="L192" i="2"/>
  <c r="X192" i="2" s="1"/>
  <c r="L193" i="2"/>
  <c r="X193" i="2" s="1"/>
  <c r="L194" i="2"/>
  <c r="X194" i="2" s="1"/>
  <c r="L195" i="2"/>
  <c r="X195" i="2" s="1"/>
  <c r="L196" i="2"/>
  <c r="X196" i="2" s="1"/>
  <c r="L197" i="2"/>
  <c r="X197" i="2" s="1"/>
  <c r="L198" i="2"/>
  <c r="X198" i="2" s="1"/>
  <c r="L199" i="2"/>
  <c r="X199" i="2" s="1"/>
  <c r="L200" i="2"/>
  <c r="X200" i="2" s="1"/>
  <c r="L201" i="2"/>
  <c r="X201" i="2" s="1"/>
  <c r="L202" i="2"/>
  <c r="X202" i="2" s="1"/>
  <c r="L203" i="2"/>
  <c r="X203" i="2" s="1"/>
  <c r="L204" i="2"/>
  <c r="X204" i="2" s="1"/>
  <c r="L205" i="2"/>
  <c r="X205" i="2" s="1"/>
  <c r="L206" i="2"/>
  <c r="X206" i="2" s="1"/>
  <c r="L207" i="2"/>
  <c r="X207" i="2" s="1"/>
  <c r="L208" i="2"/>
  <c r="X208" i="2" s="1"/>
  <c r="L209" i="2"/>
  <c r="X209" i="2" s="1"/>
  <c r="L210" i="2"/>
  <c r="X210" i="2" s="1"/>
  <c r="L211" i="2"/>
  <c r="X211" i="2" s="1"/>
  <c r="L212" i="2"/>
  <c r="X212" i="2" s="1"/>
  <c r="L213" i="2"/>
  <c r="X213" i="2" s="1"/>
  <c r="L214" i="2"/>
  <c r="X214" i="2" s="1"/>
  <c r="L215" i="2"/>
  <c r="X215" i="2" s="1"/>
  <c r="L216" i="2"/>
  <c r="X216" i="2" s="1"/>
  <c r="L217" i="2"/>
  <c r="X217" i="2" s="1"/>
  <c r="L218" i="2"/>
  <c r="X218" i="2" s="1"/>
  <c r="L220" i="2"/>
  <c r="X220" i="2" s="1"/>
  <c r="L221" i="2"/>
  <c r="X221" i="2" s="1"/>
  <c r="L222" i="2"/>
  <c r="X222" i="2" s="1"/>
  <c r="L223" i="2"/>
  <c r="X223" i="2" s="1"/>
  <c r="L224" i="2"/>
  <c r="X224" i="2" s="1"/>
  <c r="L225" i="2"/>
  <c r="X225" i="2" s="1"/>
  <c r="L226" i="2"/>
  <c r="X226" i="2" s="1"/>
  <c r="L227" i="2"/>
  <c r="X227" i="2" s="1"/>
  <c r="L228" i="2"/>
  <c r="X228" i="2" s="1"/>
  <c r="L229" i="2"/>
  <c r="X229" i="2" s="1"/>
  <c r="L230" i="2"/>
  <c r="X230" i="2" s="1"/>
  <c r="L231" i="2"/>
  <c r="X231" i="2" s="1"/>
  <c r="L232" i="2"/>
  <c r="X232" i="2" s="1"/>
  <c r="L233" i="2"/>
  <c r="X233" i="2" s="1"/>
  <c r="L234" i="2"/>
  <c r="X234" i="2" s="1"/>
  <c r="L235" i="2"/>
  <c r="X235" i="2" s="1"/>
  <c r="L236" i="2"/>
  <c r="X236" i="2" s="1"/>
  <c r="L237" i="2"/>
  <c r="X237" i="2" s="1"/>
  <c r="L238" i="2"/>
  <c r="X238" i="2" s="1"/>
  <c r="L239" i="2"/>
  <c r="X239" i="2" s="1"/>
  <c r="L240" i="2"/>
  <c r="X240" i="2" s="1"/>
  <c r="L241" i="2"/>
  <c r="X241" i="2" s="1"/>
  <c r="L242" i="2"/>
  <c r="X242" i="2" s="1"/>
  <c r="L243" i="2"/>
  <c r="X243" i="2" s="1"/>
  <c r="L244" i="2"/>
  <c r="X244" i="2" s="1"/>
  <c r="L245" i="2"/>
  <c r="X245" i="2" s="1"/>
  <c r="L246" i="2"/>
  <c r="X246" i="2" s="1"/>
  <c r="L247" i="2"/>
  <c r="X247" i="2" s="1"/>
  <c r="L248" i="2"/>
  <c r="X248" i="2" s="1"/>
  <c r="L249" i="2"/>
  <c r="X249" i="2" s="1"/>
  <c r="L250" i="2"/>
  <c r="X250" i="2" s="1"/>
  <c r="L251" i="2"/>
  <c r="X251" i="2" s="1"/>
  <c r="L252" i="2"/>
  <c r="X252" i="2" s="1"/>
  <c r="L253" i="2"/>
  <c r="X253" i="2" s="1"/>
  <c r="L254" i="2"/>
  <c r="X254" i="2" s="1"/>
  <c r="L255" i="2"/>
  <c r="X255" i="2" s="1"/>
  <c r="L256" i="2"/>
  <c r="X256" i="2" s="1"/>
  <c r="L257" i="2"/>
  <c r="X257" i="2" s="1"/>
  <c r="L258" i="2"/>
  <c r="X258" i="2" s="1"/>
  <c r="L259" i="2"/>
  <c r="X259" i="2" s="1"/>
  <c r="L260" i="2"/>
  <c r="X260" i="2" s="1"/>
  <c r="L261" i="2"/>
  <c r="X261" i="2" s="1"/>
  <c r="L262" i="2"/>
  <c r="X262" i="2" s="1"/>
  <c r="L263" i="2"/>
  <c r="X263" i="2" s="1"/>
  <c r="L264" i="2"/>
  <c r="X264" i="2" s="1"/>
  <c r="L265" i="2"/>
  <c r="X265" i="2" s="1"/>
  <c r="L266" i="2"/>
  <c r="X266" i="2" s="1"/>
  <c r="L267" i="2"/>
  <c r="X267" i="2" s="1"/>
  <c r="L268" i="2"/>
  <c r="X268" i="2" s="1"/>
  <c r="L269" i="2"/>
  <c r="X269" i="2" s="1"/>
  <c r="L270" i="2"/>
  <c r="X270" i="2" s="1"/>
  <c r="L271" i="2"/>
  <c r="X271" i="2" s="1"/>
  <c r="L272" i="2"/>
  <c r="X272" i="2" s="1"/>
  <c r="L273" i="2"/>
  <c r="X273" i="2" s="1"/>
  <c r="L274" i="2"/>
  <c r="X274" i="2" s="1"/>
  <c r="L275" i="2"/>
  <c r="X275" i="2" s="1"/>
  <c r="L276" i="2"/>
  <c r="X276" i="2" s="1"/>
  <c r="L277" i="2"/>
  <c r="X277" i="2" s="1"/>
  <c r="L278" i="2"/>
  <c r="X278" i="2" s="1"/>
  <c r="L279" i="2"/>
  <c r="X279" i="2" s="1"/>
  <c r="L280" i="2"/>
  <c r="X280" i="2" s="1"/>
  <c r="L281" i="2"/>
  <c r="X281" i="2" s="1"/>
  <c r="L282" i="2"/>
  <c r="X282" i="2" s="1"/>
  <c r="L283" i="2"/>
  <c r="X283" i="2" s="1"/>
  <c r="L284" i="2"/>
  <c r="X284" i="2" s="1"/>
  <c r="L285" i="2"/>
  <c r="X285" i="2" s="1"/>
  <c r="L286" i="2"/>
  <c r="X286" i="2" s="1"/>
  <c r="L287" i="2"/>
  <c r="X287" i="2" s="1"/>
  <c r="L289" i="2"/>
  <c r="X289" i="2" s="1"/>
  <c r="L290" i="2"/>
  <c r="X290" i="2" s="1"/>
  <c r="L291" i="2"/>
  <c r="X291" i="2" s="1"/>
  <c r="L292" i="2"/>
  <c r="X292" i="2" s="1"/>
  <c r="L293" i="2"/>
  <c r="X293" i="2" s="1"/>
  <c r="L294" i="2"/>
  <c r="X294" i="2" s="1"/>
  <c r="L295" i="2"/>
  <c r="X295" i="2" s="1"/>
  <c r="L296" i="2"/>
  <c r="X296" i="2" s="1"/>
  <c r="L297" i="2"/>
  <c r="X297" i="2" s="1"/>
  <c r="L298" i="2"/>
  <c r="X298" i="2" s="1"/>
  <c r="L299" i="2"/>
  <c r="X299" i="2" s="1"/>
  <c r="L300" i="2"/>
  <c r="X300" i="2" s="1"/>
  <c r="L301" i="2"/>
  <c r="X301" i="2" s="1"/>
  <c r="L302" i="2"/>
  <c r="X302" i="2" s="1"/>
  <c r="L303" i="2"/>
  <c r="X303" i="2" s="1"/>
  <c r="L304" i="2"/>
  <c r="X304" i="2" s="1"/>
  <c r="L305" i="2"/>
  <c r="X305" i="2" s="1"/>
  <c r="L306" i="2"/>
  <c r="X306" i="2" s="1"/>
  <c r="L307" i="2"/>
  <c r="X307" i="2" s="1"/>
  <c r="L308" i="2"/>
  <c r="X308" i="2" s="1"/>
  <c r="L309" i="2"/>
  <c r="X309" i="2" s="1"/>
  <c r="L310" i="2"/>
  <c r="X310" i="2" s="1"/>
  <c r="L311" i="2"/>
  <c r="X311" i="2" s="1"/>
  <c r="L312" i="2"/>
  <c r="X312" i="2" s="1"/>
  <c r="L313" i="2"/>
  <c r="X313" i="2" s="1"/>
  <c r="L314" i="2"/>
  <c r="X314" i="2" s="1"/>
  <c r="L315" i="2"/>
  <c r="X315" i="2" s="1"/>
  <c r="L316" i="2"/>
  <c r="X316" i="2" s="1"/>
  <c r="L317" i="2"/>
  <c r="X317" i="2" s="1"/>
  <c r="L318" i="2"/>
  <c r="X318" i="2" s="1"/>
  <c r="L319" i="2"/>
  <c r="X319" i="2" s="1"/>
  <c r="L320" i="2"/>
  <c r="X320" i="2" s="1"/>
  <c r="L321" i="2"/>
  <c r="X321" i="2" s="1"/>
  <c r="L322" i="2"/>
  <c r="X322" i="2" s="1"/>
  <c r="L323" i="2"/>
  <c r="X323" i="2" s="1"/>
  <c r="L324" i="2"/>
  <c r="X324" i="2" s="1"/>
  <c r="L325" i="2"/>
  <c r="X325" i="2" s="1"/>
  <c r="L326" i="2"/>
  <c r="X326" i="2" s="1"/>
  <c r="L327" i="2"/>
  <c r="X327" i="2" s="1"/>
  <c r="L328" i="2"/>
  <c r="X328" i="2" s="1"/>
  <c r="L329" i="2"/>
  <c r="X329" i="2" s="1"/>
  <c r="L330" i="2"/>
  <c r="X330" i="2" s="1"/>
  <c r="L331" i="2"/>
  <c r="X331" i="2" s="1"/>
  <c r="L332" i="2"/>
  <c r="X332" i="2" s="1"/>
  <c r="L333" i="2"/>
  <c r="X333" i="2" s="1"/>
  <c r="L334" i="2"/>
  <c r="X334" i="2" s="1"/>
  <c r="L335" i="2"/>
  <c r="X335" i="2" s="1"/>
  <c r="L336" i="2"/>
  <c r="X336" i="2" s="1"/>
  <c r="L337" i="2"/>
  <c r="X337" i="2" s="1"/>
  <c r="L338" i="2"/>
  <c r="X338" i="2" s="1"/>
  <c r="L339" i="2"/>
  <c r="X339" i="2" s="1"/>
  <c r="L340" i="2"/>
  <c r="X340" i="2" s="1"/>
  <c r="L341" i="2"/>
  <c r="X341" i="2" s="1"/>
  <c r="L342" i="2"/>
  <c r="X342" i="2" s="1"/>
  <c r="L343" i="2"/>
  <c r="X343" i="2" s="1"/>
  <c r="L344" i="2"/>
  <c r="X344" i="2" s="1"/>
  <c r="L345" i="2"/>
  <c r="X345" i="2" s="1"/>
  <c r="L346" i="2"/>
  <c r="X346" i="2" s="1"/>
  <c r="L347" i="2"/>
  <c r="X347" i="2" s="1"/>
  <c r="L348" i="2"/>
  <c r="X348" i="2" s="1"/>
  <c r="L349" i="2"/>
  <c r="X349" i="2" s="1"/>
  <c r="L350" i="2"/>
  <c r="X350" i="2" s="1"/>
  <c r="L351" i="2"/>
  <c r="X351" i="2" s="1"/>
  <c r="L352" i="2"/>
  <c r="X352" i="2" s="1"/>
  <c r="L353" i="2"/>
  <c r="X353" i="2" s="1"/>
  <c r="L354" i="2"/>
  <c r="X354" i="2" s="1"/>
  <c r="L355" i="2"/>
  <c r="X355" i="2" s="1"/>
  <c r="L356" i="2"/>
  <c r="X356" i="2" s="1"/>
  <c r="L357" i="2"/>
  <c r="X357" i="2" s="1"/>
  <c r="L358" i="2"/>
  <c r="X358" i="2" s="1"/>
  <c r="L359" i="2"/>
  <c r="X359" i="2" s="1"/>
  <c r="L360" i="2"/>
  <c r="X360" i="2" s="1"/>
  <c r="L361" i="2"/>
  <c r="X361" i="2" s="1"/>
  <c r="L362" i="2"/>
  <c r="X362" i="2" s="1"/>
  <c r="L363" i="2"/>
  <c r="X363" i="2" s="1"/>
  <c r="L364" i="2"/>
  <c r="X364" i="2" s="1"/>
  <c r="L365" i="2"/>
  <c r="X365" i="2" s="1"/>
  <c r="L366" i="2"/>
  <c r="X366" i="2" s="1"/>
  <c r="L367" i="2"/>
  <c r="X367" i="2" s="1"/>
  <c r="L368" i="2"/>
  <c r="X368" i="2" s="1"/>
  <c r="L369" i="2"/>
  <c r="X369" i="2" s="1"/>
  <c r="L370" i="2"/>
  <c r="X370" i="2" s="1"/>
  <c r="L371" i="2"/>
  <c r="X371" i="2" s="1"/>
  <c r="L372" i="2"/>
  <c r="X372" i="2" s="1"/>
  <c r="L373" i="2"/>
  <c r="X373" i="2" s="1"/>
  <c r="L374" i="2"/>
  <c r="X374" i="2" s="1"/>
  <c r="L375" i="2"/>
  <c r="X375" i="2" s="1"/>
  <c r="L376" i="2"/>
  <c r="X376" i="2" s="1"/>
  <c r="L377" i="2"/>
  <c r="X377" i="2" s="1"/>
  <c r="L378" i="2"/>
  <c r="X378" i="2" s="1"/>
  <c r="L379" i="2"/>
  <c r="X379" i="2" s="1"/>
  <c r="L380" i="2"/>
  <c r="X380" i="2" s="1"/>
  <c r="L381" i="2"/>
  <c r="X381" i="2" s="1"/>
  <c r="L382" i="2"/>
  <c r="X382" i="2" s="1"/>
  <c r="L383" i="2"/>
  <c r="X383" i="2" s="1"/>
  <c r="L384" i="2"/>
  <c r="X384" i="2" s="1"/>
  <c r="L385" i="2"/>
  <c r="X385" i="2" s="1"/>
  <c r="L386" i="2"/>
  <c r="X386" i="2" s="1"/>
  <c r="L387" i="2"/>
  <c r="X387" i="2" s="1"/>
  <c r="L388" i="2"/>
  <c r="X388" i="2" s="1"/>
  <c r="L389" i="2"/>
  <c r="X389" i="2" s="1"/>
  <c r="L390" i="2"/>
  <c r="X390" i="2" s="1"/>
  <c r="L391" i="2"/>
  <c r="X391" i="2" s="1"/>
  <c r="L392" i="2"/>
  <c r="X392" i="2" s="1"/>
  <c r="L393" i="2"/>
  <c r="X393" i="2" s="1"/>
  <c r="L394" i="2"/>
  <c r="X394" i="2" s="1"/>
  <c r="L395" i="2"/>
  <c r="X395" i="2" s="1"/>
  <c r="L396" i="2"/>
  <c r="X396" i="2" s="1"/>
  <c r="L397" i="2"/>
  <c r="X397" i="2" s="1"/>
  <c r="L398" i="2"/>
  <c r="X398" i="2" s="1"/>
  <c r="L399" i="2"/>
  <c r="X399" i="2" s="1"/>
  <c r="L400" i="2"/>
  <c r="X400" i="2" s="1"/>
  <c r="L401" i="2"/>
  <c r="X401" i="2" s="1"/>
  <c r="L402" i="2"/>
  <c r="X402" i="2" s="1"/>
  <c r="L403" i="2"/>
  <c r="X403" i="2" s="1"/>
  <c r="L404" i="2"/>
  <c r="X404" i="2" s="1"/>
  <c r="L405" i="2"/>
  <c r="X405" i="2" s="1"/>
  <c r="L406" i="2"/>
  <c r="X406" i="2" s="1"/>
  <c r="L407" i="2"/>
  <c r="X407" i="2" s="1"/>
  <c r="L408" i="2"/>
  <c r="X408" i="2" s="1"/>
  <c r="L409" i="2"/>
  <c r="X409" i="2" s="1"/>
  <c r="L410" i="2"/>
  <c r="X410" i="2" s="1"/>
  <c r="L411" i="2"/>
  <c r="X411" i="2" s="1"/>
  <c r="L412" i="2"/>
  <c r="X412" i="2" s="1"/>
  <c r="L413" i="2"/>
  <c r="X413" i="2" s="1"/>
  <c r="L414" i="2"/>
  <c r="X414" i="2" s="1"/>
  <c r="L415" i="2"/>
  <c r="X415" i="2" s="1"/>
  <c r="L416" i="2"/>
  <c r="X416" i="2" s="1"/>
  <c r="L417" i="2"/>
  <c r="X417" i="2" s="1"/>
  <c r="L418" i="2"/>
  <c r="X418" i="2" s="1"/>
  <c r="L419" i="2"/>
  <c r="X419" i="2" s="1"/>
  <c r="L427" i="2"/>
  <c r="X427" i="2" s="1"/>
  <c r="L428" i="2"/>
  <c r="X428" i="2" s="1"/>
  <c r="L429" i="2"/>
  <c r="X429" i="2" s="1"/>
  <c r="L430" i="2"/>
  <c r="X430" i="2" s="1"/>
  <c r="L431" i="2"/>
  <c r="X431" i="2" s="1"/>
  <c r="L432" i="2"/>
  <c r="X432" i="2" s="1"/>
  <c r="L433" i="2"/>
  <c r="X433" i="2" s="1"/>
  <c r="L434" i="2"/>
  <c r="X434" i="2" s="1"/>
  <c r="L435" i="2"/>
  <c r="X435" i="2" s="1"/>
  <c r="L436" i="2"/>
  <c r="X436" i="2" s="1"/>
  <c r="L437" i="2"/>
  <c r="X437" i="2" s="1"/>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S141" i="2"/>
  <c r="T141" i="2"/>
  <c r="S142" i="2"/>
  <c r="T142" i="2"/>
  <c r="S143" i="2"/>
  <c r="T143" i="2"/>
  <c r="S144" i="2"/>
  <c r="T144" i="2"/>
  <c r="S145" i="2"/>
  <c r="T145" i="2"/>
  <c r="S146" i="2"/>
  <c r="T146" i="2"/>
  <c r="S147" i="2"/>
  <c r="T147" i="2"/>
  <c r="S148" i="2"/>
  <c r="T148" i="2"/>
  <c r="S149" i="2"/>
  <c r="T149" i="2"/>
  <c r="S150" i="2"/>
  <c r="T150" i="2"/>
  <c r="S151" i="2"/>
  <c r="T151" i="2"/>
  <c r="T153" i="2"/>
  <c r="T154" i="2"/>
  <c r="S156" i="2"/>
  <c r="T156" i="2"/>
  <c r="S157" i="2"/>
  <c r="T157" i="2"/>
  <c r="S158" i="2"/>
  <c r="T158" i="2"/>
  <c r="S159" i="2"/>
  <c r="T159" i="2"/>
  <c r="S160" i="2"/>
  <c r="T160" i="2"/>
  <c r="S161" i="2"/>
  <c r="T161" i="2"/>
  <c r="S162" i="2"/>
  <c r="T162" i="2"/>
  <c r="S163" i="2"/>
  <c r="T163" i="2"/>
  <c r="S164" i="2"/>
  <c r="T164" i="2"/>
  <c r="S165" i="2"/>
  <c r="T165" i="2"/>
  <c r="T166" i="2"/>
  <c r="T167" i="2"/>
  <c r="T168" i="2"/>
  <c r="T169" i="2"/>
  <c r="T170" i="2"/>
  <c r="T171" i="2"/>
  <c r="T172" i="2"/>
  <c r="S173" i="2"/>
  <c r="T173" i="2"/>
  <c r="S174" i="2"/>
  <c r="T174" i="2"/>
  <c r="T175" i="2"/>
  <c r="S176" i="2"/>
  <c r="T176" i="2"/>
  <c r="S177" i="2"/>
  <c r="T177" i="2"/>
  <c r="S178" i="2"/>
  <c r="T178" i="2"/>
  <c r="T179" i="2"/>
  <c r="S180" i="2"/>
  <c r="T180" i="2"/>
  <c r="T181" i="2"/>
  <c r="T182" i="2"/>
  <c r="S183" i="2"/>
  <c r="T183" i="2"/>
  <c r="T184" i="2"/>
  <c r="T185" i="2"/>
  <c r="T186" i="2"/>
  <c r="T187" i="2"/>
  <c r="T188" i="2"/>
  <c r="T189" i="2"/>
  <c r="T190" i="2"/>
  <c r="T191" i="2"/>
  <c r="T192" i="2"/>
  <c r="T193" i="2"/>
  <c r="T194" i="2"/>
  <c r="T195" i="2"/>
  <c r="T196" i="2"/>
  <c r="T197" i="2"/>
  <c r="T198" i="2"/>
  <c r="T199" i="2"/>
  <c r="T200" i="2"/>
  <c r="T201" i="2"/>
  <c r="T202" i="2"/>
  <c r="T203" i="2"/>
  <c r="T204" i="2"/>
  <c r="T205" i="2"/>
  <c r="T206" i="2"/>
  <c r="T207" i="2"/>
  <c r="T208" i="2"/>
  <c r="T209" i="2"/>
  <c r="T210" i="2"/>
  <c r="T211" i="2"/>
  <c r="T212" i="2"/>
  <c r="T213" i="2"/>
  <c r="T214" i="2"/>
  <c r="T215" i="2"/>
  <c r="T216" i="2"/>
  <c r="T217" i="2"/>
  <c r="T218" i="2"/>
  <c r="T220" i="2"/>
  <c r="T221" i="2"/>
  <c r="T222" i="2"/>
  <c r="T223" i="2"/>
  <c r="T224" i="2"/>
  <c r="T225" i="2"/>
  <c r="T226" i="2"/>
  <c r="T227" i="2"/>
  <c r="T228" i="2"/>
  <c r="T229" i="2"/>
  <c r="T230" i="2"/>
  <c r="T231" i="2"/>
  <c r="T232" i="2"/>
  <c r="T233" i="2"/>
  <c r="T234" i="2"/>
  <c r="T235" i="2"/>
  <c r="T236" i="2"/>
  <c r="T237" i="2"/>
  <c r="T238" i="2"/>
  <c r="T239" i="2"/>
  <c r="T240" i="2"/>
  <c r="T241" i="2"/>
  <c r="S242" i="2"/>
  <c r="T242" i="2"/>
  <c r="T243" i="2"/>
  <c r="T244" i="2"/>
  <c r="T245" i="2"/>
  <c r="T246" i="2"/>
  <c r="T247" i="2"/>
  <c r="T248" i="2"/>
  <c r="T249" i="2"/>
  <c r="T250" i="2"/>
  <c r="T251" i="2"/>
  <c r="T252" i="2"/>
  <c r="T253" i="2"/>
  <c r="T254" i="2"/>
  <c r="T255" i="2"/>
  <c r="T256" i="2"/>
  <c r="T257" i="2"/>
  <c r="T258" i="2"/>
  <c r="T259" i="2"/>
  <c r="T260" i="2"/>
  <c r="T261" i="2"/>
  <c r="T262" i="2"/>
  <c r="T263" i="2"/>
  <c r="T264" i="2"/>
  <c r="T265" i="2"/>
  <c r="T266" i="2"/>
  <c r="T267" i="2"/>
  <c r="T268" i="2"/>
  <c r="T269" i="2"/>
  <c r="T270" i="2"/>
  <c r="S271" i="2"/>
  <c r="T271" i="2"/>
  <c r="T272" i="2"/>
  <c r="T273" i="2"/>
  <c r="T274" i="2"/>
  <c r="T275" i="2"/>
  <c r="T276" i="2"/>
  <c r="T277" i="2"/>
  <c r="T278" i="2"/>
  <c r="T279" i="2"/>
  <c r="T280" i="2"/>
  <c r="T281" i="2"/>
  <c r="T282" i="2"/>
  <c r="T283" i="2"/>
  <c r="T284" i="2"/>
  <c r="T285" i="2"/>
  <c r="T286" i="2"/>
  <c r="T287" i="2"/>
  <c r="T288" i="2"/>
  <c r="X288" i="2"/>
  <c r="T289" i="2"/>
  <c r="T290" i="2"/>
  <c r="T291" i="2"/>
  <c r="T292" i="2"/>
  <c r="T293" i="2"/>
  <c r="T294" i="2"/>
  <c r="T295" i="2"/>
  <c r="T296" i="2"/>
  <c r="T297" i="2"/>
  <c r="T298" i="2"/>
  <c r="T299" i="2"/>
  <c r="T300" i="2"/>
  <c r="T301" i="2"/>
  <c r="T302" i="2"/>
  <c r="T311" i="2"/>
  <c r="T312" i="2"/>
  <c r="T313" i="2"/>
  <c r="T314" i="2"/>
  <c r="T315" i="2"/>
  <c r="T316" i="2"/>
  <c r="T317" i="2"/>
  <c r="T318" i="2"/>
  <c r="T345" i="2"/>
  <c r="T353" i="2"/>
  <c r="T365" i="2"/>
  <c r="T366" i="2"/>
  <c r="T367" i="2"/>
  <c r="T368" i="2"/>
  <c r="T369" i="2"/>
  <c r="T370" i="2"/>
  <c r="T371" i="2"/>
  <c r="T372" i="2"/>
  <c r="T373" i="2"/>
  <c r="T374" i="2"/>
  <c r="T375" i="2"/>
  <c r="T376" i="2"/>
  <c r="T377" i="2"/>
  <c r="T378" i="2"/>
  <c r="T379" i="2"/>
  <c r="T380" i="2"/>
  <c r="T381" i="2"/>
  <c r="T382" i="2"/>
  <c r="T383" i="2"/>
  <c r="T384" i="2"/>
  <c r="T385" i="2"/>
  <c r="T386" i="2"/>
  <c r="T387" i="2"/>
  <c r="T388" i="2"/>
  <c r="T389" i="2"/>
  <c r="T390" i="2"/>
  <c r="T391" i="2"/>
  <c r="T392" i="2"/>
  <c r="T393" i="2"/>
  <c r="T394" i="2"/>
  <c r="T395" i="2"/>
  <c r="T396" i="2"/>
  <c r="T397" i="2"/>
  <c r="T398" i="2"/>
  <c r="T399" i="2"/>
  <c r="T400" i="2"/>
  <c r="T412" i="2"/>
  <c r="T413" i="2"/>
  <c r="T414" i="2"/>
  <c r="T415" i="2"/>
  <c r="T416" i="2"/>
  <c r="T417" i="2"/>
  <c r="T418" i="2"/>
  <c r="T419" i="2"/>
  <c r="T427" i="2"/>
  <c r="T428" i="2"/>
  <c r="T429" i="2"/>
  <c r="T430" i="2"/>
  <c r="T431" i="2"/>
  <c r="T432" i="2"/>
  <c r="T433" i="2"/>
  <c r="T434" i="2"/>
  <c r="T435" i="2"/>
  <c r="T436" i="2"/>
  <c r="T437" i="2"/>
  <c r="B4" i="41" l="1"/>
  <c r="B3" i="41"/>
  <c r="B8" i="42"/>
  <c r="A8" i="42"/>
  <c r="B7" i="42"/>
  <c r="A7" i="42"/>
  <c r="B6" i="42"/>
  <c r="A6" i="42"/>
  <c r="B5" i="42"/>
  <c r="A5" i="42"/>
  <c r="B4" i="42"/>
  <c r="A4" i="42"/>
  <c r="B3" i="42"/>
  <c r="A3" i="42"/>
  <c r="B1" i="41" l="1"/>
  <c r="B2" i="41"/>
  <c r="K52" i="38" l="1"/>
  <c r="K60" i="38" l="1"/>
  <c r="K59" i="38"/>
  <c r="K58" i="38"/>
  <c r="K57" i="38"/>
  <c r="K56" i="38"/>
  <c r="K55" i="38"/>
  <c r="K54" i="38"/>
  <c r="K53" i="38"/>
  <c r="K51" i="38"/>
  <c r="K50" i="38"/>
  <c r="B5" i="39" l="1"/>
  <c r="B6" i="39"/>
  <c r="B7" i="39"/>
  <c r="B8" i="39"/>
  <c r="B3" i="39"/>
  <c r="A4" i="39"/>
  <c r="A5" i="39"/>
  <c r="A6" i="39"/>
  <c r="A7" i="39"/>
  <c r="A8" i="39"/>
  <c r="A3" i="39"/>
  <c r="B3" i="35"/>
  <c r="B5" i="35"/>
  <c r="B6" i="35"/>
  <c r="B7" i="35"/>
  <c r="B8" i="35"/>
  <c r="B4" i="35"/>
  <c r="A4" i="35"/>
  <c r="A5" i="35"/>
  <c r="A6" i="35"/>
  <c r="A7" i="35"/>
  <c r="A8" i="35"/>
  <c r="A3" i="35"/>
  <c r="E39" i="39"/>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L10" i="2"/>
  <c r="X10" i="2" s="1"/>
  <c r="L11" i="2"/>
  <c r="X11" i="2" s="1"/>
  <c r="L12" i="2"/>
  <c r="X12" i="2" s="1"/>
  <c r="L13" i="2"/>
  <c r="X13" i="2" s="1"/>
  <c r="L14" i="2"/>
  <c r="X14" i="2" s="1"/>
  <c r="B6" i="28"/>
  <c r="B5" i="28"/>
  <c r="B3" i="28"/>
  <c r="A4" i="28"/>
  <c r="A5" i="28"/>
  <c r="A6" i="28"/>
  <c r="A3" i="28"/>
  <c r="B7" i="2"/>
  <c r="B6" i="2"/>
  <c r="B5" i="2"/>
  <c r="B4" i="2"/>
  <c r="B3" i="2"/>
  <c r="C7" i="2"/>
  <c r="C6" i="2"/>
  <c r="C5" i="2"/>
  <c r="C3" i="2"/>
  <c r="K54" i="18"/>
  <c r="K55" i="18"/>
  <c r="K56" i="18"/>
  <c r="K57" i="18"/>
  <c r="K58" i="18"/>
  <c r="K59" i="18"/>
  <c r="K60" i="18"/>
  <c r="K53" i="18"/>
  <c r="K51" i="18"/>
  <c r="K50" i="18"/>
  <c r="S839" i="2" l="1"/>
  <c r="P839" i="2" s="1"/>
  <c r="S840" i="2"/>
  <c r="P840" i="2" s="1"/>
  <c r="S833" i="2"/>
  <c r="P833" i="2" s="1"/>
  <c r="S841" i="2"/>
  <c r="P841" i="2" s="1"/>
  <c r="S834" i="2"/>
  <c r="P834" i="2" s="1"/>
  <c r="S835" i="2"/>
  <c r="P835" i="2" s="1"/>
  <c r="S836" i="2"/>
  <c r="P836" i="2" s="1"/>
  <c r="S838" i="2"/>
  <c r="P838" i="2" s="1"/>
  <c r="S837" i="2"/>
  <c r="P837" i="2" s="1"/>
  <c r="S820" i="2"/>
  <c r="P820" i="2" s="1"/>
  <c r="S828" i="2"/>
  <c r="P828" i="2" s="1"/>
  <c r="S826" i="2"/>
  <c r="P826" i="2" s="1"/>
  <c r="S816" i="2"/>
  <c r="P816" i="2" s="1"/>
  <c r="S824" i="2"/>
  <c r="P824" i="2" s="1"/>
  <c r="S832" i="2"/>
  <c r="P832" i="2" s="1"/>
  <c r="S821" i="2"/>
  <c r="P821" i="2" s="1"/>
  <c r="S829" i="2"/>
  <c r="P829" i="2" s="1"/>
  <c r="S822" i="2"/>
  <c r="P822" i="2" s="1"/>
  <c r="S817" i="2"/>
  <c r="P817" i="2" s="1"/>
  <c r="S825" i="2"/>
  <c r="P825" i="2" s="1"/>
  <c r="S818" i="2"/>
  <c r="P818" i="2" s="1"/>
  <c r="S830" i="2"/>
  <c r="P830" i="2" s="1"/>
  <c r="S819" i="2"/>
  <c r="P819" i="2" s="1"/>
  <c r="S823" i="2"/>
  <c r="P823" i="2" s="1"/>
  <c r="S827" i="2"/>
  <c r="P827" i="2" s="1"/>
  <c r="S831" i="2"/>
  <c r="P831" i="2" s="1"/>
  <c r="S48" i="2"/>
  <c r="P48" i="2" s="1"/>
  <c r="S56" i="2"/>
  <c r="P56" i="2" s="1"/>
  <c r="S49" i="2"/>
  <c r="P49" i="2" s="1"/>
  <c r="S50" i="2"/>
  <c r="P50" i="2" s="1"/>
  <c r="S58" i="2"/>
  <c r="P58" i="2" s="1"/>
  <c r="S53" i="2"/>
  <c r="P53" i="2" s="1"/>
  <c r="S51" i="2"/>
  <c r="P51" i="2" s="1"/>
  <c r="S52" i="2"/>
  <c r="P52" i="2" s="1"/>
  <c r="S46" i="2"/>
  <c r="P46" i="2" s="1"/>
  <c r="S47" i="2"/>
  <c r="P47" i="2" s="1"/>
  <c r="S54" i="2"/>
  <c r="P54" i="2" s="1"/>
  <c r="S55" i="2"/>
  <c r="P55" i="2" s="1"/>
  <c r="S57" i="2"/>
  <c r="P57" i="2" s="1"/>
  <c r="S155" i="2"/>
  <c r="P155" i="2" s="1"/>
  <c r="S152" i="2"/>
  <c r="P152" i="2" s="1"/>
  <c r="S219" i="2"/>
  <c r="P219" i="2" s="1"/>
  <c r="S78" i="2"/>
  <c r="P78" i="2" s="1"/>
  <c r="S86" i="2"/>
  <c r="P86" i="2" s="1"/>
  <c r="S59" i="2"/>
  <c r="P59" i="2" s="1"/>
  <c r="S83" i="2"/>
  <c r="P83" i="2" s="1"/>
  <c r="S84" i="2"/>
  <c r="P84" i="2" s="1"/>
  <c r="S63" i="2"/>
  <c r="P63" i="2" s="1"/>
  <c r="S71" i="2"/>
  <c r="P71" i="2" s="1"/>
  <c r="S87" i="2"/>
  <c r="P87" i="2" s="1"/>
  <c r="S82" i="2"/>
  <c r="P82" i="2" s="1"/>
  <c r="S61" i="2"/>
  <c r="P61" i="2" s="1"/>
  <c r="S64" i="2"/>
  <c r="P64" i="2" s="1"/>
  <c r="S72" i="2"/>
  <c r="P72" i="2" s="1"/>
  <c r="S80" i="2"/>
  <c r="P80" i="2" s="1"/>
  <c r="S88" i="2"/>
  <c r="P88" i="2" s="1"/>
  <c r="S90" i="2"/>
  <c r="P90" i="2" s="1"/>
  <c r="S60" i="2"/>
  <c r="P60" i="2" s="1"/>
  <c r="S85" i="2"/>
  <c r="P85" i="2" s="1"/>
  <c r="S73" i="2"/>
  <c r="P73" i="2" s="1"/>
  <c r="S81" i="2"/>
  <c r="P81" i="2" s="1"/>
  <c r="S91" i="2"/>
  <c r="P91" i="2" s="1"/>
  <c r="S69" i="2"/>
  <c r="P69" i="2" s="1"/>
  <c r="S262" i="2"/>
  <c r="P262" i="2" s="1"/>
  <c r="J109" i="37"/>
  <c r="J110" i="37"/>
  <c r="J111" i="37"/>
  <c r="L111" i="37"/>
  <c r="L109" i="37"/>
  <c r="L110" i="37"/>
  <c r="K109" i="37"/>
  <c r="K111" i="37"/>
  <c r="K110" i="37"/>
  <c r="D59" i="37"/>
  <c r="I59" i="37"/>
  <c r="F59" i="37"/>
  <c r="D60" i="37"/>
  <c r="I60" i="37"/>
  <c r="H61" i="37"/>
  <c r="E59" i="37"/>
  <c r="H60" i="37"/>
  <c r="G61" i="37"/>
  <c r="E60" i="37"/>
  <c r="I61" i="37"/>
  <c r="F60" i="37"/>
  <c r="E61" i="37"/>
  <c r="D61" i="37"/>
  <c r="F61" i="37"/>
  <c r="B59" i="37"/>
  <c r="B60" i="37"/>
  <c r="H59" i="37"/>
  <c r="B61" i="37"/>
  <c r="S426" i="2"/>
  <c r="S420" i="2"/>
  <c r="S423" i="2"/>
  <c r="S421" i="2"/>
  <c r="S422" i="2"/>
  <c r="S424" i="2"/>
  <c r="S425" i="2"/>
  <c r="B40" i="37"/>
  <c r="H40" i="37"/>
  <c r="E40" i="37"/>
  <c r="F40" i="37"/>
  <c r="D40" i="37"/>
  <c r="K90" i="37"/>
  <c r="J90" i="37"/>
  <c r="L90" i="37"/>
  <c r="K86" i="37"/>
  <c r="K104" i="37"/>
  <c r="K103" i="37"/>
  <c r="K94" i="37"/>
  <c r="K106" i="37"/>
  <c r="K108" i="37"/>
  <c r="K98" i="37"/>
  <c r="K91" i="37"/>
  <c r="K93" i="37"/>
  <c r="K107" i="37"/>
  <c r="K89" i="37"/>
  <c r="K105" i="37"/>
  <c r="K88" i="37"/>
  <c r="K95" i="37"/>
  <c r="K100" i="37"/>
  <c r="K101" i="37"/>
  <c r="K97" i="37"/>
  <c r="K87" i="37"/>
  <c r="K102" i="37"/>
  <c r="K92" i="37"/>
  <c r="D36" i="37"/>
  <c r="E36" i="37"/>
  <c r="F36" i="37"/>
  <c r="B36" i="37"/>
  <c r="J108" i="37"/>
  <c r="J98" i="37"/>
  <c r="J96" i="37"/>
  <c r="J93" i="37"/>
  <c r="J102" i="37"/>
  <c r="J107" i="37"/>
  <c r="J105" i="37"/>
  <c r="J86" i="37"/>
  <c r="J92" i="37"/>
  <c r="J94" i="37"/>
  <c r="J100" i="37"/>
  <c r="J91" i="37"/>
  <c r="J97" i="37"/>
  <c r="J88" i="37"/>
  <c r="J106" i="37"/>
  <c r="J104" i="37"/>
  <c r="J95" i="37"/>
  <c r="J103" i="37"/>
  <c r="J101" i="37"/>
  <c r="J99" i="37"/>
  <c r="J89" i="37"/>
  <c r="J87" i="37"/>
  <c r="L86" i="37"/>
  <c r="L89" i="37"/>
  <c r="L103" i="37"/>
  <c r="L92" i="37"/>
  <c r="L93" i="37"/>
  <c r="L104" i="37"/>
  <c r="L91" i="37"/>
  <c r="L96" i="37"/>
  <c r="L101" i="37"/>
  <c r="L98" i="37"/>
  <c r="L95" i="37"/>
  <c r="L105" i="37"/>
  <c r="L102" i="37"/>
  <c r="L87" i="37"/>
  <c r="L88" i="37"/>
  <c r="L97" i="37"/>
  <c r="L94" i="37"/>
  <c r="L100" i="37"/>
  <c r="L99" i="37"/>
  <c r="L108" i="37"/>
  <c r="K72" i="37"/>
  <c r="K70" i="37"/>
  <c r="J70" i="37"/>
  <c r="L70" i="37"/>
  <c r="J72" i="37"/>
  <c r="B22" i="37"/>
  <c r="D22" i="37"/>
  <c r="E22" i="37"/>
  <c r="F22" i="37"/>
  <c r="L72" i="37"/>
  <c r="L71" i="37"/>
  <c r="L73" i="37"/>
  <c r="L74" i="37"/>
  <c r="L75" i="37"/>
  <c r="L81" i="37"/>
  <c r="L80" i="37"/>
  <c r="L83" i="37"/>
  <c r="L85" i="37"/>
  <c r="L82" i="37"/>
  <c r="L84" i="37"/>
  <c r="K76" i="37"/>
  <c r="K77" i="37"/>
  <c r="K74" i="37"/>
  <c r="K75" i="37"/>
  <c r="K71" i="37"/>
  <c r="K78" i="37"/>
  <c r="K84" i="37"/>
  <c r="K69" i="37"/>
  <c r="K81" i="37"/>
  <c r="K82" i="37"/>
  <c r="K85" i="37"/>
  <c r="K67" i="37"/>
  <c r="K80" i="37"/>
  <c r="K83" i="37"/>
  <c r="J71" i="37"/>
  <c r="J78" i="37"/>
  <c r="J80" i="37"/>
  <c r="J68" i="37"/>
  <c r="J84" i="37"/>
  <c r="J76" i="37"/>
  <c r="J74" i="37"/>
  <c r="J75" i="37"/>
  <c r="J73" i="37"/>
  <c r="J67" i="37"/>
  <c r="J77" i="37"/>
  <c r="J69" i="37"/>
  <c r="J85" i="37"/>
  <c r="J83" i="37"/>
  <c r="J81" i="37"/>
  <c r="J82" i="37"/>
  <c r="S520" i="2"/>
  <c r="P520" i="2" s="1"/>
  <c r="S521" i="2"/>
  <c r="P521" i="2" s="1"/>
  <c r="S515" i="2"/>
  <c r="P515" i="2" s="1"/>
  <c r="S516" i="2"/>
  <c r="P516" i="2" s="1"/>
  <c r="S517" i="2"/>
  <c r="P517" i="2" s="1"/>
  <c r="S519" i="2"/>
  <c r="P519" i="2" s="1"/>
  <c r="S518" i="2"/>
  <c r="P518" i="2" s="1"/>
  <c r="L68" i="37"/>
  <c r="L69" i="37"/>
  <c r="L67" i="37"/>
  <c r="S496" i="2"/>
  <c r="P496" i="2" s="1"/>
  <c r="S504" i="2"/>
  <c r="P504" i="2" s="1"/>
  <c r="S512" i="2"/>
  <c r="P512" i="2" s="1"/>
  <c r="S497" i="2"/>
  <c r="P497" i="2" s="1"/>
  <c r="S505" i="2"/>
  <c r="P505" i="2" s="1"/>
  <c r="S513" i="2"/>
  <c r="P513" i="2" s="1"/>
  <c r="S710" i="2"/>
  <c r="P710" i="2" s="1"/>
  <c r="S503" i="2"/>
  <c r="P503" i="2" s="1"/>
  <c r="S498" i="2"/>
  <c r="P498" i="2" s="1"/>
  <c r="S506" i="2"/>
  <c r="P506" i="2" s="1"/>
  <c r="S514" i="2"/>
  <c r="P514" i="2" s="1"/>
  <c r="S712" i="2"/>
  <c r="P712" i="2" s="1"/>
  <c r="S491" i="2"/>
  <c r="P491" i="2" s="1"/>
  <c r="S499" i="2"/>
  <c r="P499" i="2" s="1"/>
  <c r="S507" i="2"/>
  <c r="P507" i="2" s="1"/>
  <c r="S714" i="2"/>
  <c r="P714" i="2" s="1"/>
  <c r="S749" i="2"/>
  <c r="P749" i="2" s="1"/>
  <c r="S494" i="2"/>
  <c r="P494" i="2" s="1"/>
  <c r="S510" i="2"/>
  <c r="P510" i="2" s="1"/>
  <c r="S624" i="2"/>
  <c r="P624" i="2" s="1"/>
  <c r="S492" i="2"/>
  <c r="P492" i="2" s="1"/>
  <c r="S500" i="2"/>
  <c r="P500" i="2" s="1"/>
  <c r="S508" i="2"/>
  <c r="P508" i="2" s="1"/>
  <c r="S622" i="2"/>
  <c r="P622" i="2" s="1"/>
  <c r="S715" i="2"/>
  <c r="P715" i="2" s="1"/>
  <c r="S493" i="2"/>
  <c r="P493" i="2" s="1"/>
  <c r="S501" i="2"/>
  <c r="P501" i="2" s="1"/>
  <c r="S509" i="2"/>
  <c r="P509" i="2" s="1"/>
  <c r="S623" i="2"/>
  <c r="P623" i="2" s="1"/>
  <c r="S502" i="2"/>
  <c r="P502" i="2" s="1"/>
  <c r="S495" i="2"/>
  <c r="P495" i="2" s="1"/>
  <c r="S511" i="2"/>
  <c r="P511" i="2" s="1"/>
  <c r="S353" i="2"/>
  <c r="P353" i="2" s="1"/>
  <c r="S293" i="2"/>
  <c r="P293" i="2" s="1"/>
  <c r="S300" i="2"/>
  <c r="P300" i="2" s="1"/>
  <c r="S345" i="2"/>
  <c r="P345" i="2" s="1"/>
  <c r="S365" i="2"/>
  <c r="P365" i="2" s="1"/>
  <c r="S794" i="2"/>
  <c r="P794" i="2" s="1"/>
  <c r="S800" i="2"/>
  <c r="P800" i="2" s="1"/>
  <c r="S804" i="2"/>
  <c r="S801" i="2"/>
  <c r="P801" i="2" s="1"/>
  <c r="S805" i="2"/>
  <c r="P805" i="2" s="1"/>
  <c r="S799" i="2"/>
  <c r="P799" i="2" s="1"/>
  <c r="S803" i="2"/>
  <c r="S811" i="2"/>
  <c r="S795" i="2"/>
  <c r="P795" i="2" s="1"/>
  <c r="S808" i="2"/>
  <c r="S812" i="2"/>
  <c r="S815" i="2"/>
  <c r="S796" i="2"/>
  <c r="P796" i="2" s="1"/>
  <c r="S809" i="2"/>
  <c r="S793" i="2"/>
  <c r="P793" i="2" s="1"/>
  <c r="S802" i="2"/>
  <c r="P802" i="2" s="1"/>
  <c r="S806" i="2"/>
  <c r="P806" i="2" s="1"/>
  <c r="S810" i="2"/>
  <c r="S441" i="2"/>
  <c r="P441" i="2" s="1"/>
  <c r="S449" i="2"/>
  <c r="P449" i="2" s="1"/>
  <c r="S457" i="2"/>
  <c r="S471" i="2"/>
  <c r="P471" i="2" s="1"/>
  <c r="S479" i="2"/>
  <c r="P479" i="2" s="1"/>
  <c r="S561" i="2"/>
  <c r="S570" i="2"/>
  <c r="S580" i="2"/>
  <c r="S582" i="2"/>
  <c r="P582" i="2" s="1"/>
  <c r="S590" i="2"/>
  <c r="S598" i="2"/>
  <c r="S606" i="2"/>
  <c r="S614" i="2"/>
  <c r="S635" i="2"/>
  <c r="S643" i="2"/>
  <c r="S649" i="2"/>
  <c r="S655" i="2"/>
  <c r="S692" i="2"/>
  <c r="S700" i="2"/>
  <c r="S722" i="2"/>
  <c r="S735" i="2"/>
  <c r="S743" i="2"/>
  <c r="S762" i="2"/>
  <c r="P762" i="2" s="1"/>
  <c r="S769" i="2"/>
  <c r="P769" i="2" s="1"/>
  <c r="S777" i="2"/>
  <c r="P777" i="2" s="1"/>
  <c r="S785" i="2"/>
  <c r="P785" i="2" s="1"/>
  <c r="S727" i="2"/>
  <c r="S784" i="2"/>
  <c r="P784" i="2" s="1"/>
  <c r="S442" i="2"/>
  <c r="P442" i="2" s="1"/>
  <c r="S450" i="2"/>
  <c r="P450" i="2" s="1"/>
  <c r="S458" i="2"/>
  <c r="S464" i="2"/>
  <c r="P464" i="2" s="1"/>
  <c r="S472" i="2"/>
  <c r="P472" i="2" s="1"/>
  <c r="S480" i="2"/>
  <c r="P480" i="2" s="1"/>
  <c r="S562" i="2"/>
  <c r="S573" i="2"/>
  <c r="S581" i="2"/>
  <c r="S583" i="2"/>
  <c r="P583" i="2" s="1"/>
  <c r="S591" i="2"/>
  <c r="S599" i="2"/>
  <c r="S607" i="2"/>
  <c r="S615" i="2"/>
  <c r="S636" i="2"/>
  <c r="S644" i="2"/>
  <c r="S650" i="2"/>
  <c r="S656" i="2"/>
  <c r="S679" i="2"/>
  <c r="S693" i="2"/>
  <c r="S701" i="2"/>
  <c r="S736" i="2"/>
  <c r="S744" i="2"/>
  <c r="S751" i="2"/>
  <c r="S763" i="2"/>
  <c r="P763" i="2" s="1"/>
  <c r="S770" i="2"/>
  <c r="P770" i="2" s="1"/>
  <c r="S778" i="2"/>
  <c r="P778" i="2" s="1"/>
  <c r="S786" i="2"/>
  <c r="P786" i="2" s="1"/>
  <c r="S657" i="2"/>
  <c r="S694" i="2"/>
  <c r="S702" i="2"/>
  <c r="S716" i="2"/>
  <c r="S729" i="2"/>
  <c r="S737" i="2"/>
  <c r="S752" i="2"/>
  <c r="S779" i="2"/>
  <c r="P779" i="2" s="1"/>
  <c r="S718" i="2"/>
  <c r="S739" i="2"/>
  <c r="S773" i="2"/>
  <c r="P773" i="2" s="1"/>
  <c r="S719" i="2"/>
  <c r="S740" i="2"/>
  <c r="S790" i="2"/>
  <c r="P790" i="2" s="1"/>
  <c r="S439" i="2"/>
  <c r="P439" i="2" s="1"/>
  <c r="S447" i="2"/>
  <c r="P447" i="2" s="1"/>
  <c r="S455" i="2"/>
  <c r="S477" i="2"/>
  <c r="P477" i="2" s="1"/>
  <c r="S485" i="2"/>
  <c r="P485" i="2" s="1"/>
  <c r="S567" i="2"/>
  <c r="S578" i="2"/>
  <c r="S588" i="2"/>
  <c r="S596" i="2"/>
  <c r="S604" i="2"/>
  <c r="S628" i="2"/>
  <c r="S660" i="2"/>
  <c r="S690" i="2"/>
  <c r="S706" i="2"/>
  <c r="S733" i="2"/>
  <c r="S741" i="2"/>
  <c r="S755" i="2"/>
  <c r="P755" i="2" s="1"/>
  <c r="S767" i="2"/>
  <c r="P767" i="2" s="1"/>
  <c r="S775" i="2"/>
  <c r="P775" i="2" s="1"/>
  <c r="S783" i="2"/>
  <c r="P783" i="2" s="1"/>
  <c r="S791" i="2"/>
  <c r="P791" i="2" s="1"/>
  <c r="S470" i="2"/>
  <c r="P470" i="2" s="1"/>
  <c r="S605" i="2"/>
  <c r="S620" i="2"/>
  <c r="S734" i="2"/>
  <c r="S776" i="2"/>
  <c r="P776" i="2" s="1"/>
  <c r="S443" i="2"/>
  <c r="P443" i="2" s="1"/>
  <c r="S451" i="2"/>
  <c r="P451" i="2" s="1"/>
  <c r="S459" i="2"/>
  <c r="S465" i="2"/>
  <c r="P465" i="2" s="1"/>
  <c r="S473" i="2"/>
  <c r="P473" i="2" s="1"/>
  <c r="S481" i="2"/>
  <c r="P481" i="2" s="1"/>
  <c r="S488" i="2"/>
  <c r="P488" i="2" s="1"/>
  <c r="S563" i="2"/>
  <c r="S574" i="2"/>
  <c r="S584" i="2"/>
  <c r="P584" i="2" s="1"/>
  <c r="S592" i="2"/>
  <c r="S600" i="2"/>
  <c r="S608" i="2"/>
  <c r="S616" i="2"/>
  <c r="S638" i="2"/>
  <c r="S645" i="2"/>
  <c r="S680" i="2"/>
  <c r="S745" i="2"/>
  <c r="S764" i="2"/>
  <c r="P764" i="2" s="1"/>
  <c r="S771" i="2"/>
  <c r="P771" i="2" s="1"/>
  <c r="S787" i="2"/>
  <c r="P787" i="2" s="1"/>
  <c r="S748" i="2"/>
  <c r="S782" i="2"/>
  <c r="P782" i="2" s="1"/>
  <c r="S559" i="2"/>
  <c r="S726" i="2"/>
  <c r="S760" i="2"/>
  <c r="P760" i="2" s="1"/>
  <c r="S456" i="2"/>
  <c r="S478" i="2"/>
  <c r="P478" i="2" s="1"/>
  <c r="S589" i="2"/>
  <c r="S597" i="2"/>
  <c r="S642" i="2"/>
  <c r="S713" i="2"/>
  <c r="S742" i="2"/>
  <c r="S444" i="2"/>
  <c r="P444" i="2" s="1"/>
  <c r="S452" i="2"/>
  <c r="S460" i="2"/>
  <c r="P460" i="2" s="1"/>
  <c r="S466" i="2"/>
  <c r="P466" i="2" s="1"/>
  <c r="S474" i="2"/>
  <c r="P474" i="2" s="1"/>
  <c r="S482" i="2"/>
  <c r="P482" i="2" s="1"/>
  <c r="S489" i="2"/>
  <c r="P489" i="2" s="1"/>
  <c r="S564" i="2"/>
  <c r="S575" i="2"/>
  <c r="S585" i="2"/>
  <c r="P585" i="2" s="1"/>
  <c r="S593" i="2"/>
  <c r="S601" i="2"/>
  <c r="S609" i="2"/>
  <c r="S617" i="2"/>
  <c r="S658" i="2"/>
  <c r="S663" i="2"/>
  <c r="S681" i="2"/>
  <c r="S687" i="2"/>
  <c r="S695" i="2"/>
  <c r="S703" i="2"/>
  <c r="S709" i="2"/>
  <c r="S717" i="2"/>
  <c r="S724" i="2"/>
  <c r="S730" i="2"/>
  <c r="S738" i="2"/>
  <c r="S746" i="2"/>
  <c r="S772" i="2"/>
  <c r="P772" i="2" s="1"/>
  <c r="S780" i="2"/>
  <c r="P780" i="2" s="1"/>
  <c r="S788" i="2"/>
  <c r="P788" i="2" s="1"/>
  <c r="S731" i="2"/>
  <c r="S747" i="2"/>
  <c r="S781" i="2"/>
  <c r="P781" i="2" s="1"/>
  <c r="S789" i="2"/>
  <c r="P789" i="2" s="1"/>
  <c r="S711" i="2"/>
  <c r="S754" i="2"/>
  <c r="P754" i="2" s="1"/>
  <c r="S766" i="2"/>
  <c r="P766" i="2" s="1"/>
  <c r="S774" i="2"/>
  <c r="P774" i="2" s="1"/>
  <c r="S469" i="2"/>
  <c r="P469" i="2" s="1"/>
  <c r="S641" i="2"/>
  <c r="S720" i="2"/>
  <c r="S445" i="2"/>
  <c r="P445" i="2" s="1"/>
  <c r="S453" i="2"/>
  <c r="S461" i="2"/>
  <c r="P461" i="2" s="1"/>
  <c r="S467" i="2"/>
  <c r="P467" i="2" s="1"/>
  <c r="S475" i="2"/>
  <c r="P475" i="2" s="1"/>
  <c r="S483" i="2"/>
  <c r="P483" i="2" s="1"/>
  <c r="S490" i="2"/>
  <c r="P490" i="2" s="1"/>
  <c r="S557" i="2"/>
  <c r="S565" i="2"/>
  <c r="S576" i="2"/>
  <c r="S586" i="2"/>
  <c r="P586" i="2" s="1"/>
  <c r="S594" i="2"/>
  <c r="S602" i="2"/>
  <c r="S610" i="2"/>
  <c r="S618" i="2"/>
  <c r="S652" i="2"/>
  <c r="S664" i="2"/>
  <c r="S682" i="2"/>
  <c r="S688" i="2"/>
  <c r="S696" i="2"/>
  <c r="S704" i="2"/>
  <c r="S633" i="2"/>
  <c r="S579" i="2"/>
  <c r="S654" i="2"/>
  <c r="S691" i="2"/>
  <c r="S792" i="2"/>
  <c r="P792" i="2" s="1"/>
  <c r="S438" i="2"/>
  <c r="P438" i="2" s="1"/>
  <c r="S446" i="2"/>
  <c r="P446" i="2" s="1"/>
  <c r="S454" i="2"/>
  <c r="S468" i="2"/>
  <c r="P468" i="2" s="1"/>
  <c r="S476" i="2"/>
  <c r="P476" i="2" s="1"/>
  <c r="S484" i="2"/>
  <c r="P484" i="2" s="1"/>
  <c r="S558" i="2"/>
  <c r="S566" i="2"/>
  <c r="S577" i="2"/>
  <c r="S587" i="2"/>
  <c r="S595" i="2"/>
  <c r="S603" i="2"/>
  <c r="S611" i="2"/>
  <c r="S627" i="2"/>
  <c r="S632" i="2"/>
  <c r="S640" i="2"/>
  <c r="S683" i="2"/>
  <c r="S689" i="2"/>
  <c r="S697" i="2"/>
  <c r="S705" i="2"/>
  <c r="S732" i="2"/>
  <c r="S612" i="2"/>
  <c r="S684" i="2"/>
  <c r="S698" i="2"/>
  <c r="S721" i="2"/>
  <c r="S768" i="2"/>
  <c r="P768" i="2" s="1"/>
  <c r="S486" i="2"/>
  <c r="P486" i="2" s="1"/>
  <c r="S560" i="2"/>
  <c r="S568" i="2"/>
  <c r="S613" i="2"/>
  <c r="S634" i="2"/>
  <c r="S699" i="2"/>
  <c r="S756" i="2"/>
  <c r="P756" i="2" s="1"/>
  <c r="S761" i="2"/>
  <c r="P761" i="2" s="1"/>
  <c r="S440" i="2"/>
  <c r="P440" i="2" s="1"/>
  <c r="S448" i="2"/>
  <c r="P448" i="2" s="1"/>
  <c r="S648" i="2"/>
  <c r="S93" i="2"/>
  <c r="P93" i="2" s="1"/>
  <c r="S95" i="2"/>
  <c r="P95" i="2" s="1"/>
  <c r="S97" i="2"/>
  <c r="P97" i="2" s="1"/>
  <c r="S99" i="2"/>
  <c r="P99" i="2" s="1"/>
  <c r="S101" i="2"/>
  <c r="P101" i="2" s="1"/>
  <c r="S103" i="2"/>
  <c r="S105" i="2"/>
  <c r="S107" i="2"/>
  <c r="P107" i="2" s="1"/>
  <c r="S272" i="2"/>
  <c r="P272" i="2" s="1"/>
  <c r="S274" i="2"/>
  <c r="P274" i="2" s="1"/>
  <c r="S276" i="2"/>
  <c r="P276" i="2" s="1"/>
  <c r="S278" i="2"/>
  <c r="P278" i="2" s="1"/>
  <c r="S290" i="2"/>
  <c r="S292" i="2"/>
  <c r="S294" i="2"/>
  <c r="S296" i="2"/>
  <c r="S298" i="2"/>
  <c r="S302" i="2"/>
  <c r="S304" i="2"/>
  <c r="S306" i="2"/>
  <c r="S308" i="2"/>
  <c r="S310" i="2"/>
  <c r="S312" i="2"/>
  <c r="S314" i="2"/>
  <c r="S316" i="2"/>
  <c r="S318" i="2"/>
  <c r="S320" i="2"/>
  <c r="S322" i="2"/>
  <c r="S324" i="2"/>
  <c r="S326" i="2"/>
  <c r="S328" i="2"/>
  <c r="S330" i="2"/>
  <c r="S332" i="2"/>
  <c r="S334" i="2"/>
  <c r="S336" i="2"/>
  <c r="S338" i="2"/>
  <c r="S340" i="2"/>
  <c r="S342" i="2"/>
  <c r="S344" i="2"/>
  <c r="S346" i="2"/>
  <c r="S348" i="2"/>
  <c r="S350" i="2"/>
  <c r="S352" i="2"/>
  <c r="S354" i="2"/>
  <c r="S356" i="2"/>
  <c r="S358" i="2"/>
  <c r="S360" i="2"/>
  <c r="S362" i="2"/>
  <c r="S364" i="2"/>
  <c r="S366" i="2"/>
  <c r="S368" i="2"/>
  <c r="S370" i="2"/>
  <c r="S372" i="2"/>
  <c r="S374" i="2"/>
  <c r="P374" i="2" s="1"/>
  <c r="S376" i="2"/>
  <c r="P376" i="2" s="1"/>
  <c r="S378" i="2"/>
  <c r="P378" i="2" s="1"/>
  <c r="S380" i="2"/>
  <c r="S382" i="2"/>
  <c r="S384" i="2"/>
  <c r="S386" i="2"/>
  <c r="S388" i="2"/>
  <c r="S390" i="2"/>
  <c r="P390" i="2" s="1"/>
  <c r="S392" i="2"/>
  <c r="P392" i="2" s="1"/>
  <c r="S394" i="2"/>
  <c r="S396" i="2"/>
  <c r="S398" i="2"/>
  <c r="S400" i="2"/>
  <c r="S402" i="2"/>
  <c r="S404" i="2"/>
  <c r="S406" i="2"/>
  <c r="S408" i="2"/>
  <c r="S410" i="2"/>
  <c r="S412" i="2"/>
  <c r="S414" i="2"/>
  <c r="S416" i="2"/>
  <c r="S418" i="2"/>
  <c r="S431" i="2"/>
  <c r="S45" i="2"/>
  <c r="P45" i="2" s="1"/>
  <c r="S428" i="2"/>
  <c r="S430" i="2"/>
  <c r="S432" i="2"/>
  <c r="S434" i="2"/>
  <c r="S436" i="2"/>
  <c r="P436" i="2" s="1"/>
  <c r="S297" i="2"/>
  <c r="S303" i="2"/>
  <c r="S313" i="2"/>
  <c r="S321" i="2"/>
  <c r="S325" i="2"/>
  <c r="S331" i="2"/>
  <c r="S339" i="2"/>
  <c r="S349" i="2"/>
  <c r="S355" i="2"/>
  <c r="S359" i="2"/>
  <c r="S363" i="2"/>
  <c r="S371" i="2"/>
  <c r="S377" i="2"/>
  <c r="P377" i="2" s="1"/>
  <c r="S381" i="2"/>
  <c r="S389" i="2"/>
  <c r="S397" i="2"/>
  <c r="S405" i="2"/>
  <c r="S413" i="2"/>
  <c r="S429" i="2"/>
  <c r="S315" i="2"/>
  <c r="S329" i="2"/>
  <c r="S337" i="2"/>
  <c r="S341" i="2"/>
  <c r="S347" i="2"/>
  <c r="S367" i="2"/>
  <c r="S373" i="2"/>
  <c r="S379" i="2"/>
  <c r="P379" i="2" s="1"/>
  <c r="S387" i="2"/>
  <c r="S395" i="2"/>
  <c r="S403" i="2"/>
  <c r="S407" i="2"/>
  <c r="S415" i="2"/>
  <c r="S433" i="2"/>
  <c r="S153" i="2"/>
  <c r="S295" i="2"/>
  <c r="S305" i="2"/>
  <c r="S309" i="2"/>
  <c r="S317" i="2"/>
  <c r="S323" i="2"/>
  <c r="S333" i="2"/>
  <c r="S343" i="2"/>
  <c r="S351" i="2"/>
  <c r="S357" i="2"/>
  <c r="S361" i="2"/>
  <c r="S369" i="2"/>
  <c r="S375" i="2"/>
  <c r="P375" i="2" s="1"/>
  <c r="S383" i="2"/>
  <c r="S391" i="2"/>
  <c r="P391" i="2" s="1"/>
  <c r="S399" i="2"/>
  <c r="S409" i="2"/>
  <c r="S417" i="2"/>
  <c r="S435" i="2"/>
  <c r="P435" i="2" s="1"/>
  <c r="S154" i="2"/>
  <c r="S94" i="2"/>
  <c r="P94" i="2" s="1"/>
  <c r="S96" i="2"/>
  <c r="P96" i="2" s="1"/>
  <c r="S98" i="2"/>
  <c r="S100" i="2"/>
  <c r="P100" i="2" s="1"/>
  <c r="S102" i="2"/>
  <c r="P102" i="2" s="1"/>
  <c r="S104" i="2"/>
  <c r="P104" i="2" s="1"/>
  <c r="S106" i="2"/>
  <c r="S273" i="2"/>
  <c r="P273" i="2" s="1"/>
  <c r="S275" i="2"/>
  <c r="P275" i="2" s="1"/>
  <c r="S277" i="2"/>
  <c r="P277" i="2" s="1"/>
  <c r="S279" i="2"/>
  <c r="S289" i="2"/>
  <c r="S291" i="2"/>
  <c r="S299" i="2"/>
  <c r="S301" i="2"/>
  <c r="S307" i="2"/>
  <c r="S311" i="2"/>
  <c r="S319" i="2"/>
  <c r="S327" i="2"/>
  <c r="S335" i="2"/>
  <c r="S385" i="2"/>
  <c r="S393" i="2"/>
  <c r="P393" i="2" s="1"/>
  <c r="S401" i="2"/>
  <c r="S411" i="2"/>
  <c r="S419" i="2"/>
  <c r="S427" i="2"/>
  <c r="S437" i="2"/>
  <c r="P437" i="2" s="1"/>
  <c r="E56" i="37"/>
  <c r="E58" i="37"/>
  <c r="F56" i="37"/>
  <c r="F58" i="37"/>
  <c r="B56" i="37"/>
  <c r="D56" i="37"/>
  <c r="D57" i="37"/>
  <c r="B57" i="37"/>
  <c r="D58" i="37"/>
  <c r="E57" i="37"/>
  <c r="F57" i="37"/>
  <c r="B58" i="37"/>
  <c r="D48" i="37"/>
  <c r="F49" i="37"/>
  <c r="F52" i="37"/>
  <c r="D55" i="37"/>
  <c r="B48" i="37"/>
  <c r="B55" i="37"/>
  <c r="E49" i="37"/>
  <c r="B54" i="37"/>
  <c r="E48" i="37"/>
  <c r="E55" i="37"/>
  <c r="B49" i="37"/>
  <c r="F48" i="37"/>
  <c r="D51" i="37"/>
  <c r="D54" i="37"/>
  <c r="F55" i="37"/>
  <c r="B50" i="37"/>
  <c r="E52" i="37"/>
  <c r="E51" i="37"/>
  <c r="E54" i="37"/>
  <c r="B51" i="37"/>
  <c r="D50" i="37"/>
  <c r="F51" i="37"/>
  <c r="D53" i="37"/>
  <c r="F54" i="37"/>
  <c r="E50" i="37"/>
  <c r="E53" i="37"/>
  <c r="B52" i="37"/>
  <c r="D49" i="37"/>
  <c r="F50" i="37"/>
  <c r="D52" i="37"/>
  <c r="F53" i="37"/>
  <c r="B53" i="37"/>
  <c r="D29" i="37"/>
  <c r="F30" i="37"/>
  <c r="D33" i="37"/>
  <c r="F34" i="37"/>
  <c r="D38" i="37"/>
  <c r="F39" i="37"/>
  <c r="D42" i="37"/>
  <c r="F43" i="37"/>
  <c r="D46" i="37"/>
  <c r="F47" i="37"/>
  <c r="B33" i="37"/>
  <c r="B42" i="37"/>
  <c r="B34" i="37"/>
  <c r="E47" i="37"/>
  <c r="E29" i="37"/>
  <c r="E33" i="37"/>
  <c r="E38" i="37"/>
  <c r="E42" i="37"/>
  <c r="E46" i="37"/>
  <c r="B43" i="37"/>
  <c r="B41" i="37"/>
  <c r="F29" i="37"/>
  <c r="D32" i="37"/>
  <c r="F33" i="37"/>
  <c r="D37" i="37"/>
  <c r="F38" i="37"/>
  <c r="D41" i="37"/>
  <c r="F42" i="37"/>
  <c r="D45" i="37"/>
  <c r="F46" i="37"/>
  <c r="B35" i="37"/>
  <c r="B44" i="37"/>
  <c r="F35" i="37"/>
  <c r="F44" i="37"/>
  <c r="E43" i="37"/>
  <c r="E32" i="37"/>
  <c r="E37" i="37"/>
  <c r="E41" i="37"/>
  <c r="E45" i="37"/>
  <c r="B37" i="37"/>
  <c r="B45" i="37"/>
  <c r="D34" i="37"/>
  <c r="E34" i="37"/>
  <c r="D31" i="37"/>
  <c r="F32" i="37"/>
  <c r="D35" i="37"/>
  <c r="F37" i="37"/>
  <c r="F41" i="37"/>
  <c r="D44" i="37"/>
  <c r="F45" i="37"/>
  <c r="B29" i="37"/>
  <c r="B38" i="37"/>
  <c r="B46" i="37"/>
  <c r="D30" i="37"/>
  <c r="D43" i="37"/>
  <c r="D47" i="37"/>
  <c r="B31" i="37"/>
  <c r="E31" i="37"/>
  <c r="E35" i="37"/>
  <c r="E44" i="37"/>
  <c r="B30" i="37"/>
  <c r="B39" i="37"/>
  <c r="B47" i="37"/>
  <c r="F31" i="37"/>
  <c r="D39" i="37"/>
  <c r="E30" i="37"/>
  <c r="E39" i="37"/>
  <c r="B32" i="37"/>
  <c r="D18" i="37"/>
  <c r="F19" i="37"/>
  <c r="D23" i="37"/>
  <c r="D25" i="37"/>
  <c r="D27" i="37"/>
  <c r="B24" i="37"/>
  <c r="D21" i="37"/>
  <c r="D28" i="37"/>
  <c r="E20" i="37"/>
  <c r="E28" i="37"/>
  <c r="F20" i="37"/>
  <c r="E19" i="37"/>
  <c r="E18" i="37"/>
  <c r="E23" i="37"/>
  <c r="E25" i="37"/>
  <c r="E27" i="37"/>
  <c r="B25" i="37"/>
  <c r="B28" i="37"/>
  <c r="D19" i="37"/>
  <c r="F26" i="37"/>
  <c r="F28" i="37"/>
  <c r="B23" i="37"/>
  <c r="F18" i="37"/>
  <c r="F23" i="37"/>
  <c r="F25" i="37"/>
  <c r="F27" i="37"/>
  <c r="B18" i="37"/>
  <c r="B26" i="37"/>
  <c r="D20" i="37"/>
  <c r="E21" i="37"/>
  <c r="E24" i="37"/>
  <c r="E26" i="37"/>
  <c r="B21" i="37"/>
  <c r="B19" i="37"/>
  <c r="B27" i="37"/>
  <c r="D24" i="37"/>
  <c r="D26" i="37"/>
  <c r="B20" i="37"/>
  <c r="F21" i="37"/>
  <c r="F24" i="37"/>
  <c r="S797" i="2"/>
  <c r="P797" i="2" s="1"/>
  <c r="S522" i="2"/>
  <c r="P522" i="2" s="1"/>
  <c r="S530" i="2"/>
  <c r="P530" i="2" s="1"/>
  <c r="S538" i="2"/>
  <c r="P538" i="2" s="1"/>
  <c r="S546" i="2"/>
  <c r="P546" i="2" s="1"/>
  <c r="S554" i="2"/>
  <c r="P554" i="2" s="1"/>
  <c r="S525" i="2"/>
  <c r="P525" i="2" s="1"/>
  <c r="S533" i="2"/>
  <c r="P533" i="2" s="1"/>
  <c r="S541" i="2"/>
  <c r="P541" i="2" s="1"/>
  <c r="S549" i="2"/>
  <c r="P549" i="2" s="1"/>
  <c r="S528" i="2"/>
  <c r="P528" i="2" s="1"/>
  <c r="S536" i="2"/>
  <c r="P536" i="2" s="1"/>
  <c r="S544" i="2"/>
  <c r="P544" i="2" s="1"/>
  <c r="S552" i="2"/>
  <c r="P552" i="2" s="1"/>
  <c r="S626" i="2"/>
  <c r="P626" i="2" s="1"/>
  <c r="S523" i="2"/>
  <c r="P523" i="2" s="1"/>
  <c r="S531" i="2"/>
  <c r="P531" i="2" s="1"/>
  <c r="S539" i="2"/>
  <c r="P539" i="2" s="1"/>
  <c r="S547" i="2"/>
  <c r="P547" i="2" s="1"/>
  <c r="S555" i="2"/>
  <c r="P555" i="2" s="1"/>
  <c r="S571" i="2"/>
  <c r="P571" i="2" s="1"/>
  <c r="S526" i="2"/>
  <c r="P526" i="2" s="1"/>
  <c r="S534" i="2"/>
  <c r="P534" i="2" s="1"/>
  <c r="S542" i="2"/>
  <c r="P542" i="2" s="1"/>
  <c r="S550" i="2"/>
  <c r="P550" i="2" s="1"/>
  <c r="S543" i="2"/>
  <c r="P543" i="2" s="1"/>
  <c r="S529" i="2"/>
  <c r="P529" i="2" s="1"/>
  <c r="S551" i="2"/>
  <c r="P551" i="2" s="1"/>
  <c r="S569" i="2"/>
  <c r="P569" i="2" s="1"/>
  <c r="S537" i="2"/>
  <c r="P537" i="2" s="1"/>
  <c r="S524" i="2"/>
  <c r="P524" i="2" s="1"/>
  <c r="S545" i="2"/>
  <c r="P545" i="2" s="1"/>
  <c r="S625" i="2"/>
  <c r="P625" i="2" s="1"/>
  <c r="S540" i="2"/>
  <c r="P540" i="2" s="1"/>
  <c r="S527" i="2"/>
  <c r="P527" i="2" s="1"/>
  <c r="S548" i="2"/>
  <c r="P548" i="2" s="1"/>
  <c r="S572" i="2"/>
  <c r="P572" i="2" s="1"/>
  <c r="S532" i="2"/>
  <c r="P532" i="2" s="1"/>
  <c r="S535" i="2"/>
  <c r="P535" i="2" s="1"/>
  <c r="S637" i="2"/>
  <c r="P637" i="2" s="1"/>
  <c r="S556" i="2"/>
  <c r="P556" i="2" s="1"/>
  <c r="S553" i="2"/>
  <c r="P553" i="2" s="1"/>
  <c r="S22" i="2"/>
  <c r="P22" i="2" s="1"/>
  <c r="S31" i="2"/>
  <c r="P31" i="2" s="1"/>
  <c r="S37" i="2"/>
  <c r="P37" i="2" s="1"/>
  <c r="S42" i="2"/>
  <c r="P42" i="2" s="1"/>
  <c r="S112" i="2"/>
  <c r="P112" i="2" s="1"/>
  <c r="S119" i="2"/>
  <c r="P119" i="2" s="1"/>
  <c r="S126" i="2"/>
  <c r="P126" i="2" s="1"/>
  <c r="S132" i="2"/>
  <c r="P132" i="2" s="1"/>
  <c r="S138" i="2"/>
  <c r="P138" i="2" s="1"/>
  <c r="S167" i="2"/>
  <c r="S179" i="2"/>
  <c r="P179" i="2" s="1"/>
  <c r="S199" i="2"/>
  <c r="P199" i="2" s="1"/>
  <c r="S205" i="2"/>
  <c r="P205" i="2" s="1"/>
  <c r="S212" i="2"/>
  <c r="P212" i="2" s="1"/>
  <c r="S218" i="2"/>
  <c r="P218" i="2" s="1"/>
  <c r="S226" i="2"/>
  <c r="P226" i="2" s="1"/>
  <c r="S233" i="2"/>
  <c r="P233" i="2" s="1"/>
  <c r="S239" i="2"/>
  <c r="P239" i="2" s="1"/>
  <c r="S245" i="2"/>
  <c r="P245" i="2" s="1"/>
  <c r="S251" i="2"/>
  <c r="P251" i="2" s="1"/>
  <c r="S258" i="2"/>
  <c r="P258" i="2" s="1"/>
  <c r="S265" i="2"/>
  <c r="P265" i="2" s="1"/>
  <c r="S12" i="2"/>
  <c r="P12" i="2" s="1"/>
  <c r="S16" i="2"/>
  <c r="P16" i="2" s="1"/>
  <c r="S25" i="2"/>
  <c r="P25" i="2" s="1"/>
  <c r="S36" i="2"/>
  <c r="P36" i="2" s="1"/>
  <c r="S125" i="2"/>
  <c r="P125" i="2" s="1"/>
  <c r="S131" i="2"/>
  <c r="P131" i="2" s="1"/>
  <c r="S137" i="2"/>
  <c r="P137" i="2" s="1"/>
  <c r="S166" i="2"/>
  <c r="S172" i="2"/>
  <c r="P172" i="2" s="1"/>
  <c r="S185" i="2"/>
  <c r="P185" i="2" s="1"/>
  <c r="S192" i="2"/>
  <c r="S198" i="2"/>
  <c r="P198" i="2" s="1"/>
  <c r="S204" i="2"/>
  <c r="P204" i="2" s="1"/>
  <c r="S211" i="2"/>
  <c r="P211" i="2" s="1"/>
  <c r="S15" i="2"/>
  <c r="P15" i="2" s="1"/>
  <c r="S21" i="2"/>
  <c r="P21" i="2" s="1"/>
  <c r="S30" i="2"/>
  <c r="P30" i="2" s="1"/>
  <c r="S35" i="2"/>
  <c r="P35" i="2" s="1"/>
  <c r="S41" i="2"/>
  <c r="P41" i="2" s="1"/>
  <c r="S111" i="2"/>
  <c r="P111" i="2" s="1"/>
  <c r="S118" i="2"/>
  <c r="P118" i="2" s="1"/>
  <c r="S124" i="2"/>
  <c r="P124" i="2" s="1"/>
  <c r="S130" i="2"/>
  <c r="P130" i="2" s="1"/>
  <c r="S136" i="2"/>
  <c r="P136" i="2" s="1"/>
  <c r="S171" i="2"/>
  <c r="P171" i="2" s="1"/>
  <c r="S191" i="2"/>
  <c r="S197" i="2"/>
  <c r="P197" i="2" s="1"/>
  <c r="S203" i="2"/>
  <c r="P203" i="2" s="1"/>
  <c r="S210" i="2"/>
  <c r="P210" i="2" s="1"/>
  <c r="S217" i="2"/>
  <c r="P217" i="2" s="1"/>
  <c r="S225" i="2"/>
  <c r="P225" i="2" s="1"/>
  <c r="S231" i="2"/>
  <c r="P231" i="2" s="1"/>
  <c r="S237" i="2"/>
  <c r="P237" i="2" s="1"/>
  <c r="S243" i="2"/>
  <c r="P243" i="2" s="1"/>
  <c r="S250" i="2"/>
  <c r="P250" i="2" s="1"/>
  <c r="S257" i="2"/>
  <c r="P257" i="2" s="1"/>
  <c r="S10" i="2"/>
  <c r="P10" i="2" s="1"/>
  <c r="S34" i="2"/>
  <c r="P34" i="2" s="1"/>
  <c r="S40" i="2"/>
  <c r="P40" i="2" s="1"/>
  <c r="S117" i="2"/>
  <c r="P117" i="2" s="1"/>
  <c r="S123" i="2"/>
  <c r="P123" i="2" s="1"/>
  <c r="S129" i="2"/>
  <c r="P129" i="2" s="1"/>
  <c r="S170" i="2"/>
  <c r="P170" i="2" s="1"/>
  <c r="S184" i="2"/>
  <c r="P184" i="2" s="1"/>
  <c r="S190" i="2"/>
  <c r="P190" i="2" s="1"/>
  <c r="S196" i="2"/>
  <c r="P196" i="2" s="1"/>
  <c r="S202" i="2"/>
  <c r="P202" i="2" s="1"/>
  <c r="S209" i="2"/>
  <c r="P209" i="2" s="1"/>
  <c r="S224" i="2"/>
  <c r="P224" i="2" s="1"/>
  <c r="S230" i="2"/>
  <c r="P230" i="2" s="1"/>
  <c r="S236" i="2"/>
  <c r="P236" i="2" s="1"/>
  <c r="S256" i="2"/>
  <c r="P256" i="2" s="1"/>
  <c r="S13" i="2"/>
  <c r="S20" i="2"/>
  <c r="P20" i="2" s="1"/>
  <c r="S29" i="2"/>
  <c r="P29" i="2" s="1"/>
  <c r="S110" i="2"/>
  <c r="P110" i="2" s="1"/>
  <c r="S116" i="2"/>
  <c r="P116" i="2" s="1"/>
  <c r="S122" i="2"/>
  <c r="P122" i="2" s="1"/>
  <c r="S128" i="2"/>
  <c r="P128" i="2" s="1"/>
  <c r="S135" i="2"/>
  <c r="P135" i="2" s="1"/>
  <c r="S189" i="2"/>
  <c r="P189" i="2" s="1"/>
  <c r="S195" i="2"/>
  <c r="S216" i="2"/>
  <c r="P216" i="2" s="1"/>
  <c r="S223" i="2"/>
  <c r="P223" i="2" s="1"/>
  <c r="S229" i="2"/>
  <c r="P229" i="2" s="1"/>
  <c r="S235" i="2"/>
  <c r="P235" i="2" s="1"/>
  <c r="S249" i="2"/>
  <c r="P249" i="2" s="1"/>
  <c r="S19" i="2"/>
  <c r="P19" i="2" s="1"/>
  <c r="S24" i="2"/>
  <c r="P24" i="2" s="1"/>
  <c r="S28" i="2"/>
  <c r="P28" i="2" s="1"/>
  <c r="S33" i="2"/>
  <c r="P33" i="2" s="1"/>
  <c r="S39" i="2"/>
  <c r="P39" i="2" s="1"/>
  <c r="S109" i="2"/>
  <c r="P109" i="2" s="1"/>
  <c r="S115" i="2"/>
  <c r="P115" i="2" s="1"/>
  <c r="S121" i="2"/>
  <c r="P121" i="2" s="1"/>
  <c r="S169" i="2"/>
  <c r="P169" i="2" s="1"/>
  <c r="S182" i="2"/>
  <c r="P182" i="2" s="1"/>
  <c r="S188" i="2"/>
  <c r="P188" i="2" s="1"/>
  <c r="S194" i="2"/>
  <c r="P194" i="2" s="1"/>
  <c r="S201" i="2"/>
  <c r="P201" i="2" s="1"/>
  <c r="S208" i="2"/>
  <c r="P208" i="2" s="1"/>
  <c r="S215" i="2"/>
  <c r="P215" i="2" s="1"/>
  <c r="S222" i="2"/>
  <c r="P222" i="2" s="1"/>
  <c r="S228" i="2"/>
  <c r="P228" i="2" s="1"/>
  <c r="S248" i="2"/>
  <c r="P248" i="2" s="1"/>
  <c r="S254" i="2"/>
  <c r="P254" i="2" s="1"/>
  <c r="S260" i="2"/>
  <c r="P260" i="2" s="1"/>
  <c r="S114" i="2"/>
  <c r="P114" i="2" s="1"/>
  <c r="S238" i="2"/>
  <c r="P238" i="2" s="1"/>
  <c r="S246" i="2"/>
  <c r="P246" i="2" s="1"/>
  <c r="S264" i="2"/>
  <c r="P264" i="2" s="1"/>
  <c r="S280" i="2"/>
  <c r="P280" i="2" s="1"/>
  <c r="S286" i="2"/>
  <c r="P286" i="2" s="1"/>
  <c r="S17" i="2"/>
  <c r="P17" i="2" s="1"/>
  <c r="S27" i="2"/>
  <c r="P27" i="2" s="1"/>
  <c r="S38" i="2"/>
  <c r="P38" i="2" s="1"/>
  <c r="S139" i="2"/>
  <c r="P139" i="2" s="1"/>
  <c r="S220" i="2"/>
  <c r="P220" i="2" s="1"/>
  <c r="S227" i="2"/>
  <c r="P227" i="2" s="1"/>
  <c r="S259" i="2"/>
  <c r="P259" i="2" s="1"/>
  <c r="S263" i="2"/>
  <c r="P263" i="2" s="1"/>
  <c r="S285" i="2"/>
  <c r="P285" i="2" s="1"/>
  <c r="S23" i="2"/>
  <c r="P23" i="2" s="1"/>
  <c r="S120" i="2"/>
  <c r="P120" i="2" s="1"/>
  <c r="S127" i="2"/>
  <c r="P127" i="2" s="1"/>
  <c r="S186" i="2"/>
  <c r="P186" i="2" s="1"/>
  <c r="S240" i="2"/>
  <c r="P240" i="2" s="1"/>
  <c r="S266" i="2"/>
  <c r="P266" i="2" s="1"/>
  <c r="S284" i="2"/>
  <c r="P284" i="2" s="1"/>
  <c r="S214" i="2"/>
  <c r="P214" i="2" s="1"/>
  <c r="S11" i="2"/>
  <c r="P11" i="2" s="1"/>
  <c r="S44" i="2"/>
  <c r="P44" i="2" s="1"/>
  <c r="S113" i="2"/>
  <c r="P113" i="2" s="1"/>
  <c r="S134" i="2"/>
  <c r="P134" i="2" s="1"/>
  <c r="S193" i="2"/>
  <c r="S200" i="2"/>
  <c r="P200" i="2" s="1"/>
  <c r="S207" i="2"/>
  <c r="P207" i="2" s="1"/>
  <c r="S232" i="2"/>
  <c r="P232" i="2" s="1"/>
  <c r="S253" i="2"/>
  <c r="P253" i="2" s="1"/>
  <c r="S270" i="2"/>
  <c r="P270" i="2" s="1"/>
  <c r="S283" i="2"/>
  <c r="P283" i="2" s="1"/>
  <c r="S26" i="2"/>
  <c r="P26" i="2" s="1"/>
  <c r="S181" i="2"/>
  <c r="P181" i="2" s="1"/>
  <c r="S32" i="2"/>
  <c r="P32" i="2" s="1"/>
  <c r="S247" i="2"/>
  <c r="P247" i="2" s="1"/>
  <c r="S252" i="2"/>
  <c r="S255" i="2"/>
  <c r="P255" i="2" s="1"/>
  <c r="S261" i="2"/>
  <c r="P261" i="2" s="1"/>
  <c r="S268" i="2"/>
  <c r="P268" i="2" s="1"/>
  <c r="S282" i="2"/>
  <c r="P282" i="2" s="1"/>
  <c r="S244" i="2"/>
  <c r="P244" i="2" s="1"/>
  <c r="S288" i="2"/>
  <c r="S14" i="2"/>
  <c r="P14" i="2" s="1"/>
  <c r="S18" i="2"/>
  <c r="P18" i="2" s="1"/>
  <c r="S43" i="2"/>
  <c r="P43" i="2" s="1"/>
  <c r="S108" i="2"/>
  <c r="P108" i="2" s="1"/>
  <c r="S133" i="2"/>
  <c r="P133" i="2" s="1"/>
  <c r="S140" i="2"/>
  <c r="S168" i="2"/>
  <c r="P168" i="2" s="1"/>
  <c r="S206" i="2"/>
  <c r="P206" i="2" s="1"/>
  <c r="S221" i="2"/>
  <c r="P221" i="2" s="1"/>
  <c r="S241" i="2"/>
  <c r="P241" i="2" s="1"/>
  <c r="S234" i="2"/>
  <c r="P234" i="2" s="1"/>
  <c r="S267" i="2"/>
  <c r="P267" i="2" s="1"/>
  <c r="S281" i="2"/>
  <c r="P281" i="2" s="1"/>
  <c r="S269" i="2"/>
  <c r="P269" i="2" s="1"/>
  <c r="S187" i="2"/>
  <c r="P187" i="2" s="1"/>
  <c r="S175" i="2"/>
  <c r="P175" i="2" s="1"/>
  <c r="S213" i="2"/>
  <c r="P213" i="2" s="1"/>
  <c r="S287" i="2"/>
  <c r="P287" i="2" s="1"/>
  <c r="B17" i="37"/>
  <c r="E17" i="37"/>
  <c r="D17" i="37"/>
  <c r="F17" i="37"/>
  <c r="I39" i="39"/>
  <c r="F16" i="37"/>
  <c r="E16" i="37"/>
  <c r="F15" i="37"/>
  <c r="E15" i="37"/>
  <c r="D15" i="37"/>
  <c r="D16" i="37"/>
  <c r="G59" i="37" l="1"/>
  <c r="J59" i="37" s="1"/>
  <c r="G60" i="37"/>
  <c r="J60" i="37" s="1"/>
  <c r="P401" i="2"/>
  <c r="P305" i="2"/>
  <c r="P294" i="2"/>
  <c r="P603" i="2"/>
  <c r="P633" i="2"/>
  <c r="P717" i="2"/>
  <c r="P679" i="2"/>
  <c r="P420" i="2"/>
  <c r="P299" i="2"/>
  <c r="P417" i="2"/>
  <c r="P357" i="2"/>
  <c r="P295" i="2"/>
  <c r="P429" i="2"/>
  <c r="P363" i="2"/>
  <c r="P313" i="2"/>
  <c r="P406" i="2"/>
  <c r="P358" i="2"/>
  <c r="P342" i="2"/>
  <c r="P326" i="2"/>
  <c r="P310" i="2"/>
  <c r="P292" i="2"/>
  <c r="P697" i="2"/>
  <c r="P595" i="2"/>
  <c r="P454" i="2"/>
  <c r="P704" i="2"/>
  <c r="P602" i="2"/>
  <c r="P709" i="2"/>
  <c r="P609" i="2"/>
  <c r="P597" i="2"/>
  <c r="P748" i="2"/>
  <c r="P616" i="2"/>
  <c r="P620" i="2"/>
  <c r="P741" i="2"/>
  <c r="P588" i="2"/>
  <c r="P737" i="2"/>
  <c r="P656" i="2"/>
  <c r="P743" i="2"/>
  <c r="P635" i="2"/>
  <c r="P561" i="2"/>
  <c r="P811" i="2"/>
  <c r="P426" i="2"/>
  <c r="P361" i="2"/>
  <c r="P321" i="2"/>
  <c r="P360" i="2"/>
  <c r="P560" i="2"/>
  <c r="P591" i="2"/>
  <c r="P385" i="2"/>
  <c r="P291" i="2"/>
  <c r="P409" i="2"/>
  <c r="P351" i="2"/>
  <c r="P373" i="2"/>
  <c r="P413" i="2"/>
  <c r="P359" i="2"/>
  <c r="P303" i="2"/>
  <c r="P431" i="2"/>
  <c r="P404" i="2"/>
  <c r="P388" i="2"/>
  <c r="P372" i="2"/>
  <c r="P356" i="2"/>
  <c r="P340" i="2"/>
  <c r="P324" i="2"/>
  <c r="P308" i="2"/>
  <c r="P290" i="2"/>
  <c r="P689" i="2"/>
  <c r="P587" i="2"/>
  <c r="P696" i="2"/>
  <c r="P594" i="2"/>
  <c r="P703" i="2"/>
  <c r="P601" i="2"/>
  <c r="P589" i="2"/>
  <c r="P608" i="2"/>
  <c r="P605" i="2"/>
  <c r="P733" i="2"/>
  <c r="P578" i="2"/>
  <c r="P740" i="2"/>
  <c r="P729" i="2"/>
  <c r="P650" i="2"/>
  <c r="P581" i="2"/>
  <c r="P735" i="2"/>
  <c r="P614" i="2"/>
  <c r="P803" i="2"/>
  <c r="P371" i="2"/>
  <c r="P642" i="2"/>
  <c r="P335" i="2"/>
  <c r="P289" i="2"/>
  <c r="P399" i="2"/>
  <c r="P433" i="2"/>
  <c r="P405" i="2"/>
  <c r="P297" i="2"/>
  <c r="P418" i="2"/>
  <c r="P386" i="2"/>
  <c r="P370" i="2"/>
  <c r="P354" i="2"/>
  <c r="P338" i="2"/>
  <c r="P322" i="2"/>
  <c r="P306" i="2"/>
  <c r="P721" i="2"/>
  <c r="P683" i="2"/>
  <c r="P577" i="2"/>
  <c r="P688" i="2"/>
  <c r="P695" i="2"/>
  <c r="P593" i="2"/>
  <c r="P600" i="2"/>
  <c r="P706" i="2"/>
  <c r="P567" i="2"/>
  <c r="P719" i="2"/>
  <c r="P716" i="2"/>
  <c r="P751" i="2"/>
  <c r="P644" i="2"/>
  <c r="P573" i="2"/>
  <c r="P722" i="2"/>
  <c r="P606" i="2"/>
  <c r="P809" i="2"/>
  <c r="P425" i="2"/>
  <c r="P315" i="2"/>
  <c r="P428" i="2"/>
  <c r="P344" i="2"/>
  <c r="P705" i="2"/>
  <c r="P610" i="2"/>
  <c r="P731" i="2"/>
  <c r="P638" i="2"/>
  <c r="P596" i="2"/>
  <c r="P570" i="2"/>
  <c r="P343" i="2"/>
  <c r="P367" i="2"/>
  <c r="P355" i="2"/>
  <c r="P402" i="2"/>
  <c r="P327" i="2"/>
  <c r="P333" i="2"/>
  <c r="P415" i="2"/>
  <c r="P347" i="2"/>
  <c r="P397" i="2"/>
  <c r="P349" i="2"/>
  <c r="P416" i="2"/>
  <c r="P400" i="2"/>
  <c r="P384" i="2"/>
  <c r="P368" i="2"/>
  <c r="P352" i="2"/>
  <c r="P336" i="2"/>
  <c r="P320" i="2"/>
  <c r="P304" i="2"/>
  <c r="P699" i="2"/>
  <c r="P698" i="2"/>
  <c r="P640" i="2"/>
  <c r="P566" i="2"/>
  <c r="P682" i="2"/>
  <c r="P576" i="2"/>
  <c r="P453" i="2"/>
  <c r="P711" i="2"/>
  <c r="P746" i="2"/>
  <c r="P687" i="2"/>
  <c r="P452" i="2"/>
  <c r="P456" i="2"/>
  <c r="P592" i="2"/>
  <c r="P459" i="2"/>
  <c r="P690" i="2"/>
  <c r="P702" i="2"/>
  <c r="P744" i="2"/>
  <c r="P636" i="2"/>
  <c r="P562" i="2"/>
  <c r="P727" i="2"/>
  <c r="P700" i="2"/>
  <c r="P598" i="2"/>
  <c r="P457" i="2"/>
  <c r="P424" i="2"/>
  <c r="P312" i="2"/>
  <c r="P617" i="2"/>
  <c r="P752" i="2"/>
  <c r="P458" i="2"/>
  <c r="P427" i="2"/>
  <c r="P319" i="2"/>
  <c r="P383" i="2"/>
  <c r="P323" i="2"/>
  <c r="P407" i="2"/>
  <c r="P341" i="2"/>
  <c r="P389" i="2"/>
  <c r="P339" i="2"/>
  <c r="P434" i="2"/>
  <c r="P414" i="2"/>
  <c r="P398" i="2"/>
  <c r="P382" i="2"/>
  <c r="P366" i="2"/>
  <c r="P350" i="2"/>
  <c r="P334" i="2"/>
  <c r="P318" i="2"/>
  <c r="P302" i="2"/>
  <c r="P634" i="2"/>
  <c r="P684" i="2"/>
  <c r="P632" i="2"/>
  <c r="P558" i="2"/>
  <c r="P691" i="2"/>
  <c r="P664" i="2"/>
  <c r="P565" i="2"/>
  <c r="P738" i="2"/>
  <c r="P681" i="2"/>
  <c r="P575" i="2"/>
  <c r="P745" i="2"/>
  <c r="P660" i="2"/>
  <c r="P739" i="2"/>
  <c r="P694" i="2"/>
  <c r="P736" i="2"/>
  <c r="P615" i="2"/>
  <c r="P692" i="2"/>
  <c r="P590" i="2"/>
  <c r="P815" i="2"/>
  <c r="P422" i="2"/>
  <c r="P643" i="2"/>
  <c r="P419" i="2"/>
  <c r="P311" i="2"/>
  <c r="P317" i="2"/>
  <c r="P403" i="2"/>
  <c r="P337" i="2"/>
  <c r="P381" i="2"/>
  <c r="P331" i="2"/>
  <c r="P432" i="2"/>
  <c r="P412" i="2"/>
  <c r="P396" i="2"/>
  <c r="P380" i="2"/>
  <c r="P364" i="2"/>
  <c r="P348" i="2"/>
  <c r="P332" i="2"/>
  <c r="P316" i="2"/>
  <c r="P298" i="2"/>
  <c r="P613" i="2"/>
  <c r="P612" i="2"/>
  <c r="P627" i="2"/>
  <c r="P654" i="2"/>
  <c r="P652" i="2"/>
  <c r="P557" i="2"/>
  <c r="P720" i="2"/>
  <c r="P730" i="2"/>
  <c r="P663" i="2"/>
  <c r="P564" i="2"/>
  <c r="P742" i="2"/>
  <c r="P726" i="2"/>
  <c r="P680" i="2"/>
  <c r="P574" i="2"/>
  <c r="P628" i="2"/>
  <c r="P455" i="2"/>
  <c r="P718" i="2"/>
  <c r="P657" i="2"/>
  <c r="P701" i="2"/>
  <c r="P607" i="2"/>
  <c r="P655" i="2"/>
  <c r="P812" i="2"/>
  <c r="P804" i="2"/>
  <c r="P421" i="2"/>
  <c r="P301" i="2"/>
  <c r="P387" i="2"/>
  <c r="P408" i="2"/>
  <c r="P328" i="2"/>
  <c r="P734" i="2"/>
  <c r="P411" i="2"/>
  <c r="P307" i="2"/>
  <c r="P369" i="2"/>
  <c r="P309" i="2"/>
  <c r="P395" i="2"/>
  <c r="P329" i="2"/>
  <c r="P325" i="2"/>
  <c r="P430" i="2"/>
  <c r="P410" i="2"/>
  <c r="P394" i="2"/>
  <c r="P362" i="2"/>
  <c r="P346" i="2"/>
  <c r="P330" i="2"/>
  <c r="P314" i="2"/>
  <c r="P296" i="2"/>
  <c r="P648" i="2"/>
  <c r="P568" i="2"/>
  <c r="P732" i="2"/>
  <c r="P611" i="2"/>
  <c r="P579" i="2"/>
  <c r="P618" i="2"/>
  <c r="P641" i="2"/>
  <c r="P747" i="2"/>
  <c r="P724" i="2"/>
  <c r="P658" i="2"/>
  <c r="P713" i="2"/>
  <c r="P559" i="2"/>
  <c r="P645" i="2"/>
  <c r="P563" i="2"/>
  <c r="P604" i="2"/>
  <c r="P693" i="2"/>
  <c r="P599" i="2"/>
  <c r="P649" i="2"/>
  <c r="P580" i="2"/>
  <c r="P810" i="2"/>
  <c r="P808" i="2"/>
  <c r="P423" i="2"/>
  <c r="P13" i="2"/>
  <c r="R13" i="2"/>
  <c r="L61" i="37"/>
  <c r="O61" i="37"/>
  <c r="O60" i="37"/>
  <c r="L60" i="37"/>
  <c r="K59" i="37"/>
  <c r="N59" i="37"/>
  <c r="M61" i="37"/>
  <c r="J61" i="37"/>
  <c r="N60" i="37"/>
  <c r="K60" i="37"/>
  <c r="L59" i="37"/>
  <c r="O59" i="37"/>
  <c r="N61" i="37"/>
  <c r="K61" i="37"/>
  <c r="N40" i="37"/>
  <c r="K40" i="37"/>
  <c r="G19" i="37"/>
  <c r="G54" i="37"/>
  <c r="G22" i="37"/>
  <c r="G49" i="37"/>
  <c r="G25" i="37"/>
  <c r="G18" i="37"/>
  <c r="I30" i="38"/>
  <c r="I27" i="38"/>
  <c r="J27" i="38"/>
  <c r="K27" i="38"/>
  <c r="L27" i="38"/>
  <c r="M27" i="38"/>
  <c r="N27" i="38"/>
  <c r="I28" i="38"/>
  <c r="J28" i="38"/>
  <c r="K28" i="38"/>
  <c r="L28" i="38"/>
  <c r="M28" i="38"/>
  <c r="N28" i="38"/>
  <c r="I29" i="38"/>
  <c r="J29" i="38"/>
  <c r="K29" i="38"/>
  <c r="L29" i="38"/>
  <c r="M29" i="38"/>
  <c r="N29" i="38"/>
  <c r="M59" i="37" l="1"/>
  <c r="M60" i="37"/>
  <c r="G40" i="37"/>
  <c r="M40" i="37" s="1"/>
  <c r="G36" i="37"/>
  <c r="M36" i="37" s="1"/>
  <c r="G52" i="37"/>
  <c r="J52" i="37" s="1"/>
  <c r="G43" i="37"/>
  <c r="M43" i="37" s="1"/>
  <c r="G20" i="37"/>
  <c r="M20" i="37" s="1"/>
  <c r="H33" i="37"/>
  <c r="K33" i="37" s="1"/>
  <c r="G21" i="37"/>
  <c r="M21" i="37" s="1"/>
  <c r="G23" i="37"/>
  <c r="M23" i="37" s="1"/>
  <c r="G46" i="37"/>
  <c r="M46" i="37" s="1"/>
  <c r="G47" i="37"/>
  <c r="J47" i="37" s="1"/>
  <c r="H47" i="37"/>
  <c r="I34" i="37"/>
  <c r="H34" i="37"/>
  <c r="N34" i="37" s="1"/>
  <c r="H29" i="37"/>
  <c r="N29" i="37" s="1"/>
  <c r="G17" i="37"/>
  <c r="J17" i="37" s="1"/>
  <c r="I25" i="37"/>
  <c r="G48" i="37"/>
  <c r="M48" i="37" s="1"/>
  <c r="G24" i="37"/>
  <c r="M24" i="37" s="1"/>
  <c r="H55" i="37"/>
  <c r="N55" i="37" s="1"/>
  <c r="I18" i="37"/>
  <c r="G34" i="37"/>
  <c r="M34" i="37" s="1"/>
  <c r="G42" i="37"/>
  <c r="M42" i="37" s="1"/>
  <c r="H41" i="37"/>
  <c r="N41" i="37" s="1"/>
  <c r="H39" i="37"/>
  <c r="I23" i="37"/>
  <c r="I20" i="37"/>
  <c r="I54" i="37"/>
  <c r="I42" i="37"/>
  <c r="H18" i="37"/>
  <c r="H48" i="37"/>
  <c r="I46" i="37"/>
  <c r="H46" i="37"/>
  <c r="H35" i="37"/>
  <c r="H24" i="37"/>
  <c r="I36" i="37"/>
  <c r="H56" i="37"/>
  <c r="H52" i="37"/>
  <c r="H44" i="37"/>
  <c r="I17" i="37"/>
  <c r="I21" i="37"/>
  <c r="H43" i="37"/>
  <c r="H51" i="37"/>
  <c r="H22" i="37"/>
  <c r="H42" i="37"/>
  <c r="H36" i="37"/>
  <c r="H23" i="37"/>
  <c r="H20" i="37"/>
  <c r="H21" i="37"/>
  <c r="I19" i="37"/>
  <c r="I43" i="37"/>
  <c r="I24" i="37"/>
  <c r="I49" i="37"/>
  <c r="H49" i="37"/>
  <c r="I52" i="37"/>
  <c r="H54" i="37"/>
  <c r="H17" i="37"/>
  <c r="H25" i="37"/>
  <c r="I57" i="37"/>
  <c r="I22" i="37"/>
  <c r="H37" i="37"/>
  <c r="I45" i="37"/>
  <c r="I47" i="37"/>
  <c r="H26" i="37"/>
  <c r="H27" i="37"/>
  <c r="I48" i="37"/>
  <c r="J54" i="37"/>
  <c r="G56" i="37"/>
  <c r="G55" i="37"/>
  <c r="G53" i="37"/>
  <c r="G51" i="37"/>
  <c r="G50" i="37"/>
  <c r="G58" i="37"/>
  <c r="G57" i="37"/>
  <c r="G45" i="37"/>
  <c r="G44" i="37"/>
  <c r="G41" i="37"/>
  <c r="G39" i="37"/>
  <c r="G38" i="37"/>
  <c r="G35" i="37"/>
  <c r="M35" i="37" s="1"/>
  <c r="G37" i="37"/>
  <c r="G33" i="37"/>
  <c r="J33" i="37" s="1"/>
  <c r="G31" i="37"/>
  <c r="M31" i="37" s="1"/>
  <c r="G32" i="37"/>
  <c r="J32" i="37" s="1"/>
  <c r="G30" i="37"/>
  <c r="M30" i="37" s="1"/>
  <c r="G29" i="37"/>
  <c r="M29" i="37" s="1"/>
  <c r="G28" i="37"/>
  <c r="J28" i="37" s="1"/>
  <c r="G27" i="37"/>
  <c r="J27" i="37" s="1"/>
  <c r="G26" i="37"/>
  <c r="J26" i="37" s="1"/>
  <c r="M54" i="37"/>
  <c r="M22" i="37"/>
  <c r="J22" i="37"/>
  <c r="J25" i="37"/>
  <c r="J19" i="37"/>
  <c r="J49" i="37"/>
  <c r="M19" i="37"/>
  <c r="M49" i="37"/>
  <c r="M25" i="37"/>
  <c r="M18" i="37"/>
  <c r="J18" i="37"/>
  <c r="G15" i="37"/>
  <c r="J40" i="37" l="1"/>
  <c r="M52" i="37"/>
  <c r="K29" i="37"/>
  <c r="J21" i="37"/>
  <c r="J36" i="37"/>
  <c r="J23" i="37"/>
  <c r="J43" i="37"/>
  <c r="J20" i="37"/>
  <c r="K34" i="37"/>
  <c r="M47" i="37"/>
  <c r="J46" i="37"/>
  <c r="J34" i="37"/>
  <c r="J24" i="37"/>
  <c r="N33" i="37"/>
  <c r="K41" i="37"/>
  <c r="K55" i="37"/>
  <c r="M17" i="37"/>
  <c r="J48" i="37"/>
  <c r="J42" i="37"/>
  <c r="O18" i="37"/>
  <c r="L18" i="37"/>
  <c r="O25" i="37"/>
  <c r="L25" i="37"/>
  <c r="L34" i="37"/>
  <c r="O34" i="37"/>
  <c r="K47" i="37"/>
  <c r="N47" i="37"/>
  <c r="N26" i="37"/>
  <c r="K26" i="37"/>
  <c r="L24" i="37"/>
  <c r="O24" i="37"/>
  <c r="N20" i="37"/>
  <c r="K20" i="37"/>
  <c r="N22" i="37"/>
  <c r="K22" i="37"/>
  <c r="N44" i="37"/>
  <c r="K44" i="37"/>
  <c r="K48" i="37"/>
  <c r="N48" i="37"/>
  <c r="L48" i="37"/>
  <c r="O48" i="37"/>
  <c r="N23" i="37"/>
  <c r="K23" i="37"/>
  <c r="N43" i="37"/>
  <c r="K43" i="37"/>
  <c r="K52" i="37"/>
  <c r="N52" i="37"/>
  <c r="L36" i="37"/>
  <c r="O36" i="37"/>
  <c r="L20" i="37"/>
  <c r="O20" i="37"/>
  <c r="N27" i="37"/>
  <c r="K27" i="37"/>
  <c r="N37" i="37"/>
  <c r="K37" i="37"/>
  <c r="N21" i="37"/>
  <c r="K21" i="37"/>
  <c r="N24" i="37"/>
  <c r="K24" i="37"/>
  <c r="O23" i="37"/>
  <c r="L23" i="37"/>
  <c r="K17" i="37"/>
  <c r="N17" i="37"/>
  <c r="L43" i="37"/>
  <c r="O43" i="37"/>
  <c r="N51" i="37"/>
  <c r="K51" i="37"/>
  <c r="N35" i="37"/>
  <c r="K35" i="37"/>
  <c r="N18" i="37"/>
  <c r="K18" i="37"/>
  <c r="L57" i="37"/>
  <c r="O57" i="37"/>
  <c r="N25" i="37"/>
  <c r="K25" i="37"/>
  <c r="N42" i="37"/>
  <c r="K42" i="37"/>
  <c r="O21" i="37"/>
  <c r="L21" i="37"/>
  <c r="N46" i="37"/>
  <c r="K46" i="37"/>
  <c r="O42" i="37"/>
  <c r="L42" i="37"/>
  <c r="N39" i="37"/>
  <c r="K39" i="37"/>
  <c r="O47" i="37"/>
  <c r="L47" i="37"/>
  <c r="O45" i="37"/>
  <c r="L45" i="37"/>
  <c r="O22" i="37"/>
  <c r="L22" i="37"/>
  <c r="K54" i="37"/>
  <c r="N54" i="37"/>
  <c r="N49" i="37"/>
  <c r="K49" i="37"/>
  <c r="K56" i="37"/>
  <c r="N56" i="37"/>
  <c r="O46" i="37"/>
  <c r="L46" i="37"/>
  <c r="O54" i="37"/>
  <c r="L54" i="37"/>
  <c r="O52" i="37"/>
  <c r="L52" i="37"/>
  <c r="O49" i="37"/>
  <c r="L49" i="37"/>
  <c r="O19" i="37"/>
  <c r="L19" i="37"/>
  <c r="N36" i="37"/>
  <c r="K36" i="37"/>
  <c r="O17" i="37"/>
  <c r="L17" i="37"/>
  <c r="M50" i="37"/>
  <c r="J39" i="37"/>
  <c r="J41" i="37"/>
  <c r="J53" i="37"/>
  <c r="M44" i="37"/>
  <c r="M45" i="37"/>
  <c r="J55" i="37"/>
  <c r="J37" i="37"/>
  <c r="M56" i="37"/>
  <c r="M57" i="37"/>
  <c r="M51" i="37"/>
  <c r="J38" i="37"/>
  <c r="J58" i="37"/>
  <c r="J56" i="37"/>
  <c r="M55" i="37"/>
  <c r="J51" i="37"/>
  <c r="M53" i="37"/>
  <c r="J50" i="37"/>
  <c r="M58" i="37"/>
  <c r="J45" i="37"/>
  <c r="J57" i="37"/>
  <c r="M41" i="37"/>
  <c r="J44" i="37"/>
  <c r="M39" i="37"/>
  <c r="M37" i="37"/>
  <c r="J35" i="37"/>
  <c r="M38" i="37"/>
  <c r="M33" i="37"/>
  <c r="M32" i="37"/>
  <c r="J31" i="37"/>
  <c r="J30" i="37"/>
  <c r="J29" i="37"/>
  <c r="M28" i="37"/>
  <c r="M27" i="37"/>
  <c r="M26" i="37"/>
  <c r="J79" i="37" l="1"/>
  <c r="K79" i="37"/>
  <c r="J66" i="37"/>
  <c r="J65" i="37"/>
  <c r="C16" i="17"/>
  <c r="J112" i="37" l="1"/>
  <c r="N30" i="38"/>
  <c r="M30" i="38"/>
  <c r="L30" i="38"/>
  <c r="K30" i="38"/>
  <c r="J30" i="38"/>
  <c r="J31" i="38" l="1"/>
  <c r="I31" i="38"/>
  <c r="M31" i="38"/>
  <c r="L31" i="38"/>
  <c r="I40" i="18"/>
  <c r="N40" i="18"/>
  <c r="M40" i="18"/>
  <c r="N31" i="28"/>
  <c r="N15" i="28"/>
  <c r="N16" i="28"/>
  <c r="N17" i="28"/>
  <c r="N18" i="28"/>
  <c r="N19" i="28"/>
  <c r="N20" i="28"/>
  <c r="N21" i="28"/>
  <c r="N22" i="28"/>
  <c r="N23" i="28"/>
  <c r="N24" i="28"/>
  <c r="N25" i="28"/>
  <c r="N26" i="28"/>
  <c r="N27" i="28"/>
  <c r="N28" i="28"/>
  <c r="N29" i="28"/>
  <c r="N30" i="28"/>
  <c r="N10" i="28"/>
  <c r="N23" i="38"/>
  <c r="M23" i="38"/>
  <c r="L23" i="38"/>
  <c r="K23" i="38"/>
  <c r="J23" i="38"/>
  <c r="I23" i="38"/>
  <c r="B4" i="38"/>
  <c r="G46" i="35"/>
  <c r="H46" i="35" s="1"/>
  <c r="G47" i="35"/>
  <c r="H47" i="35" s="1"/>
  <c r="G49" i="35"/>
  <c r="H49" i="35" s="1"/>
  <c r="G125" i="35"/>
  <c r="H125" i="35" s="1"/>
  <c r="G126" i="35"/>
  <c r="H126" i="35" s="1"/>
  <c r="G127" i="35"/>
  <c r="H127" i="35" s="1"/>
  <c r="G128" i="35"/>
  <c r="H128" i="35" s="1"/>
  <c r="G129" i="35"/>
  <c r="H129" i="35" s="1"/>
  <c r="G131" i="35"/>
  <c r="H131" i="35" s="1"/>
  <c r="G132" i="35"/>
  <c r="H132" i="35" s="1"/>
  <c r="G133" i="35"/>
  <c r="H133" i="35" s="1"/>
  <c r="G134" i="35"/>
  <c r="H134" i="35" s="1"/>
  <c r="G135" i="35"/>
  <c r="H135" i="35" s="1"/>
  <c r="U8" i="2"/>
  <c r="T8" i="2"/>
  <c r="T45" i="2" s="1"/>
  <c r="B4" i="37"/>
  <c r="B4" i="5"/>
  <c r="B4" i="31"/>
  <c r="F148" i="35"/>
  <c r="N29" i="18"/>
  <c r="M29" i="18"/>
  <c r="L29" i="18"/>
  <c r="K29" i="18"/>
  <c r="J29" i="18"/>
  <c r="I29" i="18"/>
  <c r="I13" i="31"/>
  <c r="K99" i="37" s="1"/>
  <c r="I12" i="31"/>
  <c r="K96" i="37" s="1"/>
  <c r="B4" i="28"/>
  <c r="C4" i="2"/>
  <c r="B4" i="18"/>
  <c r="B4" i="17"/>
  <c r="B41" i="17"/>
  <c r="B47" i="17" s="1"/>
  <c r="B51" i="17" s="1"/>
  <c r="B52" i="17"/>
  <c r="U603" i="2" l="1"/>
  <c r="U420" i="2"/>
  <c r="R420" i="2" s="1"/>
  <c r="U295" i="2"/>
  <c r="U406" i="2"/>
  <c r="R406" i="2" s="1"/>
  <c r="U310" i="2"/>
  <c r="R310" i="2" s="1"/>
  <c r="U454" i="2"/>
  <c r="R454" i="2" s="1"/>
  <c r="U609" i="2"/>
  <c r="R609" i="2" s="1"/>
  <c r="U620" i="2"/>
  <c r="R620" i="2" s="1"/>
  <c r="U656" i="2"/>
  <c r="U811" i="2"/>
  <c r="U360" i="2"/>
  <c r="U291" i="2"/>
  <c r="R291" i="2" s="1"/>
  <c r="U413" i="2"/>
  <c r="R413" i="2" s="1"/>
  <c r="U404" i="2"/>
  <c r="R404" i="2" s="1"/>
  <c r="U340" i="2"/>
  <c r="R340" i="2" s="1"/>
  <c r="U689" i="2"/>
  <c r="R689" i="2" s="1"/>
  <c r="U703" i="2"/>
  <c r="U605" i="2"/>
  <c r="U729" i="2"/>
  <c r="R729" i="2" s="1"/>
  <c r="U614" i="2"/>
  <c r="R614" i="2" s="1"/>
  <c r="U335" i="2"/>
  <c r="R335" i="2" s="1"/>
  <c r="U405" i="2"/>
  <c r="R405" i="2" s="1"/>
  <c r="U370" i="2"/>
  <c r="R370" i="2" s="1"/>
  <c r="U306" i="2"/>
  <c r="R306" i="2" s="1"/>
  <c r="U688" i="2"/>
  <c r="U706" i="2"/>
  <c r="U751" i="2"/>
  <c r="U606" i="2"/>
  <c r="R606" i="2" s="1"/>
  <c r="U428" i="2"/>
  <c r="R428" i="2" s="1"/>
  <c r="U731" i="2"/>
  <c r="R731" i="2" s="1"/>
  <c r="U343" i="2"/>
  <c r="R343" i="2" s="1"/>
  <c r="U327" i="2"/>
  <c r="R327" i="2" s="1"/>
  <c r="U397" i="2"/>
  <c r="U384" i="2"/>
  <c r="U320" i="2"/>
  <c r="U640" i="2"/>
  <c r="R640" i="2" s="1"/>
  <c r="U453" i="2"/>
  <c r="R453" i="2" s="1"/>
  <c r="U452" i="2"/>
  <c r="R452" i="2" s="1"/>
  <c r="U690" i="2"/>
  <c r="R690" i="2" s="1"/>
  <c r="U562" i="2"/>
  <c r="R562" i="2" s="1"/>
  <c r="U457" i="2"/>
  <c r="U752" i="2"/>
  <c r="U383" i="2"/>
  <c r="U389" i="2"/>
  <c r="R389" i="2" s="1"/>
  <c r="U398" i="2"/>
  <c r="R398" i="2" s="1"/>
  <c r="U334" i="2"/>
  <c r="R334" i="2" s="1"/>
  <c r="U684" i="2"/>
  <c r="R684" i="2" s="1"/>
  <c r="U664" i="2"/>
  <c r="R664" i="2" s="1"/>
  <c r="U575" i="2"/>
  <c r="U694" i="2"/>
  <c r="U590" i="2"/>
  <c r="U419" i="2"/>
  <c r="R419" i="2" s="1"/>
  <c r="U337" i="2"/>
  <c r="R337" i="2" s="1"/>
  <c r="U412" i="2"/>
  <c r="R412" i="2" s="1"/>
  <c r="U348" i="2"/>
  <c r="R348" i="2" s="1"/>
  <c r="U613" i="2"/>
  <c r="R613" i="2" s="1"/>
  <c r="U652" i="2"/>
  <c r="U663" i="2"/>
  <c r="R663" i="2" s="1"/>
  <c r="U680" i="2"/>
  <c r="U718" i="2"/>
  <c r="R718" i="2" s="1"/>
  <c r="U655" i="2"/>
  <c r="R655" i="2" s="1"/>
  <c r="U301" i="2"/>
  <c r="R301" i="2" s="1"/>
  <c r="U734" i="2"/>
  <c r="R734" i="2" s="1"/>
  <c r="U309" i="2"/>
  <c r="R309" i="2" s="1"/>
  <c r="U430" i="2"/>
  <c r="U346" i="2"/>
  <c r="U648" i="2"/>
  <c r="R648" i="2" s="1"/>
  <c r="U579" i="2"/>
  <c r="R579" i="2" s="1"/>
  <c r="U724" i="2"/>
  <c r="R724" i="2" s="1"/>
  <c r="U645" i="2"/>
  <c r="R645" i="2" s="1"/>
  <c r="U599" i="2"/>
  <c r="R599" i="2" s="1"/>
  <c r="U808" i="2"/>
  <c r="R808" i="2" s="1"/>
  <c r="U401" i="2"/>
  <c r="U633" i="2"/>
  <c r="U299" i="2"/>
  <c r="U429" i="2"/>
  <c r="R429" i="2" s="1"/>
  <c r="U358" i="2"/>
  <c r="R358" i="2" s="1"/>
  <c r="U292" i="2"/>
  <c r="R292" i="2" s="1"/>
  <c r="U704" i="2"/>
  <c r="R704" i="2" s="1"/>
  <c r="U597" i="2"/>
  <c r="R597" i="2" s="1"/>
  <c r="U741" i="2"/>
  <c r="U743" i="2"/>
  <c r="U426" i="2"/>
  <c r="R426" i="2" s="1"/>
  <c r="U560" i="2"/>
  <c r="U409" i="2"/>
  <c r="R409" i="2" s="1"/>
  <c r="U359" i="2"/>
  <c r="R359" i="2" s="1"/>
  <c r="U388" i="2"/>
  <c r="R388" i="2" s="1"/>
  <c r="U324" i="2"/>
  <c r="R324" i="2" s="1"/>
  <c r="U587" i="2"/>
  <c r="U601" i="2"/>
  <c r="U733" i="2"/>
  <c r="U650" i="2"/>
  <c r="R650" i="2" s="1"/>
  <c r="U803" i="2"/>
  <c r="R803" i="2" s="1"/>
  <c r="U289" i="2"/>
  <c r="R289" i="2" s="1"/>
  <c r="U297" i="2"/>
  <c r="R297" i="2" s="1"/>
  <c r="U354" i="2"/>
  <c r="R354" i="2" s="1"/>
  <c r="U721" i="2"/>
  <c r="U695" i="2"/>
  <c r="U567" i="2"/>
  <c r="U644" i="2"/>
  <c r="U809" i="2"/>
  <c r="R809" i="2" s="1"/>
  <c r="U344" i="2"/>
  <c r="R344" i="2" s="1"/>
  <c r="U638" i="2"/>
  <c r="R638" i="2" s="1"/>
  <c r="U367" i="2"/>
  <c r="R367" i="2" s="1"/>
  <c r="U333" i="2"/>
  <c r="U349" i="2"/>
  <c r="U368" i="2"/>
  <c r="U304" i="2"/>
  <c r="R304" i="2" s="1"/>
  <c r="U566" i="2"/>
  <c r="R566" i="2" s="1"/>
  <c r="U711" i="2"/>
  <c r="R711" i="2" s="1"/>
  <c r="U456" i="2"/>
  <c r="R456" i="2" s="1"/>
  <c r="U702" i="2"/>
  <c r="R702" i="2" s="1"/>
  <c r="U727" i="2"/>
  <c r="U424" i="2"/>
  <c r="R424" i="2" s="1"/>
  <c r="U458" i="2"/>
  <c r="R458" i="2" s="1"/>
  <c r="U323" i="2"/>
  <c r="R323" i="2" s="1"/>
  <c r="U339" i="2"/>
  <c r="R339" i="2" s="1"/>
  <c r="U382" i="2"/>
  <c r="R382" i="2" s="1"/>
  <c r="U318" i="2"/>
  <c r="R318" i="2" s="1"/>
  <c r="U632" i="2"/>
  <c r="R632" i="2" s="1"/>
  <c r="U565" i="2"/>
  <c r="U745" i="2"/>
  <c r="U736" i="2"/>
  <c r="U815" i="2"/>
  <c r="U311" i="2"/>
  <c r="R311" i="2" s="1"/>
  <c r="U381" i="2"/>
  <c r="R381" i="2" s="1"/>
  <c r="U396" i="2"/>
  <c r="R396" i="2" s="1"/>
  <c r="U332" i="2"/>
  <c r="R332" i="2" s="1"/>
  <c r="U612" i="2"/>
  <c r="U557" i="2"/>
  <c r="U564" i="2"/>
  <c r="U574" i="2"/>
  <c r="U657" i="2"/>
  <c r="R657" i="2" s="1"/>
  <c r="U812" i="2"/>
  <c r="R812" i="2" s="1"/>
  <c r="U387" i="2"/>
  <c r="R387" i="2" s="1"/>
  <c r="U411" i="2"/>
  <c r="R411" i="2" s="1"/>
  <c r="U395" i="2"/>
  <c r="U410" i="2"/>
  <c r="U330" i="2"/>
  <c r="R330" i="2" s="1"/>
  <c r="U568" i="2"/>
  <c r="R568" i="2" s="1"/>
  <c r="U618" i="2"/>
  <c r="R618" i="2" s="1"/>
  <c r="U658" i="2"/>
  <c r="R658" i="2" s="1"/>
  <c r="U563" i="2"/>
  <c r="R563" i="2" s="1"/>
  <c r="U649" i="2"/>
  <c r="R649" i="2" s="1"/>
  <c r="U423" i="2"/>
  <c r="R423" i="2" s="1"/>
  <c r="U305" i="2"/>
  <c r="U417" i="2"/>
  <c r="U363" i="2"/>
  <c r="R363" i="2" s="1"/>
  <c r="U342" i="2"/>
  <c r="R342" i="2" s="1"/>
  <c r="U602" i="2"/>
  <c r="R602" i="2" s="1"/>
  <c r="U588" i="2"/>
  <c r="R588" i="2" s="1"/>
  <c r="U361" i="2"/>
  <c r="R361" i="2" s="1"/>
  <c r="U351" i="2"/>
  <c r="R351" i="2" s="1"/>
  <c r="U372" i="2"/>
  <c r="U696" i="2"/>
  <c r="R696" i="2" s="1"/>
  <c r="U578" i="2"/>
  <c r="U371" i="2"/>
  <c r="R371" i="2" s="1"/>
  <c r="U717" i="2"/>
  <c r="R717" i="2" s="1"/>
  <c r="U697" i="2"/>
  <c r="R697" i="2" s="1"/>
  <c r="U748" i="2"/>
  <c r="R748" i="2" s="1"/>
  <c r="U635" i="2"/>
  <c r="R635" i="2" s="1"/>
  <c r="U591" i="2"/>
  <c r="R591" i="2" s="1"/>
  <c r="U303" i="2"/>
  <c r="U308" i="2"/>
  <c r="R308" i="2" s="1"/>
  <c r="U589" i="2"/>
  <c r="R589" i="2" s="1"/>
  <c r="U581" i="2"/>
  <c r="R581" i="2" s="1"/>
  <c r="U399" i="2"/>
  <c r="R399" i="2" s="1"/>
  <c r="U338" i="2"/>
  <c r="R338" i="2" s="1"/>
  <c r="U294" i="2"/>
  <c r="R294" i="2" s="1"/>
  <c r="U679" i="2"/>
  <c r="R679" i="2" s="1"/>
  <c r="U357" i="2"/>
  <c r="U313" i="2"/>
  <c r="R313" i="2" s="1"/>
  <c r="U326" i="2"/>
  <c r="R326" i="2" s="1"/>
  <c r="U595" i="2"/>
  <c r="R595" i="2" s="1"/>
  <c r="U709" i="2"/>
  <c r="R709" i="2" s="1"/>
  <c r="U616" i="2"/>
  <c r="R616" i="2" s="1"/>
  <c r="U737" i="2"/>
  <c r="R737" i="2" s="1"/>
  <c r="U561" i="2"/>
  <c r="R561" i="2" s="1"/>
  <c r="U321" i="2"/>
  <c r="U385" i="2"/>
  <c r="R385" i="2" s="1"/>
  <c r="U373" i="2"/>
  <c r="R373" i="2" s="1"/>
  <c r="U431" i="2"/>
  <c r="R431" i="2" s="1"/>
  <c r="U356" i="2"/>
  <c r="R356" i="2" s="1"/>
  <c r="U290" i="2"/>
  <c r="R290" i="2" s="1"/>
  <c r="U594" i="2"/>
  <c r="R594" i="2" s="1"/>
  <c r="U608" i="2"/>
  <c r="U740" i="2"/>
  <c r="U735" i="2"/>
  <c r="R735" i="2" s="1"/>
  <c r="U642" i="2"/>
  <c r="R642" i="2" s="1"/>
  <c r="U433" i="2"/>
  <c r="R433" i="2" s="1"/>
  <c r="U386" i="2"/>
  <c r="R386" i="2" s="1"/>
  <c r="U322" i="2"/>
  <c r="R322" i="2" s="1"/>
  <c r="U577" i="2"/>
  <c r="U600" i="2"/>
  <c r="U716" i="2"/>
  <c r="R716" i="2" s="1"/>
  <c r="U722" i="2"/>
  <c r="R722" i="2" s="1"/>
  <c r="U315" i="2"/>
  <c r="R315" i="2" s="1"/>
  <c r="U610" i="2"/>
  <c r="R610" i="2" s="1"/>
  <c r="U570" i="2"/>
  <c r="R570" i="2" s="1"/>
  <c r="U402" i="2"/>
  <c r="R402" i="2" s="1"/>
  <c r="U347" i="2"/>
  <c r="R347" i="2" s="1"/>
  <c r="U400" i="2"/>
  <c r="U336" i="2"/>
  <c r="R336" i="2" s="1"/>
  <c r="U698" i="2"/>
  <c r="R698" i="2" s="1"/>
  <c r="U576" i="2"/>
  <c r="R576" i="2" s="1"/>
  <c r="U687" i="2"/>
  <c r="R687" i="2" s="1"/>
  <c r="U459" i="2"/>
  <c r="R459" i="2" s="1"/>
  <c r="U636" i="2"/>
  <c r="R636" i="2" s="1"/>
  <c r="U598" i="2"/>
  <c r="R598" i="2" s="1"/>
  <c r="U617" i="2"/>
  <c r="U319" i="2"/>
  <c r="R319" i="2" s="1"/>
  <c r="U341" i="2"/>
  <c r="R341" i="2" s="1"/>
  <c r="U414" i="2"/>
  <c r="R414" i="2" s="1"/>
  <c r="U350" i="2"/>
  <c r="R350" i="2" s="1"/>
  <c r="U634" i="2"/>
  <c r="R634" i="2" s="1"/>
  <c r="U691" i="2"/>
  <c r="R691" i="2" s="1"/>
  <c r="U681" i="2"/>
  <c r="R681" i="2" s="1"/>
  <c r="U739" i="2"/>
  <c r="U692" i="2"/>
  <c r="R692" i="2" s="1"/>
  <c r="U643" i="2"/>
  <c r="R643" i="2" s="1"/>
  <c r="U403" i="2"/>
  <c r="R403" i="2" s="1"/>
  <c r="U432" i="2"/>
  <c r="R432" i="2" s="1"/>
  <c r="U364" i="2"/>
  <c r="R364" i="2" s="1"/>
  <c r="U298" i="2"/>
  <c r="R298" i="2" s="1"/>
  <c r="U654" i="2"/>
  <c r="R654" i="2" s="1"/>
  <c r="U730" i="2"/>
  <c r="U726" i="2"/>
  <c r="U455" i="2"/>
  <c r="R455" i="2" s="1"/>
  <c r="U607" i="2"/>
  <c r="R607" i="2" s="1"/>
  <c r="U421" i="2"/>
  <c r="R421" i="2" s="1"/>
  <c r="U328" i="2"/>
  <c r="R328" i="2" s="1"/>
  <c r="U369" i="2"/>
  <c r="R369" i="2" s="1"/>
  <c r="U325" i="2"/>
  <c r="R325" i="2" s="1"/>
  <c r="U362" i="2"/>
  <c r="U296" i="2"/>
  <c r="U611" i="2"/>
  <c r="R611" i="2" s="1"/>
  <c r="U747" i="2"/>
  <c r="R747" i="2" s="1"/>
  <c r="U559" i="2"/>
  <c r="R559" i="2" s="1"/>
  <c r="U693" i="2"/>
  <c r="R693" i="2" s="1"/>
  <c r="U810" i="2"/>
  <c r="R810" i="2" s="1"/>
  <c r="U355" i="2"/>
  <c r="R355" i="2" s="1"/>
  <c r="U744" i="2"/>
  <c r="R744" i="2" s="1"/>
  <c r="U558" i="2"/>
  <c r="R558" i="2" s="1"/>
  <c r="U316" i="2"/>
  <c r="R316" i="2" s="1"/>
  <c r="U307" i="2"/>
  <c r="R307" i="2" s="1"/>
  <c r="U580" i="2"/>
  <c r="R580" i="2" s="1"/>
  <c r="U425" i="2"/>
  <c r="R425" i="2" s="1"/>
  <c r="U682" i="2"/>
  <c r="R682" i="2" s="1"/>
  <c r="U434" i="2"/>
  <c r="R434" i="2" s="1"/>
  <c r="U317" i="2"/>
  <c r="U701" i="2"/>
  <c r="R701" i="2" s="1"/>
  <c r="U641" i="2"/>
  <c r="R641" i="2" s="1"/>
  <c r="U573" i="2"/>
  <c r="R573" i="2" s="1"/>
  <c r="U407" i="2"/>
  <c r="R407" i="2" s="1"/>
  <c r="U732" i="2"/>
  <c r="R732" i="2" s="1"/>
  <c r="U683" i="2"/>
  <c r="R683" i="2" s="1"/>
  <c r="U415" i="2"/>
  <c r="R415" i="2" s="1"/>
  <c r="U700" i="2"/>
  <c r="U329" i="2"/>
  <c r="U593" i="2"/>
  <c r="R593" i="2" s="1"/>
  <c r="U416" i="2"/>
  <c r="R416" i="2" s="1"/>
  <c r="U312" i="2"/>
  <c r="R312" i="2" s="1"/>
  <c r="U660" i="2"/>
  <c r="R660" i="2" s="1"/>
  <c r="U720" i="2"/>
  <c r="R720" i="2" s="1"/>
  <c r="U394" i="2"/>
  <c r="R394" i="2" s="1"/>
  <c r="U699" i="2"/>
  <c r="U628" i="2"/>
  <c r="U627" i="2"/>
  <c r="R627" i="2" s="1"/>
  <c r="U596" i="2"/>
  <c r="R596" i="2" s="1"/>
  <c r="U592" i="2"/>
  <c r="R592" i="2" s="1"/>
  <c r="U302" i="2"/>
  <c r="R302" i="2" s="1"/>
  <c r="U380" i="2"/>
  <c r="R380" i="2" s="1"/>
  <c r="U408" i="2"/>
  <c r="R408" i="2" s="1"/>
  <c r="U604" i="2"/>
  <c r="R604" i="2" s="1"/>
  <c r="U418" i="2"/>
  <c r="R418" i="2" s="1"/>
  <c r="U422" i="2"/>
  <c r="R422" i="2" s="1"/>
  <c r="U738" i="2"/>
  <c r="R738" i="2" s="1"/>
  <c r="U705" i="2"/>
  <c r="R705" i="2" s="1"/>
  <c r="U746" i="2"/>
  <c r="R746" i="2" s="1"/>
  <c r="U366" i="2"/>
  <c r="R366" i="2" s="1"/>
  <c r="U331" i="2"/>
  <c r="R331" i="2" s="1"/>
  <c r="U804" i="2"/>
  <c r="U713" i="2"/>
  <c r="R713" i="2" s="1"/>
  <c r="U719" i="2"/>
  <c r="R719" i="2" s="1"/>
  <c r="U352" i="2"/>
  <c r="R352" i="2" s="1"/>
  <c r="U427" i="2"/>
  <c r="R427" i="2" s="1"/>
  <c r="U615" i="2"/>
  <c r="R615" i="2" s="1"/>
  <c r="U742" i="2"/>
  <c r="R742" i="2" s="1"/>
  <c r="U314" i="2"/>
  <c r="R314" i="2" s="1"/>
  <c r="Q45" i="2"/>
  <c r="H19" i="37" s="1"/>
  <c r="T604" i="2"/>
  <c r="Q604" i="2" s="1"/>
  <c r="T596" i="2"/>
  <c r="Q596" i="2" s="1"/>
  <c r="T609" i="2"/>
  <c r="Q609" i="2" s="1"/>
  <c r="T594" i="2"/>
  <c r="Q594" i="2" s="1"/>
  <c r="T605" i="2"/>
  <c r="Q605" i="2" s="1"/>
  <c r="T593" i="2"/>
  <c r="Q593" i="2" s="1"/>
  <c r="T599" i="2"/>
  <c r="Q599" i="2" s="1"/>
  <c r="T612" i="2"/>
  <c r="Q612" i="2" s="1"/>
  <c r="T810" i="2"/>
  <c r="T804" i="2"/>
  <c r="T775" i="2"/>
  <c r="T779" i="2"/>
  <c r="T778" i="2"/>
  <c r="T770" i="2"/>
  <c r="T787" i="2"/>
  <c r="T792" i="2"/>
  <c r="T783" i="2"/>
  <c r="T763" i="2"/>
  <c r="T755" i="2"/>
  <c r="T489" i="2"/>
  <c r="Q489" i="2" s="1"/>
  <c r="T464" i="2"/>
  <c r="Q464" i="2" s="1"/>
  <c r="T482" i="2"/>
  <c r="Q482" i="2" s="1"/>
  <c r="T481" i="2"/>
  <c r="Q481" i="2" s="1"/>
  <c r="T479" i="2"/>
  <c r="Q479" i="2" s="1"/>
  <c r="T471" i="2"/>
  <c r="Q471" i="2" s="1"/>
  <c r="T461" i="2"/>
  <c r="Q461" i="2" s="1"/>
  <c r="T563" i="2"/>
  <c r="Q563" i="2" s="1"/>
  <c r="T565" i="2"/>
  <c r="Q565" i="2" s="1"/>
  <c r="T558" i="2"/>
  <c r="Q558" i="2" s="1"/>
  <c r="T603" i="2"/>
  <c r="Q603" i="2" s="1"/>
  <c r="T591" i="2"/>
  <c r="Q591" i="2" s="1"/>
  <c r="T597" i="2"/>
  <c r="Q597" i="2" s="1"/>
  <c r="T601" i="2"/>
  <c r="Q601" i="2" s="1"/>
  <c r="T614" i="2"/>
  <c r="Q614" i="2" s="1"/>
  <c r="T600" i="2"/>
  <c r="Q600" i="2" s="1"/>
  <c r="T592" i="2"/>
  <c r="Q592" i="2" s="1"/>
  <c r="T615" i="2"/>
  <c r="Q615" i="2" s="1"/>
  <c r="T811" i="2"/>
  <c r="T808" i="2"/>
  <c r="T777" i="2"/>
  <c r="T786" i="2"/>
  <c r="T774" i="2"/>
  <c r="T768" i="2"/>
  <c r="T772" i="2"/>
  <c r="T791" i="2"/>
  <c r="T785" i="2"/>
  <c r="T764" i="2"/>
  <c r="T490" i="2"/>
  <c r="Q490" i="2" s="1"/>
  <c r="T484" i="2"/>
  <c r="Q484" i="2" s="1"/>
  <c r="T468" i="2"/>
  <c r="Q468" i="2" s="1"/>
  <c r="T486" i="2"/>
  <c r="Q486" i="2" s="1"/>
  <c r="T467" i="2"/>
  <c r="Q467" i="2" s="1"/>
  <c r="T478" i="2"/>
  <c r="Q478" i="2" s="1"/>
  <c r="T485" i="2"/>
  <c r="Q485" i="2" s="1"/>
  <c r="T460" i="2"/>
  <c r="Q460" i="2" s="1"/>
  <c r="T767" i="2"/>
  <c r="T789" i="2"/>
  <c r="T754" i="2"/>
  <c r="T469" i="2"/>
  <c r="Q469" i="2" s="1"/>
  <c r="T480" i="2"/>
  <c r="Q480" i="2" s="1"/>
  <c r="T570" i="2"/>
  <c r="Q570" i="2" s="1"/>
  <c r="T566" i="2"/>
  <c r="Q566" i="2" s="1"/>
  <c r="T560" i="2"/>
  <c r="Q560" i="2" s="1"/>
  <c r="T561" i="2"/>
  <c r="Q561" i="2" s="1"/>
  <c r="T620" i="2"/>
  <c r="Q620" i="2" s="1"/>
  <c r="T617" i="2"/>
  <c r="Q617" i="2" s="1"/>
  <c r="T602" i="2"/>
  <c r="Q602" i="2" s="1"/>
  <c r="T588" i="2"/>
  <c r="Q588" i="2" s="1"/>
  <c r="T608" i="2"/>
  <c r="Q608" i="2" s="1"/>
  <c r="T611" i="2"/>
  <c r="Q611" i="2" s="1"/>
  <c r="T618" i="2"/>
  <c r="Q618" i="2" s="1"/>
  <c r="T613" i="2"/>
  <c r="Q613" i="2" s="1"/>
  <c r="T610" i="2"/>
  <c r="Q610" i="2" s="1"/>
  <c r="T595" i="2"/>
  <c r="Q595" i="2" s="1"/>
  <c r="T616" i="2"/>
  <c r="Q616" i="2" s="1"/>
  <c r="T589" i="2"/>
  <c r="Q589" i="2" s="1"/>
  <c r="T607" i="2"/>
  <c r="Q607" i="2" s="1"/>
  <c r="T606" i="2"/>
  <c r="Q606" i="2" s="1"/>
  <c r="T598" i="2"/>
  <c r="Q598" i="2" s="1"/>
  <c r="T590" i="2"/>
  <c r="Q590" i="2" s="1"/>
  <c r="T809" i="2"/>
  <c r="T803" i="2"/>
  <c r="T776" i="2"/>
  <c r="T769" i="2"/>
  <c r="T788" i="2"/>
  <c r="T766" i="2"/>
  <c r="T771" i="2"/>
  <c r="T773" i="2"/>
  <c r="T762" i="2"/>
  <c r="T760" i="2"/>
  <c r="T756" i="2"/>
  <c r="T472" i="2"/>
  <c r="Q472" i="2" s="1"/>
  <c r="T483" i="2"/>
  <c r="Q483" i="2" s="1"/>
  <c r="T475" i="2"/>
  <c r="Q475" i="2" s="1"/>
  <c r="T466" i="2"/>
  <c r="Q466" i="2" s="1"/>
  <c r="T465" i="2"/>
  <c r="Q465" i="2" s="1"/>
  <c r="T477" i="2"/>
  <c r="Q477" i="2" s="1"/>
  <c r="T781" i="2"/>
  <c r="T782" i="2"/>
  <c r="T780" i="2"/>
  <c r="T784" i="2"/>
  <c r="T488" i="2"/>
  <c r="Q488" i="2" s="1"/>
  <c r="T473" i="2"/>
  <c r="Q473" i="2" s="1"/>
  <c r="T564" i="2"/>
  <c r="Q564" i="2" s="1"/>
  <c r="T562" i="2"/>
  <c r="Q562" i="2" s="1"/>
  <c r="T559" i="2"/>
  <c r="Q559" i="2" s="1"/>
  <c r="T587" i="2"/>
  <c r="Q587" i="2" s="1"/>
  <c r="T815" i="2"/>
  <c r="T790" i="2"/>
  <c r="T761" i="2"/>
  <c r="T476" i="2"/>
  <c r="Q476" i="2" s="1"/>
  <c r="T474" i="2"/>
  <c r="Q474" i="2" s="1"/>
  <c r="T470" i="2"/>
  <c r="Q470" i="2" s="1"/>
  <c r="T567" i="2"/>
  <c r="Q567" i="2" s="1"/>
  <c r="T568" i="2"/>
  <c r="Q568" i="2" s="1"/>
  <c r="T557" i="2"/>
  <c r="Q557" i="2" s="1"/>
  <c r="T812" i="2"/>
  <c r="R612" i="2"/>
  <c r="R577" i="2"/>
  <c r="R457" i="2"/>
  <c r="R608" i="2"/>
  <c r="R811" i="2"/>
  <c r="R564" i="2"/>
  <c r="R751" i="2"/>
  <c r="R741" i="2"/>
  <c r="R739" i="2"/>
  <c r="R706" i="2"/>
  <c r="R694" i="2"/>
  <c r="R652" i="2"/>
  <c r="R628" i="2"/>
  <c r="R587" i="2"/>
  <c r="R804" i="2"/>
  <c r="R565" i="2"/>
  <c r="R557" i="2"/>
  <c r="R736" i="2"/>
  <c r="R726" i="2"/>
  <c r="R703" i="2"/>
  <c r="R699" i="2"/>
  <c r="R578" i="2"/>
  <c r="R560" i="2"/>
  <c r="R601" i="2"/>
  <c r="R590" i="2"/>
  <c r="R575" i="2"/>
  <c r="R567" i="2"/>
  <c r="R574" i="2"/>
  <c r="R603" i="2"/>
  <c r="R600" i="2"/>
  <c r="R815" i="2"/>
  <c r="R743" i="2"/>
  <c r="R730" i="2"/>
  <c r="R727" i="2"/>
  <c r="R688" i="2"/>
  <c r="R700" i="2"/>
  <c r="R680" i="2"/>
  <c r="R644" i="2"/>
  <c r="R617" i="2"/>
  <c r="R605" i="2"/>
  <c r="R752" i="2"/>
  <c r="R740" i="2"/>
  <c r="R745" i="2"/>
  <c r="R733" i="2"/>
  <c r="R721" i="2"/>
  <c r="R695" i="2"/>
  <c r="R656" i="2"/>
  <c r="R633" i="2"/>
  <c r="R303" i="2"/>
  <c r="R333" i="2"/>
  <c r="R320" i="2"/>
  <c r="R383" i="2"/>
  <c r="R397" i="2"/>
  <c r="R349" i="2"/>
  <c r="R401" i="2"/>
  <c r="R417" i="2"/>
  <c r="R346" i="2"/>
  <c r="R295" i="2"/>
  <c r="R357" i="2"/>
  <c r="R317" i="2"/>
  <c r="R305" i="2"/>
  <c r="R296" i="2"/>
  <c r="R430" i="2"/>
  <c r="R362" i="2"/>
  <c r="R321" i="2"/>
  <c r="R400" i="2"/>
  <c r="R372" i="2"/>
  <c r="R368" i="2"/>
  <c r="R410" i="2"/>
  <c r="R299" i="2"/>
  <c r="R329" i="2"/>
  <c r="R360" i="2"/>
  <c r="R395" i="2"/>
  <c r="R384" i="2"/>
  <c r="T308" i="2"/>
  <c r="Q308" i="2" s="1"/>
  <c r="T325" i="2"/>
  <c r="Q325" i="2" s="1"/>
  <c r="T321" i="2"/>
  <c r="Q321" i="2" s="1"/>
  <c r="T327" i="2"/>
  <c r="Q327" i="2" s="1"/>
  <c r="T310" i="2"/>
  <c r="Q310" i="2" s="1"/>
  <c r="T403" i="2"/>
  <c r="Q403" i="2" s="1"/>
  <c r="T364" i="2"/>
  <c r="Q364" i="2" s="1"/>
  <c r="T361" i="2"/>
  <c r="Q361" i="2" s="1"/>
  <c r="T363" i="2"/>
  <c r="Q363" i="2" s="1"/>
  <c r="T347" i="2"/>
  <c r="Q347" i="2" s="1"/>
  <c r="T350" i="2"/>
  <c r="Q350" i="2" s="1"/>
  <c r="T339" i="2"/>
  <c r="Q339" i="2" s="1"/>
  <c r="T340" i="2"/>
  <c r="Q340" i="2" s="1"/>
  <c r="T324" i="2"/>
  <c r="Q324" i="2" s="1"/>
  <c r="T303" i="2"/>
  <c r="Q303" i="2" s="1"/>
  <c r="T411" i="2"/>
  <c r="Q411" i="2" s="1"/>
  <c r="T410" i="2"/>
  <c r="Q410" i="2" s="1"/>
  <c r="T402" i="2"/>
  <c r="Q402" i="2" s="1"/>
  <c r="T346" i="2"/>
  <c r="Q346" i="2" s="1"/>
  <c r="T338" i="2"/>
  <c r="Q338" i="2" s="1"/>
  <c r="T306" i="2"/>
  <c r="Q306" i="2" s="1"/>
  <c r="T406" i="2"/>
  <c r="Q406" i="2" s="1"/>
  <c r="T408" i="2"/>
  <c r="Q408" i="2" s="1"/>
  <c r="T360" i="2"/>
  <c r="Q360" i="2" s="1"/>
  <c r="T357" i="2"/>
  <c r="Q357" i="2" s="1"/>
  <c r="T348" i="2"/>
  <c r="Q348" i="2" s="1"/>
  <c r="T351" i="2"/>
  <c r="Q351" i="2" s="1"/>
  <c r="T332" i="2"/>
  <c r="Q332" i="2" s="1"/>
  <c r="T337" i="2"/>
  <c r="Q337" i="2" s="1"/>
  <c r="T335" i="2"/>
  <c r="Q335" i="2" s="1"/>
  <c r="T331" i="2"/>
  <c r="Q331" i="2" s="1"/>
  <c r="T404" i="2"/>
  <c r="Q404" i="2" s="1"/>
  <c r="T343" i="2"/>
  <c r="Q343" i="2" s="1"/>
  <c r="T305" i="2"/>
  <c r="Q305" i="2" s="1"/>
  <c r="T329" i="2"/>
  <c r="Q329" i="2" s="1"/>
  <c r="T344" i="2"/>
  <c r="Q344" i="2" s="1"/>
  <c r="T304" i="2"/>
  <c r="Q304" i="2" s="1"/>
  <c r="T323" i="2"/>
  <c r="Q323" i="2" s="1"/>
  <c r="T322" i="2"/>
  <c r="Q322" i="2" s="1"/>
  <c r="T319" i="2"/>
  <c r="Q319" i="2" s="1"/>
  <c r="T307" i="2"/>
  <c r="Q307" i="2" s="1"/>
  <c r="T407" i="2"/>
  <c r="Q407" i="2" s="1"/>
  <c r="T409" i="2"/>
  <c r="Q409" i="2" s="1"/>
  <c r="T355" i="2"/>
  <c r="Q355" i="2" s="1"/>
  <c r="T358" i="2"/>
  <c r="Q358" i="2" s="1"/>
  <c r="T354" i="2"/>
  <c r="Q354" i="2" s="1"/>
  <c r="T349" i="2"/>
  <c r="Q349" i="2" s="1"/>
  <c r="T352" i="2"/>
  <c r="Q352" i="2" s="1"/>
  <c r="T341" i="2"/>
  <c r="Q341" i="2" s="1"/>
  <c r="T342" i="2"/>
  <c r="Q342" i="2" s="1"/>
  <c r="T336" i="2"/>
  <c r="Q336" i="2" s="1"/>
  <c r="T330" i="2"/>
  <c r="Q330" i="2" s="1"/>
  <c r="T362" i="2"/>
  <c r="Q362" i="2" s="1"/>
  <c r="T356" i="2"/>
  <c r="Q356" i="2" s="1"/>
  <c r="T359" i="2"/>
  <c r="Q359" i="2" s="1"/>
  <c r="T333" i="2"/>
  <c r="Q333" i="2" s="1"/>
  <c r="T334" i="2"/>
  <c r="Q334" i="2" s="1"/>
  <c r="T309" i="2"/>
  <c r="Q309" i="2" s="1"/>
  <c r="T405" i="2"/>
  <c r="Q405" i="2" s="1"/>
  <c r="T328" i="2"/>
  <c r="Q328" i="2" s="1"/>
  <c r="T326" i="2"/>
  <c r="Q326" i="2" s="1"/>
  <c r="T320" i="2"/>
  <c r="Q320" i="2" s="1"/>
  <c r="T401" i="2"/>
  <c r="Q401" i="2" s="1"/>
  <c r="T11" i="2"/>
  <c r="T10" i="2"/>
  <c r="T13" i="2"/>
  <c r="Q13" i="2" s="1"/>
  <c r="T14" i="2"/>
  <c r="T12" i="2"/>
  <c r="B15" i="37"/>
  <c r="B16" i="37"/>
  <c r="J135" i="35"/>
  <c r="J134" i="35"/>
  <c r="J133" i="35"/>
  <c r="J131" i="35"/>
  <c r="J129" i="35"/>
  <c r="J128" i="35"/>
  <c r="J127" i="35"/>
  <c r="J126" i="35"/>
  <c r="J132" i="35"/>
  <c r="J125" i="35"/>
  <c r="J49" i="35"/>
  <c r="J48" i="35"/>
  <c r="J47" i="35"/>
  <c r="J46" i="35"/>
  <c r="O29" i="18"/>
  <c r="B49" i="17"/>
  <c r="B50" i="17"/>
  <c r="N33" i="28"/>
  <c r="O23" i="38"/>
  <c r="K31" i="38"/>
  <c r="J40" i="18"/>
  <c r="N31" i="38"/>
  <c r="L40" i="18"/>
  <c r="K40" i="18"/>
  <c r="L107" i="37" l="1"/>
  <c r="L65" i="37"/>
  <c r="N19" i="37"/>
  <c r="K19" i="37"/>
  <c r="B62" i="37"/>
  <c r="L106" i="37"/>
  <c r="I40" i="37"/>
  <c r="I58" i="37"/>
  <c r="I51" i="37"/>
  <c r="H45" i="37"/>
  <c r="I50" i="37"/>
  <c r="I53" i="37"/>
  <c r="H50" i="37"/>
  <c r="I44" i="37"/>
  <c r="H53" i="37"/>
  <c r="H58" i="37"/>
  <c r="H57" i="37"/>
  <c r="I55" i="37"/>
  <c r="I56" i="37"/>
  <c r="I27" i="37"/>
  <c r="L27" i="37" s="1"/>
  <c r="I29" i="37"/>
  <c r="L29" i="37" s="1"/>
  <c r="I38" i="37"/>
  <c r="I26" i="37"/>
  <c r="I41" i="37"/>
  <c r="I35" i="37"/>
  <c r="I33" i="37"/>
  <c r="I39" i="37"/>
  <c r="H30" i="37"/>
  <c r="K30" i="37" s="1"/>
  <c r="I37" i="37"/>
  <c r="H28" i="37"/>
  <c r="K28" i="37" s="1"/>
  <c r="I28" i="37"/>
  <c r="I31" i="37"/>
  <c r="I32" i="37"/>
  <c r="I30" i="37"/>
  <c r="H38" i="37"/>
  <c r="H31" i="37"/>
  <c r="H32" i="37"/>
  <c r="L66" i="37"/>
  <c r="L77" i="37"/>
  <c r="L76" i="37"/>
  <c r="L79" i="37"/>
  <c r="L78" i="37"/>
  <c r="H15" i="37"/>
  <c r="E12" i="18"/>
  <c r="E15" i="18" s="1"/>
  <c r="B53" i="17"/>
  <c r="E12" i="38"/>
  <c r="E15" i="38" s="1"/>
  <c r="L112" i="37" l="1"/>
  <c r="L40" i="37"/>
  <c r="O40" i="37"/>
  <c r="H16" i="37"/>
  <c r="G16" i="37"/>
  <c r="M16" i="37" s="1"/>
  <c r="K6" i="28"/>
  <c r="N50" i="37"/>
  <c r="K50" i="37"/>
  <c r="O55" i="37"/>
  <c r="L55" i="37"/>
  <c r="N57" i="37"/>
  <c r="K57" i="37"/>
  <c r="O50" i="37"/>
  <c r="L50" i="37"/>
  <c r="N58" i="37"/>
  <c r="K58" i="37"/>
  <c r="K45" i="37"/>
  <c r="N45" i="37"/>
  <c r="L56" i="37"/>
  <c r="O56" i="37"/>
  <c r="L51" i="37"/>
  <c r="O51" i="37"/>
  <c r="L53" i="37"/>
  <c r="O53" i="37"/>
  <c r="K53" i="37"/>
  <c r="N53" i="37"/>
  <c r="O58" i="37"/>
  <c r="L58" i="37"/>
  <c r="L44" i="37"/>
  <c r="O44" i="37"/>
  <c r="O27" i="37"/>
  <c r="O29" i="37"/>
  <c r="N28" i="37"/>
  <c r="N30" i="37"/>
  <c r="O28" i="37"/>
  <c r="L28" i="37"/>
  <c r="O26" i="37"/>
  <c r="L26" i="37"/>
  <c r="L41" i="37"/>
  <c r="O41" i="37"/>
  <c r="O37" i="37"/>
  <c r="L37" i="37"/>
  <c r="O39" i="37"/>
  <c r="L39" i="37"/>
  <c r="O38" i="37"/>
  <c r="L38" i="37"/>
  <c r="L35" i="37"/>
  <c r="O35" i="37"/>
  <c r="L30" i="37"/>
  <c r="O30" i="37"/>
  <c r="O33" i="37"/>
  <c r="L33" i="37"/>
  <c r="O31" i="37"/>
  <c r="L31" i="37"/>
  <c r="L32" i="37"/>
  <c r="O32" i="37"/>
  <c r="N31" i="37"/>
  <c r="K31" i="37"/>
  <c r="N32" i="37"/>
  <c r="K32" i="37"/>
  <c r="N38" i="37"/>
  <c r="K38" i="37"/>
  <c r="I15" i="37"/>
  <c r="L15" i="37" s="1"/>
  <c r="I16" i="37"/>
  <c r="E17" i="38"/>
  <c r="K46" i="38" s="1"/>
  <c r="K45" i="38"/>
  <c r="J15" i="37"/>
  <c r="M15" i="37"/>
  <c r="E18" i="18"/>
  <c r="K47" i="18" s="1"/>
  <c r="K45" i="18"/>
  <c r="E18" i="38"/>
  <c r="E17" i="18"/>
  <c r="H62" i="37" l="1"/>
  <c r="M62" i="37"/>
  <c r="G62" i="37"/>
  <c r="J16" i="37"/>
  <c r="L16" i="37"/>
  <c r="I62" i="37"/>
  <c r="O15" i="37"/>
  <c r="O16" i="37"/>
  <c r="E19" i="38"/>
  <c r="E21" i="38" s="1"/>
  <c r="K47" i="38"/>
  <c r="K15" i="37"/>
  <c r="K16" i="37"/>
  <c r="N15" i="37"/>
  <c r="N16" i="37"/>
  <c r="E19" i="18"/>
  <c r="E21" i="18" s="1"/>
  <c r="C29" i="17" s="1"/>
  <c r="C31" i="17" s="1"/>
  <c r="C34" i="17" s="1"/>
  <c r="C21" i="17" s="1"/>
  <c r="C24" i="17" s="1"/>
  <c r="K46" i="18"/>
  <c r="K62" i="37" l="1"/>
  <c r="J62" i="37"/>
  <c r="N62" i="37"/>
  <c r="K52" i="18"/>
  <c r="O62" i="37"/>
  <c r="E22" i="38"/>
  <c r="E23" i="38" s="1"/>
  <c r="E25" i="38" s="1"/>
  <c r="L62" i="37"/>
  <c r="E22" i="18"/>
  <c r="K48" i="38" l="1"/>
  <c r="E26" i="38"/>
  <c r="E32" i="38" s="1"/>
  <c r="E43" i="38" s="1"/>
  <c r="K61" i="38" s="1"/>
  <c r="K49" i="38"/>
  <c r="E23" i="18"/>
  <c r="E25" i="18" s="1"/>
  <c r="K48" i="18"/>
  <c r="K63" i="38" l="1"/>
  <c r="E26" i="18"/>
  <c r="E32" i="18" s="1"/>
  <c r="K49" i="18"/>
  <c r="E47" i="38"/>
  <c r="G111" i="37" l="1"/>
  <c r="F111" i="37"/>
  <c r="F110" i="37"/>
  <c r="G110" i="37"/>
  <c r="G90" i="37"/>
  <c r="G109" i="37"/>
  <c r="F90" i="37"/>
  <c r="F109" i="37"/>
  <c r="F98" i="37"/>
  <c r="F96" i="37"/>
  <c r="F92" i="37"/>
  <c r="G105" i="37"/>
  <c r="F86" i="37"/>
  <c r="G91" i="37"/>
  <c r="F93" i="37"/>
  <c r="F104" i="37"/>
  <c r="F99" i="37"/>
  <c r="F106" i="37"/>
  <c r="G86" i="37"/>
  <c r="G104" i="37"/>
  <c r="F101" i="37"/>
  <c r="F100" i="37"/>
  <c r="G106" i="37"/>
  <c r="G97" i="37"/>
  <c r="F89" i="37"/>
  <c r="F88" i="37"/>
  <c r="F105" i="37"/>
  <c r="G99" i="37"/>
  <c r="G101" i="37"/>
  <c r="F91" i="37"/>
  <c r="F108" i="37"/>
  <c r="F97" i="37"/>
  <c r="F107" i="37"/>
  <c r="G102" i="37"/>
  <c r="F102" i="37"/>
  <c r="F87" i="37"/>
  <c r="G87" i="37"/>
  <c r="G92" i="37"/>
  <c r="F95" i="37"/>
  <c r="G96" i="37"/>
  <c r="F103" i="37"/>
  <c r="F94" i="37"/>
  <c r="G98" i="37"/>
  <c r="G89" i="37"/>
  <c r="G93" i="37"/>
  <c r="G94" i="37"/>
  <c r="G103" i="37"/>
  <c r="G95" i="37"/>
  <c r="G108" i="37"/>
  <c r="G100" i="37"/>
  <c r="G88" i="37"/>
  <c r="G107" i="37"/>
  <c r="G83" i="37"/>
  <c r="F71" i="37"/>
  <c r="F74" i="37"/>
  <c r="G71" i="37"/>
  <c r="G69" i="37"/>
  <c r="G68" i="37"/>
  <c r="G72" i="37"/>
  <c r="F84" i="37"/>
  <c r="G70" i="37"/>
  <c r="G73" i="37"/>
  <c r="G77" i="37"/>
  <c r="G79" i="37"/>
  <c r="G75" i="37"/>
  <c r="G67" i="37"/>
  <c r="G84" i="37"/>
  <c r="G76" i="37"/>
  <c r="G85" i="37"/>
  <c r="G74" i="37"/>
  <c r="F70" i="37"/>
  <c r="F72" i="37"/>
  <c r="F79" i="37"/>
  <c r="F81" i="37"/>
  <c r="F75" i="37"/>
  <c r="F85" i="37"/>
  <c r="F69" i="37"/>
  <c r="F68" i="37"/>
  <c r="F67" i="37"/>
  <c r="F73" i="37"/>
  <c r="F80" i="37"/>
  <c r="F76" i="37"/>
  <c r="F83" i="37"/>
  <c r="F82" i="37"/>
  <c r="F78" i="37"/>
  <c r="F77" i="37"/>
  <c r="G82" i="37"/>
  <c r="G81" i="37"/>
  <c r="G78" i="37"/>
  <c r="G80" i="37"/>
  <c r="G65" i="37"/>
  <c r="G66" i="37"/>
  <c r="F66" i="37"/>
  <c r="F65" i="37"/>
  <c r="F35" i="38"/>
  <c r="F36" i="38"/>
  <c r="F37" i="38"/>
  <c r="F38" i="38"/>
  <c r="F39" i="38"/>
  <c r="F40" i="38"/>
  <c r="F41" i="38"/>
  <c r="E49" i="38"/>
  <c r="K65" i="38" s="1"/>
  <c r="F34" i="38"/>
  <c r="E53" i="38"/>
  <c r="F19" i="38"/>
  <c r="F45" i="38"/>
  <c r="F26" i="38"/>
  <c r="E51" i="38"/>
  <c r="F23" i="38"/>
  <c r="F32" i="38"/>
  <c r="F43" i="38"/>
  <c r="E43" i="18"/>
  <c r="K61" i="18" s="1"/>
  <c r="K63" i="18" s="1"/>
  <c r="H109" i="37" l="1"/>
  <c r="H111" i="37"/>
  <c r="H110" i="37"/>
  <c r="H107" i="37"/>
  <c r="H97" i="37"/>
  <c r="H98" i="37"/>
  <c r="H96" i="37"/>
  <c r="H99" i="37"/>
  <c r="H92" i="37"/>
  <c r="H104" i="37"/>
  <c r="H86" i="37"/>
  <c r="H102" i="37"/>
  <c r="H93" i="37"/>
  <c r="H95" i="37"/>
  <c r="H87" i="37"/>
  <c r="H105" i="37"/>
  <c r="H103" i="37"/>
  <c r="H89" i="37"/>
  <c r="H91" i="37"/>
  <c r="H90" i="37"/>
  <c r="H108" i="37"/>
  <c r="H94" i="37"/>
  <c r="H88" i="37"/>
  <c r="H101" i="37"/>
  <c r="H106" i="37"/>
  <c r="H100" i="37"/>
  <c r="F112" i="37"/>
  <c r="G112" i="37"/>
  <c r="H68" i="37"/>
  <c r="H75" i="37"/>
  <c r="H71" i="37"/>
  <c r="H72" i="37"/>
  <c r="H70" i="37"/>
  <c r="H67" i="37"/>
  <c r="H84" i="37"/>
  <c r="H69" i="37"/>
  <c r="H74" i="37"/>
  <c r="H73" i="37"/>
  <c r="H82" i="37"/>
  <c r="H83" i="37"/>
  <c r="H80" i="37"/>
  <c r="H78" i="37"/>
  <c r="H85" i="37"/>
  <c r="H76" i="37"/>
  <c r="H79" i="37"/>
  <c r="H81" i="37"/>
  <c r="H77" i="37"/>
  <c r="K69" i="38"/>
  <c r="K67" i="38"/>
  <c r="H65" i="37"/>
  <c r="H66" i="37"/>
  <c r="F47" i="38"/>
  <c r="E47" i="18"/>
  <c r="I98" i="37" l="1"/>
  <c r="I90" i="37"/>
  <c r="I99" i="37"/>
  <c r="I103" i="37"/>
  <c r="I107" i="37"/>
  <c r="I88" i="37"/>
  <c r="I102" i="37"/>
  <c r="I100" i="37"/>
  <c r="I97" i="37"/>
  <c r="I111" i="37"/>
  <c r="I108" i="37"/>
  <c r="I104" i="37"/>
  <c r="I109" i="37"/>
  <c r="I110" i="37"/>
  <c r="I96" i="37"/>
  <c r="I93" i="37"/>
  <c r="I92" i="37"/>
  <c r="I86" i="37"/>
  <c r="I95" i="37"/>
  <c r="I101" i="37"/>
  <c r="I87" i="37"/>
  <c r="I91" i="37"/>
  <c r="I89" i="37"/>
  <c r="I106" i="37"/>
  <c r="I105" i="37"/>
  <c r="I94" i="37"/>
  <c r="C110" i="37"/>
  <c r="B110" i="37"/>
  <c r="C111" i="37"/>
  <c r="C109" i="37"/>
  <c r="C90" i="37"/>
  <c r="B111" i="37"/>
  <c r="B109" i="37"/>
  <c r="B97" i="37"/>
  <c r="B104" i="37"/>
  <c r="B102" i="37"/>
  <c r="B99" i="37"/>
  <c r="B90" i="37"/>
  <c r="B89" i="37"/>
  <c r="C89" i="37"/>
  <c r="C91" i="37"/>
  <c r="C94" i="37"/>
  <c r="C106" i="37"/>
  <c r="B91" i="37"/>
  <c r="C101" i="37"/>
  <c r="C86" i="37"/>
  <c r="B94" i="37"/>
  <c r="C87" i="37"/>
  <c r="B92" i="37"/>
  <c r="C104" i="37"/>
  <c r="B105" i="37"/>
  <c r="C96" i="37"/>
  <c r="C105" i="37"/>
  <c r="B98" i="37"/>
  <c r="B108" i="37"/>
  <c r="C102" i="37"/>
  <c r="B95" i="37"/>
  <c r="C93" i="37"/>
  <c r="B101" i="37"/>
  <c r="C99" i="37"/>
  <c r="B96" i="37"/>
  <c r="B87" i="37"/>
  <c r="B106" i="37"/>
  <c r="B86" i="37"/>
  <c r="C97" i="37"/>
  <c r="B88" i="37"/>
  <c r="B107" i="37"/>
  <c r="B103" i="37"/>
  <c r="B100" i="37"/>
  <c r="C92" i="37"/>
  <c r="B93" i="37"/>
  <c r="C98" i="37"/>
  <c r="C100" i="37"/>
  <c r="C107" i="37"/>
  <c r="C88" i="37"/>
  <c r="C95" i="37"/>
  <c r="C103" i="37"/>
  <c r="C108" i="37"/>
  <c r="H112" i="37"/>
  <c r="I78" i="37"/>
  <c r="I80" i="37"/>
  <c r="I73" i="37"/>
  <c r="I69" i="37"/>
  <c r="I68" i="37"/>
  <c r="I67" i="37"/>
  <c r="I70" i="37"/>
  <c r="I75" i="37"/>
  <c r="I72" i="37"/>
  <c r="I82" i="37"/>
  <c r="I74" i="37"/>
  <c r="I84" i="37"/>
  <c r="I81" i="37"/>
  <c r="I71" i="37"/>
  <c r="I76" i="37"/>
  <c r="I85" i="37"/>
  <c r="I83" i="37"/>
  <c r="I79" i="37"/>
  <c r="I77" i="37"/>
  <c r="C83" i="37"/>
  <c r="C74" i="37"/>
  <c r="C76" i="37"/>
  <c r="C73" i="37"/>
  <c r="C69" i="37"/>
  <c r="C70" i="37"/>
  <c r="C71" i="37"/>
  <c r="C85" i="37"/>
  <c r="C67" i="37"/>
  <c r="C79" i="37"/>
  <c r="C68" i="37"/>
  <c r="C72" i="37"/>
  <c r="C75" i="37"/>
  <c r="C84" i="37"/>
  <c r="C77" i="37"/>
  <c r="B84" i="37"/>
  <c r="B78" i="37"/>
  <c r="B77" i="37"/>
  <c r="B68" i="37"/>
  <c r="B73" i="37"/>
  <c r="B83" i="37"/>
  <c r="B67" i="37"/>
  <c r="B82" i="37"/>
  <c r="B72" i="37"/>
  <c r="B76" i="37"/>
  <c r="B71" i="37"/>
  <c r="B69" i="37"/>
  <c r="B75" i="37"/>
  <c r="B74" i="37"/>
  <c r="B70" i="37"/>
  <c r="B81" i="37"/>
  <c r="B80" i="37"/>
  <c r="B79" i="37"/>
  <c r="B85" i="37"/>
  <c r="C80" i="37"/>
  <c r="C78" i="37"/>
  <c r="C81" i="37"/>
  <c r="C82" i="37"/>
  <c r="I66" i="37"/>
  <c r="I65" i="37"/>
  <c r="B65" i="37"/>
  <c r="B66" i="37"/>
  <c r="C65" i="37"/>
  <c r="C66" i="37"/>
  <c r="I2" i="31"/>
  <c r="E49" i="18"/>
  <c r="F35" i="18"/>
  <c r="F36" i="18"/>
  <c r="F37" i="18"/>
  <c r="F38" i="18"/>
  <c r="F39" i="18"/>
  <c r="F40" i="18"/>
  <c r="F41" i="18"/>
  <c r="F34" i="18"/>
  <c r="F42" i="18"/>
  <c r="E51" i="18"/>
  <c r="F45" i="18"/>
  <c r="F19" i="18"/>
  <c r="F23" i="18"/>
  <c r="F26" i="18"/>
  <c r="E53" i="18"/>
  <c r="F32" i="18"/>
  <c r="F43" i="18"/>
  <c r="D111" i="37" l="1"/>
  <c r="D109" i="37"/>
  <c r="D110" i="37"/>
  <c r="D97" i="37"/>
  <c r="D95" i="37"/>
  <c r="D93" i="37"/>
  <c r="D99" i="37"/>
  <c r="D107" i="37"/>
  <c r="D98" i="37"/>
  <c r="D104" i="37"/>
  <c r="D96" i="37"/>
  <c r="D86" i="37"/>
  <c r="D92" i="37"/>
  <c r="D102" i="37"/>
  <c r="D103" i="37"/>
  <c r="D91" i="37"/>
  <c r="D105" i="37"/>
  <c r="D106" i="37"/>
  <c r="D108" i="37"/>
  <c r="D88" i="37"/>
  <c r="D94" i="37"/>
  <c r="D89" i="37"/>
  <c r="D101" i="37"/>
  <c r="D90" i="37"/>
  <c r="D87" i="37"/>
  <c r="D100" i="37"/>
  <c r="B112" i="37"/>
  <c r="I112" i="37"/>
  <c r="C112" i="37"/>
  <c r="D74" i="37"/>
  <c r="D71" i="37"/>
  <c r="D68" i="37"/>
  <c r="D73" i="37"/>
  <c r="D84" i="37"/>
  <c r="D75" i="37"/>
  <c r="D67" i="37"/>
  <c r="D72" i="37"/>
  <c r="D70" i="37"/>
  <c r="D69" i="37"/>
  <c r="D77" i="37"/>
  <c r="D79" i="37"/>
  <c r="D85" i="37"/>
  <c r="D76" i="37"/>
  <c r="D80" i="37"/>
  <c r="D81" i="37"/>
  <c r="D83" i="37"/>
  <c r="D78" i="37"/>
  <c r="D82" i="37"/>
  <c r="D65" i="37"/>
  <c r="D66" i="37"/>
  <c r="K65" i="37"/>
  <c r="I11" i="31"/>
  <c r="K73" i="37" s="1"/>
  <c r="K69" i="18"/>
  <c r="K67" i="18"/>
  <c r="K65" i="18"/>
  <c r="I4" i="31"/>
  <c r="K66" i="37" s="1"/>
  <c r="I3" i="31"/>
  <c r="F47" i="18"/>
  <c r="E100" i="37" l="1"/>
  <c r="E94" i="37"/>
  <c r="E103" i="37"/>
  <c r="E108" i="37"/>
  <c r="E102" i="37"/>
  <c r="E111" i="37"/>
  <c r="E92" i="37"/>
  <c r="E96" i="37"/>
  <c r="E97" i="37"/>
  <c r="E109" i="37"/>
  <c r="E91" i="37"/>
  <c r="E88" i="37"/>
  <c r="E86" i="37"/>
  <c r="E110" i="37"/>
  <c r="E107" i="37"/>
  <c r="E95" i="37"/>
  <c r="E104" i="37"/>
  <c r="E93" i="37"/>
  <c r="E98" i="37"/>
  <c r="E99" i="37"/>
  <c r="E90" i="37"/>
  <c r="E101" i="37"/>
  <c r="E106" i="37"/>
  <c r="E87" i="37"/>
  <c r="E105" i="37"/>
  <c r="E89" i="37"/>
  <c r="D112" i="37"/>
  <c r="E73" i="37"/>
  <c r="E69" i="37"/>
  <c r="E71" i="37"/>
  <c r="E67" i="37"/>
  <c r="E70" i="37"/>
  <c r="E68" i="37"/>
  <c r="E72" i="37"/>
  <c r="E75" i="37"/>
  <c r="E82" i="37"/>
  <c r="E81" i="37"/>
  <c r="E85" i="37"/>
  <c r="E84" i="37"/>
  <c r="E74" i="37"/>
  <c r="K68" i="37"/>
  <c r="E79" i="37"/>
  <c r="E78" i="37"/>
  <c r="E80" i="37"/>
  <c r="E77" i="37"/>
  <c r="E83" i="37"/>
  <c r="E76" i="37"/>
  <c r="E65" i="37"/>
  <c r="M65" i="37" s="1"/>
  <c r="E66" i="37"/>
  <c r="M66" i="37" s="1"/>
  <c r="M111" i="37" l="1"/>
  <c r="N111" i="37" s="1"/>
  <c r="M96" i="37"/>
  <c r="N96" i="37" s="1"/>
  <c r="M84" i="37"/>
  <c r="N84" i="37" s="1"/>
  <c r="M107" i="37"/>
  <c r="N107" i="37" s="1"/>
  <c r="M85" i="37"/>
  <c r="N85" i="37" s="1"/>
  <c r="M71" i="37"/>
  <c r="N71" i="37" s="1"/>
  <c r="M101" i="37"/>
  <c r="N101" i="37" s="1"/>
  <c r="M110" i="37"/>
  <c r="N110" i="37" s="1"/>
  <c r="M77" i="37"/>
  <c r="N77" i="37" s="1"/>
  <c r="M81" i="37"/>
  <c r="N81" i="37" s="1"/>
  <c r="M69" i="37"/>
  <c r="N69" i="37" s="1"/>
  <c r="M90" i="37"/>
  <c r="N90" i="37" s="1"/>
  <c r="M86" i="37"/>
  <c r="N86" i="37" s="1"/>
  <c r="M102" i="37"/>
  <c r="N102" i="37" s="1"/>
  <c r="M95" i="37"/>
  <c r="N95" i="37" s="1"/>
  <c r="M76" i="37"/>
  <c r="N76" i="37" s="1"/>
  <c r="M106" i="37"/>
  <c r="N106" i="37" s="1"/>
  <c r="M83" i="37"/>
  <c r="N83" i="37" s="1"/>
  <c r="M73" i="37"/>
  <c r="N73" i="37" s="1"/>
  <c r="M108" i="37"/>
  <c r="N108" i="37" s="1"/>
  <c r="M70" i="37"/>
  <c r="N70" i="37" s="1"/>
  <c r="M103" i="37"/>
  <c r="N103" i="37" s="1"/>
  <c r="M74" i="37"/>
  <c r="N74" i="37" s="1"/>
  <c r="M87" i="37"/>
  <c r="N87" i="37" s="1"/>
  <c r="M67" i="37"/>
  <c r="N67" i="37" s="1"/>
  <c r="M92" i="37"/>
  <c r="N92" i="37" s="1"/>
  <c r="M80" i="37"/>
  <c r="N80" i="37" s="1"/>
  <c r="M82" i="37"/>
  <c r="N82" i="37" s="1"/>
  <c r="M99" i="37"/>
  <c r="N99" i="37" s="1"/>
  <c r="M88" i="37"/>
  <c r="N88" i="37" s="1"/>
  <c r="M78" i="37"/>
  <c r="N78" i="37" s="1"/>
  <c r="M75" i="37"/>
  <c r="N75" i="37" s="1"/>
  <c r="M98" i="37"/>
  <c r="N98" i="37" s="1"/>
  <c r="M91" i="37"/>
  <c r="N91" i="37" s="1"/>
  <c r="M79" i="37"/>
  <c r="N79" i="37" s="1"/>
  <c r="M72" i="37"/>
  <c r="N72" i="37" s="1"/>
  <c r="M89" i="37"/>
  <c r="N89" i="37" s="1"/>
  <c r="M93" i="37"/>
  <c r="N93" i="37" s="1"/>
  <c r="M109" i="37"/>
  <c r="N109" i="37" s="1"/>
  <c r="M94" i="37"/>
  <c r="N94" i="37" s="1"/>
  <c r="M68" i="37"/>
  <c r="N68" i="37" s="1"/>
  <c r="M105" i="37"/>
  <c r="N105" i="37" s="1"/>
  <c r="M104" i="37"/>
  <c r="N104" i="37" s="1"/>
  <c r="M97" i="37"/>
  <c r="N97" i="37" s="1"/>
  <c r="M100" i="37"/>
  <c r="N100" i="37" s="1"/>
  <c r="K112" i="37"/>
  <c r="E112" i="37"/>
  <c r="N66" i="37"/>
  <c r="N65" i="37"/>
  <c r="M112" i="37" l="1"/>
  <c r="P1" i="37" s="1"/>
  <c r="P2" i="37" s="1"/>
  <c r="P3" i="37" s="1"/>
  <c r="N112" i="37"/>
</calcChain>
</file>

<file path=xl/sharedStrings.xml><?xml version="1.0" encoding="utf-8"?>
<sst xmlns="http://schemas.openxmlformats.org/spreadsheetml/2006/main" count="8550" uniqueCount="945">
  <si>
    <t>Naam opdrachtgever</t>
  </si>
  <si>
    <t>Calculatie onderdeel</t>
  </si>
  <si>
    <t>Gebouw/plaats</t>
  </si>
  <si>
    <t>Referentie nummer</t>
  </si>
  <si>
    <t>Invoervelden</t>
  </si>
  <si>
    <t>Minimale taakgrootte</t>
  </si>
  <si>
    <t>EINDTOTAAL KOSTEN PER JAAR  EXCLUSIEF BTW         INSCHRIJVINGSBEDRAG</t>
  </si>
  <si>
    <t>uur per dag</t>
  </si>
  <si>
    <t>B.T.W.</t>
  </si>
  <si>
    <t>Gemeente Zoetermeer</t>
  </si>
  <si>
    <t>Totale kosten per jaar inclusief B.T.W.</t>
  </si>
  <si>
    <t>Toezicht percentage</t>
  </si>
  <si>
    <t>Diversen Zoetermeer</t>
  </si>
  <si>
    <t>per prod. Uur</t>
  </si>
  <si>
    <t>MAXIMALE BOVENGRENS PLAFONDBEDRAG INSCHRIJVINGSBEDRAG excl. BTW</t>
  </si>
  <si>
    <t>2025-045275 </t>
  </si>
  <si>
    <t>MAXIMALE ONDERGRENS INSCHRIJVINGSBEDRAG excl. BTW</t>
  </si>
  <si>
    <t>Naam dienstverlener</t>
  </si>
  <si>
    <t>Prijspeil</t>
  </si>
  <si>
    <t>Versie</t>
  </si>
  <si>
    <t>Aanbesteding</t>
  </si>
  <si>
    <t>Locatie</t>
  </si>
  <si>
    <t>Totaal m2</t>
  </si>
  <si>
    <t>Locatie factor</t>
  </si>
  <si>
    <t>Hoogste frequentie ma t/m vr</t>
  </si>
  <si>
    <t>Hoogste frequentie ma t/m vr naloop</t>
  </si>
  <si>
    <t>Hoogste frequentie za - zo</t>
  </si>
  <si>
    <t>Productie uren ma t/m vr</t>
  </si>
  <si>
    <t>Productie uren ma t/m vr naloop</t>
  </si>
  <si>
    <t>Productie uren za - zo</t>
  </si>
  <si>
    <t>Uren minimale taakgrootte ma t/m vrij</t>
  </si>
  <si>
    <t>Uren minimale taakgrootte ma t/m vrij naloop</t>
  </si>
  <si>
    <t>Uren minimale taakgrootte za - zo</t>
  </si>
  <si>
    <t>Toezicht uren per jaar ma t/m vr</t>
  </si>
  <si>
    <t>Toezicht uren per jaar ma t/m vr naloop</t>
  </si>
  <si>
    <t>Toezicht uren per jaar za - zo</t>
  </si>
  <si>
    <t>Bijdorplaan 471-477 2713 SZ</t>
  </si>
  <si>
    <t>Broekwegschouw 199 2726 LC</t>
  </si>
  <si>
    <t>Hoflaan 2 2717 AW</t>
  </si>
  <si>
    <t>Nathaliegang 81 2719 CR</t>
  </si>
  <si>
    <t>Nathaliegang 79 2719 CR</t>
  </si>
  <si>
    <t>Oosterheemplein 198 2729 GE</t>
  </si>
  <si>
    <t>Uiterwaard 21-31 2716 VA</t>
  </si>
  <si>
    <t>Petuniatuin 7a 2724 NB</t>
  </si>
  <si>
    <t>Croesinckplein 24-26</t>
  </si>
  <si>
    <t>Fonteinbos 1b</t>
  </si>
  <si>
    <t>Boerhavelaan</t>
  </si>
  <si>
    <t>Carmenschouw 9, 2726 KG</t>
  </si>
  <si>
    <t>Cesar Franckrode 60a, 2717 BG</t>
  </si>
  <si>
    <t>Den Brabanderhove 20, 2717 WJ</t>
  </si>
  <si>
    <t>Fivelingo 88, 2716 BG</t>
  </si>
  <si>
    <t>Forelsloot 5, 2724 CA</t>
  </si>
  <si>
    <t>Groenblauwlaan 121, 2718 GH</t>
  </si>
  <si>
    <t>Hodenpijlstraat 12, 2729 EA</t>
  </si>
  <si>
    <t>Irisvaart 10, 2724 TT</t>
  </si>
  <si>
    <t>Kadelaan 206, 2725 BR</t>
  </si>
  <si>
    <t>Kerkenbos 10, 2715 RP</t>
  </si>
  <si>
    <t>Kerkenbos 30, 2715 RP</t>
  </si>
  <si>
    <t>Kruiswater 197, 2715 EP</t>
  </si>
  <si>
    <t>Lijnbaan 311, 2728 AG</t>
  </si>
  <si>
    <t>Nesciohove 115, 2726 BL</t>
  </si>
  <si>
    <t>Schansbos 7, 2716 GV</t>
  </si>
  <si>
    <t>Steeneikzoom 3, 2719 HN</t>
  </si>
  <si>
    <t>Doornenplantsoen v. 21, 2722 ZA</t>
  </si>
  <si>
    <t>Velddreef 84, 2727 CM</t>
  </si>
  <si>
    <t>Velddreef 330, 2727 CV</t>
  </si>
  <si>
    <t>Willem Alexanderplantsoen 4-6, 2713 VM</t>
  </si>
  <si>
    <t>Rakkersveld 137, 2722 BN</t>
  </si>
  <si>
    <t>Rakkersveld 147, 2722 BN</t>
  </si>
  <si>
    <t>Rakkersveld 249-251, 2722 BN</t>
  </si>
  <si>
    <t>Rakkersveld 253, 2722 BN</t>
  </si>
  <si>
    <t>Rakkersveld 255, 2722 BN</t>
  </si>
  <si>
    <t>Spitsbergen 1, 2721 GP</t>
  </si>
  <si>
    <t>Zanzibarplein 5, 2721 GE</t>
  </si>
  <si>
    <t>Zanzibarplein 20, 2721 GE</t>
  </si>
  <si>
    <t>Rakkersveld 139, 2722 BN</t>
  </si>
  <si>
    <t>Buytenparklaan 6, 2717 AX</t>
  </si>
  <si>
    <t>Amerikaweg 135, 2717 AV</t>
  </si>
  <si>
    <t>Prismalaan 40, 2718 CX</t>
  </si>
  <si>
    <t>v Stolberglaan 1, 2712 RB</t>
  </si>
  <si>
    <t>Vd Hagenstraat 23 a</t>
  </si>
  <si>
    <t>Vd Hagenstraat 19</t>
  </si>
  <si>
    <t>Amsterdamstraat 5</t>
  </si>
  <si>
    <t>Totaal</t>
  </si>
  <si>
    <t>Kosten productie per jaar ma t/m vr incl minimale taakgrootte</t>
  </si>
  <si>
    <t>Kosten productie per jaar ma t/m vr naloop incl minimale taakgrootte</t>
  </si>
  <si>
    <t>Kosten productie per jaar za - zo incl minimale taakgrootte</t>
  </si>
  <si>
    <t>Totale kosten productie per jaar</t>
  </si>
  <si>
    <t xml:space="preserve">Kosten toezicht per jaar ma t/m vr </t>
  </si>
  <si>
    <t>Kosten toezicht per jaar ma t/m vr naloop</t>
  </si>
  <si>
    <t>Kosten toezicht per jaar za - zo</t>
  </si>
  <si>
    <t>Totale kosten toezicht per jaar</t>
  </si>
  <si>
    <t>Kosten vloeronderhoud per jaar</t>
  </si>
  <si>
    <t>Kosten Additioneel per jaar</t>
  </si>
  <si>
    <t>Kosten glasbewassing per jaar</t>
  </si>
  <si>
    <t>Totaal kosten per jaar excl. btw</t>
  </si>
  <si>
    <t>Totaal kosten per maand excl. btw</t>
  </si>
  <si>
    <t>Gewogen prestatie</t>
  </si>
  <si>
    <t>m2/uur</t>
  </si>
  <si>
    <t>Frequentie van uitvoering (per jaar):</t>
  </si>
  <si>
    <t>Ruimtecategorie</t>
  </si>
  <si>
    <t>Prestatienorm in aantal m2 per uur</t>
  </si>
  <si>
    <t>M2 Totaal</t>
  </si>
  <si>
    <t>Naloop opslag ma-vr</t>
  </si>
  <si>
    <t>Weekend / feestdag opslag</t>
  </si>
  <si>
    <t>Administratieve ruimten</t>
  </si>
  <si>
    <t>Sanitaire ruimten</t>
  </si>
  <si>
    <t>Entree</t>
  </si>
  <si>
    <t>Gangen en hallen</t>
  </si>
  <si>
    <t>Keuken</t>
  </si>
  <si>
    <t>Aula/kantine</t>
  </si>
  <si>
    <t>Kleedruimten</t>
  </si>
  <si>
    <t>Vergader-/spreekruimten</t>
  </si>
  <si>
    <t>Opslagruimte</t>
  </si>
  <si>
    <t>Gymzalen</t>
  </si>
  <si>
    <t>Gemeenschappelijke ruimten</t>
  </si>
  <si>
    <t>Trappenhuizen</t>
  </si>
  <si>
    <t>Liften</t>
  </si>
  <si>
    <t>Behandelkamer</t>
  </si>
  <si>
    <t>Doucheruimten</t>
  </si>
  <si>
    <t>Leslokalen</t>
  </si>
  <si>
    <t>Pantry/koffiecorner</t>
  </si>
  <si>
    <t>Restaurant/kantine</t>
  </si>
  <si>
    <t>Toestelberging</t>
  </si>
  <si>
    <t>Niet van toepassing</t>
  </si>
  <si>
    <t>Kolom voor matrix</t>
  </si>
  <si>
    <t>Frequentie verklaring</t>
  </si>
  <si>
    <t>Freq</t>
  </si>
  <si>
    <t>Kolom</t>
  </si>
  <si>
    <t>4x per jaar</t>
  </si>
  <si>
    <t>1x per week (niet in zomervakantie)</t>
  </si>
  <si>
    <t>1x per week (52 weken)</t>
  </si>
  <si>
    <t>2x per week (niet in schoolvakanties)</t>
  </si>
  <si>
    <t>2x per week (52 weken)</t>
  </si>
  <si>
    <t>5x per week (van 1 maart - 1 november niet in de schoolvakanties)</t>
  </si>
  <si>
    <t>3x per week (52 weken)</t>
  </si>
  <si>
    <t>5x per week (niet in schoolvakanties)</t>
  </si>
  <si>
    <t>4 x per week (52 weken ma t/m do)</t>
  </si>
  <si>
    <t>5 x per week (niet in zomervakantie)</t>
  </si>
  <si>
    <t>5 x per week (52 weken)</t>
  </si>
  <si>
    <t>Frequentie verklaring weekenden</t>
  </si>
  <si>
    <t>zatedag (niet in zomervakantie)</t>
  </si>
  <si>
    <t>zaterdag en zondag in periode 1 sept tm 1 april</t>
  </si>
  <si>
    <t>zaterdag en zondag (niet in zomervakantie)</t>
  </si>
  <si>
    <t>% van reguliere norm</t>
  </si>
  <si>
    <t>Adres</t>
  </si>
  <si>
    <t>Plaats</t>
  </si>
  <si>
    <t>onderscheid</t>
  </si>
  <si>
    <t>Verdieping</t>
  </si>
  <si>
    <t>Ruimte nummer</t>
  </si>
  <si>
    <t>Ruimteomschrijving opdrachtgever</t>
  </si>
  <si>
    <t>Ruimte categorie</t>
  </si>
  <si>
    <t>Vloer soort</t>
  </si>
  <si>
    <t xml:space="preserve">M2 vloer </t>
  </si>
  <si>
    <t>Totaal frequentie</t>
  </si>
  <si>
    <t>Freq. ma-vr</t>
  </si>
  <si>
    <t>Freq. ma-vr naloop</t>
  </si>
  <si>
    <t xml:space="preserve">Freq zat - zon </t>
  </si>
  <si>
    <t>Uren p/j ma t/m vrij</t>
  </si>
  <si>
    <t>Uren p/j ma t/m vrij naloop</t>
  </si>
  <si>
    <t>Uren p/j zat - zon</t>
  </si>
  <si>
    <t>Norm ma t/m vr</t>
  </si>
  <si>
    <t>Bijzonderheden / opmerkingen</t>
  </si>
  <si>
    <t>M2 per jaar</t>
  </si>
  <si>
    <t>Sociaal Cultureel</t>
  </si>
  <si>
    <t>Zoetermeer</t>
  </si>
  <si>
    <t>Ontmoetingsruimte</t>
  </si>
  <si>
    <t>bgg</t>
  </si>
  <si>
    <t>tochtportaal</t>
  </si>
  <si>
    <t>schoonloop</t>
  </si>
  <si>
    <t>Gang en Hal</t>
  </si>
  <si>
    <t>vinyl</t>
  </si>
  <si>
    <t>administratie ruimte</t>
  </si>
  <si>
    <t>tapijt</t>
  </si>
  <si>
    <t>zaal1</t>
  </si>
  <si>
    <t>zaal 2</t>
  </si>
  <si>
    <t>zaal 3</t>
  </si>
  <si>
    <t>zaal 4</t>
  </si>
  <si>
    <t>bar</t>
  </si>
  <si>
    <t>tegels</t>
  </si>
  <si>
    <t>0.10</t>
  </si>
  <si>
    <t>keuken</t>
  </si>
  <si>
    <t>0.11</t>
  </si>
  <si>
    <t>Sanitaire ruimte</t>
  </si>
  <si>
    <t>gietvloer</t>
  </si>
  <si>
    <t>beton</t>
  </si>
  <si>
    <t>lokaal</t>
  </si>
  <si>
    <t>entree</t>
  </si>
  <si>
    <t>Begraafplaats</t>
  </si>
  <si>
    <t>portaal</t>
  </si>
  <si>
    <t>Bibliotheek</t>
  </si>
  <si>
    <t>0.1</t>
  </si>
  <si>
    <t>Lino</t>
  </si>
  <si>
    <t>Vinyl</t>
  </si>
  <si>
    <t>0.2</t>
  </si>
  <si>
    <t>Pantry</t>
  </si>
  <si>
    <t>0.3</t>
  </si>
  <si>
    <t>Zaal</t>
  </si>
  <si>
    <t>0.4</t>
  </si>
  <si>
    <t>0.5</t>
  </si>
  <si>
    <t>Buffet</t>
  </si>
  <si>
    <t>Rubber</t>
  </si>
  <si>
    <t>0.6</t>
  </si>
  <si>
    <t>0.7</t>
  </si>
  <si>
    <t>0.8</t>
  </si>
  <si>
    <t>0.9</t>
  </si>
  <si>
    <t>Gang</t>
  </si>
  <si>
    <t>0.12</t>
  </si>
  <si>
    <t>Receptie</t>
  </si>
  <si>
    <t>0.13</t>
  </si>
  <si>
    <t>0.14</t>
  </si>
  <si>
    <t>Cafe</t>
  </si>
  <si>
    <t>0.15</t>
  </si>
  <si>
    <t>BG</t>
  </si>
  <si>
    <t>N3031</t>
  </si>
  <si>
    <t>lino en inloopmat</t>
  </si>
  <si>
    <t>N3023</t>
  </si>
  <si>
    <t>Algemene ruimte</t>
  </si>
  <si>
    <t>lino</t>
  </si>
  <si>
    <t>N3030</t>
  </si>
  <si>
    <t>gang</t>
  </si>
  <si>
    <t>N3034</t>
  </si>
  <si>
    <t>Spreekkamer</t>
  </si>
  <si>
    <t>N3033</t>
  </si>
  <si>
    <t>N3032</t>
  </si>
  <si>
    <t>Vergaderruimte</t>
  </si>
  <si>
    <t>N3029</t>
  </si>
  <si>
    <t>Miva toilet</t>
  </si>
  <si>
    <t>Tegels</t>
  </si>
  <si>
    <t>N3028</t>
  </si>
  <si>
    <t>Toilet</t>
  </si>
  <si>
    <t>N3024</t>
  </si>
  <si>
    <t>N3026</t>
  </si>
  <si>
    <t>N3020</t>
  </si>
  <si>
    <t>Kantoor</t>
  </si>
  <si>
    <t>Bg</t>
  </si>
  <si>
    <t>N3021</t>
  </si>
  <si>
    <t>N3022</t>
  </si>
  <si>
    <t>Kantoor/lokaal Inzet</t>
  </si>
  <si>
    <t>Lift</t>
  </si>
  <si>
    <t>Sanitair / Miva</t>
  </si>
  <si>
    <t>Opslag</t>
  </si>
  <si>
    <t>nio</t>
  </si>
  <si>
    <t>Trap</t>
  </si>
  <si>
    <t>Vervallen</t>
  </si>
  <si>
    <t>0.16</t>
  </si>
  <si>
    <t>0.17</t>
  </si>
  <si>
    <t>0.18</t>
  </si>
  <si>
    <t>0.19</t>
  </si>
  <si>
    <t>0.20</t>
  </si>
  <si>
    <t>Sanitair</t>
  </si>
  <si>
    <t>0.21</t>
  </si>
  <si>
    <t>Hal</t>
  </si>
  <si>
    <t>Containerruimte</t>
  </si>
  <si>
    <t>Garderobe</t>
  </si>
  <si>
    <t>Hout</t>
  </si>
  <si>
    <t>Meterkast</t>
  </si>
  <si>
    <t>1.1</t>
  </si>
  <si>
    <t>1.2</t>
  </si>
  <si>
    <t>1.3</t>
  </si>
  <si>
    <t>1.4</t>
  </si>
  <si>
    <t>1.5</t>
  </si>
  <si>
    <t>1.6</t>
  </si>
  <si>
    <t>1.7</t>
  </si>
  <si>
    <t>1.8</t>
  </si>
  <si>
    <t>1.9</t>
  </si>
  <si>
    <t>1.10</t>
  </si>
  <si>
    <t>Werkkast</t>
  </si>
  <si>
    <t>1.11</t>
  </si>
  <si>
    <t>1.12</t>
  </si>
  <si>
    <t>1.13</t>
  </si>
  <si>
    <t>1.14</t>
  </si>
  <si>
    <t>1.15</t>
  </si>
  <si>
    <t>1e</t>
  </si>
  <si>
    <t>1.16</t>
  </si>
  <si>
    <t>1.17</t>
  </si>
  <si>
    <t>Sanitaire ruimte / Miva</t>
  </si>
  <si>
    <t>1.18</t>
  </si>
  <si>
    <t>1.19</t>
  </si>
  <si>
    <t>1.20</t>
  </si>
  <si>
    <t>1.21</t>
  </si>
  <si>
    <t>1.22</t>
  </si>
  <si>
    <t>1.23</t>
  </si>
  <si>
    <t>1.24</t>
  </si>
  <si>
    <t>1.25</t>
  </si>
  <si>
    <t>1.26</t>
  </si>
  <si>
    <t>1.27</t>
  </si>
  <si>
    <t>Technische ruimte</t>
  </si>
  <si>
    <t>1.28</t>
  </si>
  <si>
    <t>0.01</t>
  </si>
  <si>
    <t>hal</t>
  </si>
  <si>
    <t>sanitaire ruimte</t>
  </si>
  <si>
    <t>Kantoor Welkom 2 B</t>
  </si>
  <si>
    <t>vr 0.01</t>
  </si>
  <si>
    <t>entree receptie B</t>
  </si>
  <si>
    <t>vr 0.02</t>
  </si>
  <si>
    <t>wk0.01</t>
  </si>
  <si>
    <t>Opslag/ printerruimte</t>
  </si>
  <si>
    <t>vr 0.03</t>
  </si>
  <si>
    <t>nvt</t>
  </si>
  <si>
    <t>lift</t>
  </si>
  <si>
    <t>bg</t>
  </si>
  <si>
    <t>Balie receptie B</t>
  </si>
  <si>
    <t>vr 0.04</t>
  </si>
  <si>
    <t>vr 0.05</t>
  </si>
  <si>
    <t>trappenhuis</t>
  </si>
  <si>
    <t>tr 0.01</t>
  </si>
  <si>
    <t>sanitair</t>
  </si>
  <si>
    <t>tr 0.02</t>
  </si>
  <si>
    <t>0.08</t>
  </si>
  <si>
    <t>marmoleum</t>
  </si>
  <si>
    <t>0.02</t>
  </si>
  <si>
    <t>0.03</t>
  </si>
  <si>
    <t>0.09</t>
  </si>
  <si>
    <t>vr 0.06</t>
  </si>
  <si>
    <t>entree receptie A</t>
  </si>
  <si>
    <t>vr 0.07</t>
  </si>
  <si>
    <t>0.13/0.14</t>
  </si>
  <si>
    <t>balie receptie A</t>
  </si>
  <si>
    <t>vr 0.08</t>
  </si>
  <si>
    <t>t.r0.03</t>
  </si>
  <si>
    <t>1.17 A</t>
  </si>
  <si>
    <t>administratie ruimte met behandelruimte</t>
  </si>
  <si>
    <t>Balie/ Receptie</t>
  </si>
  <si>
    <t>V 1.08</t>
  </si>
  <si>
    <t>Wachtruimte</t>
  </si>
  <si>
    <t>Berging, serverruimte</t>
  </si>
  <si>
    <t>vr 1.17</t>
  </si>
  <si>
    <t>1.39</t>
  </si>
  <si>
    <t>1.40</t>
  </si>
  <si>
    <t>1.31</t>
  </si>
  <si>
    <t>1.32</t>
  </si>
  <si>
    <t>1.33</t>
  </si>
  <si>
    <t>1.33a</t>
  </si>
  <si>
    <t>1.33b</t>
  </si>
  <si>
    <t>1.34</t>
  </si>
  <si>
    <t>1.35</t>
  </si>
  <si>
    <t>1.36</t>
  </si>
  <si>
    <t>1.37</t>
  </si>
  <si>
    <t>1.37a</t>
  </si>
  <si>
    <t>1.37b</t>
  </si>
  <si>
    <t>1.38</t>
  </si>
  <si>
    <t>1.38a</t>
  </si>
  <si>
    <t>1.41</t>
  </si>
  <si>
    <t>1.42</t>
  </si>
  <si>
    <t>1.43</t>
  </si>
  <si>
    <t>1.45</t>
  </si>
  <si>
    <t>1.47</t>
  </si>
  <si>
    <t>1.48</t>
  </si>
  <si>
    <t>1.49</t>
  </si>
  <si>
    <t>1.50</t>
  </si>
  <si>
    <t>1.51</t>
  </si>
  <si>
    <t>1.53</t>
  </si>
  <si>
    <t>1.54</t>
  </si>
  <si>
    <t>1.55</t>
  </si>
  <si>
    <t xml:space="preserve">1e </t>
  </si>
  <si>
    <t xml:space="preserve">vr 1.04 </t>
  </si>
  <si>
    <t>Vr 1.05</t>
  </si>
  <si>
    <t>Noodtrappenhuis</t>
  </si>
  <si>
    <t>metaal</t>
  </si>
  <si>
    <t>Vr 1.20</t>
  </si>
  <si>
    <t>Vr 1.21</t>
  </si>
  <si>
    <t>opslag</t>
  </si>
  <si>
    <t>Vr 1.22</t>
  </si>
  <si>
    <t>steen</t>
  </si>
  <si>
    <t>vr 1.06 tm 1.07</t>
  </si>
  <si>
    <t>vr 1.09 tm vr 1.19</t>
  </si>
  <si>
    <t>1.02</t>
  </si>
  <si>
    <t>pantry/keuken</t>
  </si>
  <si>
    <t>1.03</t>
  </si>
  <si>
    <t>tr 1.03</t>
  </si>
  <si>
    <t>tr 1.04</t>
  </si>
  <si>
    <t>tr 1.05</t>
  </si>
  <si>
    <t>tr 1.06</t>
  </si>
  <si>
    <t>tr 1.07</t>
  </si>
  <si>
    <t>tr 1.08</t>
  </si>
  <si>
    <t>tr 1.09</t>
  </si>
  <si>
    <t xml:space="preserve">2e </t>
  </si>
  <si>
    <t>201A</t>
  </si>
  <si>
    <t>201B</t>
  </si>
  <si>
    <t>202A</t>
  </si>
  <si>
    <t>202B</t>
  </si>
  <si>
    <t>212tm 215</t>
  </si>
  <si>
    <t>2.19/ 2.20</t>
  </si>
  <si>
    <t>2.21</t>
  </si>
  <si>
    <t>2.22</t>
  </si>
  <si>
    <t>2.23</t>
  </si>
  <si>
    <t>2.24</t>
  </si>
  <si>
    <t>2.25</t>
  </si>
  <si>
    <t>2.26</t>
  </si>
  <si>
    <t>2.29 a</t>
  </si>
  <si>
    <t>2.29 b</t>
  </si>
  <si>
    <t>2.29 c</t>
  </si>
  <si>
    <t>230 a</t>
  </si>
  <si>
    <t>235 a</t>
  </si>
  <si>
    <t>236 a</t>
  </si>
  <si>
    <t>236 b</t>
  </si>
  <si>
    <t>237 a</t>
  </si>
  <si>
    <t>2.39</t>
  </si>
  <si>
    <t>2.39 a</t>
  </si>
  <si>
    <t>240 tm 243</t>
  </si>
  <si>
    <t>2.42</t>
  </si>
  <si>
    <t>Serverruimte</t>
  </si>
  <si>
    <t>246/ 2.47</t>
  </si>
  <si>
    <t>247 A</t>
  </si>
  <si>
    <t>248A</t>
  </si>
  <si>
    <t xml:space="preserve">printerruimte </t>
  </si>
  <si>
    <t>pt 2.26</t>
  </si>
  <si>
    <t xml:space="preserve"> pt 2.01</t>
  </si>
  <si>
    <t xml:space="preserve"> pt 2.02</t>
  </si>
  <si>
    <t>vr 2.01</t>
  </si>
  <si>
    <t>Trappenhuis</t>
  </si>
  <si>
    <t>vr 2.05</t>
  </si>
  <si>
    <t>vr 2.05a</t>
  </si>
  <si>
    <t>vr 2.02 tm vr 2.04</t>
  </si>
  <si>
    <t xml:space="preserve">gangen </t>
  </si>
  <si>
    <t>2.05</t>
  </si>
  <si>
    <t xml:space="preserve">Time Out </t>
  </si>
  <si>
    <t>2.06</t>
  </si>
  <si>
    <t xml:space="preserve"> vr 2.07 tm vr 2.14 </t>
  </si>
  <si>
    <t>vr 2.15</t>
  </si>
  <si>
    <t>tr 2.01</t>
  </si>
  <si>
    <t>tr 2.02</t>
  </si>
  <si>
    <t>tr 2.03</t>
  </si>
  <si>
    <t>tr 2.04</t>
  </si>
  <si>
    <t>tr 2.05</t>
  </si>
  <si>
    <t>tr 2.06</t>
  </si>
  <si>
    <t>tr 2.07</t>
  </si>
  <si>
    <t>1 t/m 8</t>
  </si>
  <si>
    <t>Lino /Inloopmat</t>
  </si>
  <si>
    <t>Berging</t>
  </si>
  <si>
    <t>opkpmstruimte</t>
  </si>
  <si>
    <t>Politiebureau</t>
  </si>
  <si>
    <t>Pantry met 3 aanrichten</t>
  </si>
  <si>
    <t>vuilafvoer</t>
  </si>
  <si>
    <t xml:space="preserve">zaal </t>
  </si>
  <si>
    <t>afval verzamelen en afvoeren</t>
  </si>
  <si>
    <t>Sportlocatie</t>
  </si>
  <si>
    <t>Gymzaal</t>
  </si>
  <si>
    <t>Kleedruimte</t>
  </si>
  <si>
    <t>Toestel berging</t>
  </si>
  <si>
    <t>sportzaal</t>
  </si>
  <si>
    <t>sportvloer, PU</t>
  </si>
  <si>
    <t>kleedruimte</t>
  </si>
  <si>
    <t>Sportzaal</t>
  </si>
  <si>
    <t>sportvloer</t>
  </si>
  <si>
    <t xml:space="preserve">0.1 </t>
  </si>
  <si>
    <t>gang/hal</t>
  </si>
  <si>
    <t>Kleed/ en doucheruimte</t>
  </si>
  <si>
    <t>Sportzaal/toestelberging</t>
  </si>
  <si>
    <t>kleedkamer/douche man</t>
  </si>
  <si>
    <t>Sportvloer, PU</t>
  </si>
  <si>
    <t>entree/gang</t>
  </si>
  <si>
    <t>schoonlo/tegels</t>
  </si>
  <si>
    <t>Sportzaal/toestel b.</t>
  </si>
  <si>
    <t>kleedruimt/sanitaire</t>
  </si>
  <si>
    <t>pantry</t>
  </si>
  <si>
    <t>sportvloer PU</t>
  </si>
  <si>
    <t>toestel berging</t>
  </si>
  <si>
    <t>sportvloer, vinyl</t>
  </si>
  <si>
    <t>sportzaal/toestel.b</t>
  </si>
  <si>
    <t>inloop/tegels</t>
  </si>
  <si>
    <t>sportzaal/toestel b.</t>
  </si>
  <si>
    <t>inloopmat</t>
  </si>
  <si>
    <t>kantoor</t>
  </si>
  <si>
    <t>sportvloer. PU</t>
  </si>
  <si>
    <t>entree /hal</t>
  </si>
  <si>
    <t>berging</t>
  </si>
  <si>
    <t>inloop/lino</t>
  </si>
  <si>
    <t>sportvloer/toestel.b</t>
  </si>
  <si>
    <t>hal/gang</t>
  </si>
  <si>
    <t>kleedkamer</t>
  </si>
  <si>
    <t>sanitarie ruimte</t>
  </si>
  <si>
    <t>Verkeersruimte</t>
  </si>
  <si>
    <t>0.22</t>
  </si>
  <si>
    <t>0.23</t>
  </si>
  <si>
    <t>0.24</t>
  </si>
  <si>
    <t>0.25</t>
  </si>
  <si>
    <t>0.26</t>
  </si>
  <si>
    <t>0.27</t>
  </si>
  <si>
    <t>0.28</t>
  </si>
  <si>
    <t>0.29</t>
  </si>
  <si>
    <t>0.30</t>
  </si>
  <si>
    <t>0.31</t>
  </si>
  <si>
    <t>0.32</t>
  </si>
  <si>
    <t>0.33</t>
  </si>
  <si>
    <t>0.34</t>
  </si>
  <si>
    <t>0.35</t>
  </si>
  <si>
    <t>0.36</t>
  </si>
  <si>
    <t>1.01</t>
  </si>
  <si>
    <t>1.07</t>
  </si>
  <si>
    <t>1.08</t>
  </si>
  <si>
    <t>hout</t>
  </si>
  <si>
    <t>Complex Castellum, IKC de Kasteeltuyn</t>
  </si>
  <si>
    <t>School</t>
  </si>
  <si>
    <t>BGG</t>
  </si>
  <si>
    <t>aula / speellokaal</t>
  </si>
  <si>
    <t>0.0</t>
  </si>
  <si>
    <t>stalen rooster</t>
  </si>
  <si>
    <t>Complex Castellum, wijkpost</t>
  </si>
  <si>
    <t>Wijkpost</t>
  </si>
  <si>
    <t>trap</t>
  </si>
  <si>
    <t>omloop</t>
  </si>
  <si>
    <t>Complex Castellum, JGZ</t>
  </si>
  <si>
    <t>JGZ</t>
  </si>
  <si>
    <t>hal, consultatiebureau</t>
  </si>
  <si>
    <t>kamer</t>
  </si>
  <si>
    <t>Sanitaire ruimte, Miva</t>
  </si>
  <si>
    <t>archief</t>
  </si>
  <si>
    <t>Complex Castellum, Scc. acc Piezo</t>
  </si>
  <si>
    <t>Piezo en Inzet</t>
  </si>
  <si>
    <t>Sanitaire ruimte, miva</t>
  </si>
  <si>
    <t>Complex Castellum, sportzaal</t>
  </si>
  <si>
    <t>docentruimte</t>
  </si>
  <si>
    <t>parket</t>
  </si>
  <si>
    <t>parket, hout</t>
  </si>
  <si>
    <t>berging tribune</t>
  </si>
  <si>
    <t>kleed-/wasruimte</t>
  </si>
  <si>
    <t xml:space="preserve">Complex Oosterpoort, Scc. acc Welzijn </t>
  </si>
  <si>
    <t>Complex Oosterpoort, Sporthal</t>
  </si>
  <si>
    <t>Sporthal</t>
  </si>
  <si>
    <t>Tourniquet</t>
  </si>
  <si>
    <t>mat</t>
  </si>
  <si>
    <t>Docent+toilet</t>
  </si>
  <si>
    <t>2e</t>
  </si>
  <si>
    <t>2.1</t>
  </si>
  <si>
    <t>Toiletten</t>
  </si>
  <si>
    <t>2.2</t>
  </si>
  <si>
    <t>Tribune</t>
  </si>
  <si>
    <t>2.4</t>
  </si>
  <si>
    <t>2.5</t>
  </si>
  <si>
    <t>3e</t>
  </si>
  <si>
    <t>3.1</t>
  </si>
  <si>
    <t>3.2</t>
  </si>
  <si>
    <t>3.3</t>
  </si>
  <si>
    <t>Complex Castellum, Kinderopvang</t>
  </si>
  <si>
    <t>school</t>
  </si>
  <si>
    <t>Steen</t>
  </si>
  <si>
    <t>Lokaal</t>
  </si>
  <si>
    <t>Buiten gang</t>
  </si>
  <si>
    <t>Limiet</t>
  </si>
  <si>
    <t>nieuwe entree</t>
  </si>
  <si>
    <t>RAL 7044 Vlokken:RAL 6029, RAL 5017, RAL3013 in zelfde concentratie en 10% in RAL 2003</t>
  </si>
  <si>
    <t>vergaderen</t>
  </si>
  <si>
    <t>kast</t>
  </si>
  <si>
    <t>Bestaand</t>
  </si>
  <si>
    <t>0.03A</t>
  </si>
  <si>
    <t>M.K.</t>
  </si>
  <si>
    <t>0.03B</t>
  </si>
  <si>
    <t>0.04</t>
  </si>
  <si>
    <t>miva</t>
  </si>
  <si>
    <t>0.05</t>
  </si>
  <si>
    <t>toilet H.</t>
  </si>
  <si>
    <t>0.06</t>
  </si>
  <si>
    <t>toilet D.</t>
  </si>
  <si>
    <t>0.07</t>
  </si>
  <si>
    <t>kantine</t>
  </si>
  <si>
    <t>0.07a</t>
  </si>
  <si>
    <t>garderobe</t>
  </si>
  <si>
    <t>keuken en opslag</t>
  </si>
  <si>
    <t>Gietvloer RAL 7044 Vlokken: RAL 7016,5014, 5010</t>
  </si>
  <si>
    <t>toilet</t>
  </si>
  <si>
    <t>0.12a</t>
  </si>
  <si>
    <t>douche</t>
  </si>
  <si>
    <t>0.13a</t>
  </si>
  <si>
    <t>schoonmaakkast</t>
  </si>
  <si>
    <t>0.17a</t>
  </si>
  <si>
    <t>coridor</t>
  </si>
  <si>
    <t>0.20a</t>
  </si>
  <si>
    <t>0.20b</t>
  </si>
  <si>
    <t>entree kleedkamers</t>
  </si>
  <si>
    <t>0.24a</t>
  </si>
  <si>
    <t>0.24b</t>
  </si>
  <si>
    <t>CV-ruimte</t>
  </si>
  <si>
    <t>Gymworld</t>
  </si>
  <si>
    <t>Voorportaal lift</t>
  </si>
  <si>
    <t>Schoonloopmat</t>
  </si>
  <si>
    <t>11C.001</t>
  </si>
  <si>
    <t>Inkoopruimte</t>
  </si>
  <si>
    <t>Beton</t>
  </si>
  <si>
    <t>11C.002</t>
  </si>
  <si>
    <t>Traforuimte</t>
  </si>
  <si>
    <t>11C.003a</t>
  </si>
  <si>
    <t>11C.003b</t>
  </si>
  <si>
    <t>Watermeter/Hydrofoor</t>
  </si>
  <si>
    <t>11C.004</t>
  </si>
  <si>
    <t>Expeditie</t>
  </si>
  <si>
    <t>11C.005</t>
  </si>
  <si>
    <t>Werkplaats</t>
  </si>
  <si>
    <t>11C.006</t>
  </si>
  <si>
    <t>Containeropslag</t>
  </si>
  <si>
    <t>1e verdieping</t>
  </si>
  <si>
    <t>SMV oefenzaal</t>
  </si>
  <si>
    <t>Sportvloer</t>
  </si>
  <si>
    <t>Behandelruimte 1</t>
  </si>
  <si>
    <t>Behandelruimte 2</t>
  </si>
  <si>
    <t>Behandelruimte 3</t>
  </si>
  <si>
    <t>Verkeersruimte/wachtruimte</t>
  </si>
  <si>
    <t>Administratie/balie</t>
  </si>
  <si>
    <t>MIVA toilet</t>
  </si>
  <si>
    <t>Doucheruimte</t>
  </si>
  <si>
    <t>Tochtportaal</t>
  </si>
  <si>
    <t>Centrale hal</t>
  </si>
  <si>
    <t>Verkeersruimte oost</t>
  </si>
  <si>
    <t>Marmoleum</t>
  </si>
  <si>
    <t>Verkeersruimte west</t>
  </si>
  <si>
    <t>Turnplein</t>
  </si>
  <si>
    <t>Sportshop</t>
  </si>
  <si>
    <t>Algemeen magazijn</t>
  </si>
  <si>
    <t>Trainersruimte 1</t>
  </si>
  <si>
    <t>Trainersruimte 2</t>
  </si>
  <si>
    <t>Kleedruimte 1</t>
  </si>
  <si>
    <t>Gietvloer</t>
  </si>
  <si>
    <t>Toiletruimte in kleedruimte 1</t>
  </si>
  <si>
    <t>Doucheruimte in kleedruimte 1</t>
  </si>
  <si>
    <t>Kleedruimte 2</t>
  </si>
  <si>
    <t>Toiletruimte in kleedruimte 2</t>
  </si>
  <si>
    <t>Doucheruimte in kleedruimte 2</t>
  </si>
  <si>
    <t>Kleedruimte 3</t>
  </si>
  <si>
    <t>Toiletruimte in kleedruimte 3</t>
  </si>
  <si>
    <t>Doucheruimte in kleedruimte 3</t>
  </si>
  <si>
    <t>Kleedruimte 4</t>
  </si>
  <si>
    <t>Toiletruimte in kleedruimte 4</t>
  </si>
  <si>
    <t>Doucheruimte in kleedruimte 4</t>
  </si>
  <si>
    <t>Kleedruimte 5</t>
  </si>
  <si>
    <t>Toiletruimte in kleedruimte 5</t>
  </si>
  <si>
    <t>Doucheruimte in kleedruimte 5</t>
  </si>
  <si>
    <t>Kleedruimte 6</t>
  </si>
  <si>
    <t>Toiletruimte in kleedruimte 6</t>
  </si>
  <si>
    <t>Doucheruimte in kleedruimte 6</t>
  </si>
  <si>
    <t>Werkkast 1</t>
  </si>
  <si>
    <t>SER/MER</t>
  </si>
  <si>
    <t>Turnhal klein</t>
  </si>
  <si>
    <t>EHBO-ruimte</t>
  </si>
  <si>
    <t>Trampolinehal</t>
  </si>
  <si>
    <t>Berging turnzaal groot</t>
  </si>
  <si>
    <t>Turnhal groot</t>
  </si>
  <si>
    <t>Berging turnzaal klein</t>
  </si>
  <si>
    <t>Berging trampolinehal</t>
  </si>
  <si>
    <t>Toiletruimte turnzaal groot</t>
  </si>
  <si>
    <t>Voorruimte toiletruimte turnzaal groot</t>
  </si>
  <si>
    <t>Toiletruimte turnzaal klein</t>
  </si>
  <si>
    <t>Voorruimte toilet turnzaal klein</t>
  </si>
  <si>
    <t>Toiletruimte trampolinehal</t>
  </si>
  <si>
    <t>Voorruimte toilet trampolinehal</t>
  </si>
  <si>
    <t>Beheerdersruimte</t>
  </si>
  <si>
    <t>2e verdieping</t>
  </si>
  <si>
    <t>Clubhuis</t>
  </si>
  <si>
    <t>9.201a</t>
  </si>
  <si>
    <t>Bar/keuken Clubhuis</t>
  </si>
  <si>
    <t>Verkeersruimte oostzijde</t>
  </si>
  <si>
    <t>Verkeersruimte westzijde</t>
  </si>
  <si>
    <t>Werkkast 2</t>
  </si>
  <si>
    <t>Overlegruimte</t>
  </si>
  <si>
    <t>Bestuurskamer ProPatria</t>
  </si>
  <si>
    <t>Bestuurskamer CGV</t>
  </si>
  <si>
    <t>Commissie/administratie</t>
  </si>
  <si>
    <t>Tribune turnzaal groot</t>
  </si>
  <si>
    <t>Tribune turnzaal klein</t>
  </si>
  <si>
    <t>Tribune trampolinehal</t>
  </si>
  <si>
    <t>Toiletgroep vrouwen</t>
  </si>
  <si>
    <t>9.216a</t>
  </si>
  <si>
    <t>Toilet 1 vrouwen</t>
  </si>
  <si>
    <t>9.216b</t>
  </si>
  <si>
    <t>Toilet 2 vrouwen</t>
  </si>
  <si>
    <t>Toiletgroep mannen</t>
  </si>
  <si>
    <t>9.217a</t>
  </si>
  <si>
    <t>Toilet 1 mannen</t>
  </si>
  <si>
    <t>Toilet 1 multifunctionele zaal</t>
  </si>
  <si>
    <t>Toilet 2 multifunctionele zaal</t>
  </si>
  <si>
    <t>Voorruimte toilet</t>
  </si>
  <si>
    <t>Kleedruimte 7</t>
  </si>
  <si>
    <t>Kleedruimte 8</t>
  </si>
  <si>
    <t>Multifunctionele zaal</t>
  </si>
  <si>
    <t>Trainersruimte</t>
  </si>
  <si>
    <t>Berging multifunctionele zaal</t>
  </si>
  <si>
    <t>3e verdieping</t>
  </si>
  <si>
    <t>Freerunning</t>
  </si>
  <si>
    <t>Voorruimte lift</t>
  </si>
  <si>
    <t>Sporthal de Veur</t>
  </si>
  <si>
    <t>0.2a</t>
  </si>
  <si>
    <t>Voorraadhok</t>
  </si>
  <si>
    <t>Douche</t>
  </si>
  <si>
    <t>Kleedruimte docent</t>
  </si>
  <si>
    <t>EHBO</t>
  </si>
  <si>
    <t>Nooduitgang</t>
  </si>
  <si>
    <t>1e etage</t>
  </si>
  <si>
    <t>Tribune/sporthal</t>
  </si>
  <si>
    <t>1.1a</t>
  </si>
  <si>
    <t>Speaker</t>
  </si>
  <si>
    <t xml:space="preserve">gang </t>
  </si>
  <si>
    <t>heren toilet</t>
  </si>
  <si>
    <t>dames toilet</t>
  </si>
  <si>
    <t>Sporthal de Driesprong</t>
  </si>
  <si>
    <t>0.1a</t>
  </si>
  <si>
    <t>schoonloopmat</t>
  </si>
  <si>
    <t>0.1b</t>
  </si>
  <si>
    <t>rubber</t>
  </si>
  <si>
    <t>natuursteen</t>
  </si>
  <si>
    <t>0.10a</t>
  </si>
  <si>
    <t>Hellingbaan</t>
  </si>
  <si>
    <t xml:space="preserve">Honkbal, Grizzlies </t>
  </si>
  <si>
    <t>Buitensport</t>
  </si>
  <si>
    <t>Kleedkamer</t>
  </si>
  <si>
    <t>Sanitair+ scheidsrechter</t>
  </si>
  <si>
    <t>Hockey, MHCZ</t>
  </si>
  <si>
    <t>Toilet dames</t>
  </si>
  <si>
    <t>Toilet heren</t>
  </si>
  <si>
    <t>-1.2</t>
  </si>
  <si>
    <t>-1.3</t>
  </si>
  <si>
    <t>-1.4</t>
  </si>
  <si>
    <t>-1.7</t>
  </si>
  <si>
    <t>-1.8</t>
  </si>
  <si>
    <t>-1.9</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</si>
  <si>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</si>
  <si>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</si>
  <si>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</si>
  <si>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</si>
  <si>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</si>
  <si>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</si>
  <si>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</si>
  <si>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</si>
  <si>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</si>
  <si>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</si>
  <si>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</si>
  <si>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</si>
  <si>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</si>
  <si>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</si>
  <si>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</si>
  <si>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</si>
  <si>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</si>
  <si>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</si>
  <si>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</si>
  <si>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</si>
  <si>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</si>
  <si>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</si>
  <si>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</si>
  <si>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</si>
  <si>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</si>
  <si>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</si>
  <si>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</si>
  <si>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</si>
  <si>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</si>
  <si>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</si>
  <si>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</si>
  <si>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</si>
  <si>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</si>
  <si>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</si>
  <si>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</si>
  <si>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</si>
  <si>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Uurlonen 1 januari 2026</t>
  </si>
  <si>
    <t xml:space="preserve"> </t>
  </si>
  <si>
    <t>Basisuurloon</t>
  </si>
  <si>
    <t>CAO gebonden kosten</t>
  </si>
  <si>
    <t>17 jaar en jonger</t>
  </si>
  <si>
    <t>Specialistentoeslag</t>
  </si>
  <si>
    <t>18 jaar</t>
  </si>
  <si>
    <t>Suppletiekosten toeslag</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</si>
  <si>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</si>
  <si>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</si>
  <si>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</si>
  <si>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</si>
  <si>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</si>
  <si>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</si>
  <si>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</si>
  <si>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</si>
  <si>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</si>
  <si>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</si>
  <si>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</si>
  <si>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</si>
  <si>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</si>
  <si>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</si>
  <si>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</si>
  <si>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</si>
  <si>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</si>
  <si>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</si>
  <si>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</si>
  <si>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</si>
  <si>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</si>
  <si>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</si>
  <si>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</si>
  <si>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</si>
  <si>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</si>
  <si>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</si>
  <si>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</si>
  <si>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</si>
  <si>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</si>
  <si>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</si>
  <si>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</si>
  <si>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</si>
  <si>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</si>
  <si>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</si>
  <si>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</si>
  <si>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</si>
  <si>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</si>
  <si>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</si>
  <si>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</si>
  <si>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</si>
  <si>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Tariefsoort</t>
  </si>
  <si>
    <t>Tarief</t>
  </si>
  <si>
    <t>Maandag - Vrijdag</t>
  </si>
  <si>
    <t>Zaterdag - zondag (incl. 50% toeslag conform cao)</t>
  </si>
  <si>
    <t>Feestdagen (incl. 150% toeslag conform cao)</t>
  </si>
  <si>
    <t>…......................................................</t>
  </si>
  <si>
    <t>locatie</t>
  </si>
  <si>
    <t>Omschrijving werkzaamheden</t>
  </si>
  <si>
    <t>Aantal of m2</t>
  </si>
  <si>
    <t>frequentie per jaar</t>
  </si>
  <si>
    <t>uren per m2/ beurt</t>
  </si>
  <si>
    <t>uren per jaar</t>
  </si>
  <si>
    <t>uurtarief</t>
  </si>
  <si>
    <t>kosten per jaar</t>
  </si>
  <si>
    <t>aanvegen parkeergarage en containerruimte</t>
  </si>
  <si>
    <t xml:space="preserve">schoonmaak galerij </t>
  </si>
  <si>
    <t>reiniging afzuigkap keuken</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</si>
  <si>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</si>
  <si>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</si>
  <si>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</si>
  <si>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</si>
  <si>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</si>
  <si>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</si>
  <si>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</si>
  <si>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</si>
  <si>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</si>
  <si>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</si>
  <si>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</si>
  <si>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</si>
  <si>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</si>
  <si>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</si>
  <si>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</si>
  <si>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</si>
  <si>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</si>
  <si>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</si>
  <si>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</si>
  <si>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</si>
  <si>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</si>
  <si>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</si>
  <si>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</si>
  <si>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</si>
  <si>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</si>
  <si>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</si>
  <si>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raambekleding</t>
  </si>
  <si>
    <t>Soort</t>
  </si>
  <si>
    <t>Prijs p/m² onder 100m² excl. btw</t>
  </si>
  <si>
    <t>Prijs p/m² boven 100m² excl. btw</t>
  </si>
  <si>
    <t>Vitrage</t>
  </si>
  <si>
    <t>Overgordijnen</t>
  </si>
  <si>
    <t>Verticale lamellen stof</t>
  </si>
  <si>
    <t>Verticale lamellen metaal/kunststof</t>
  </si>
  <si>
    <t>Horizontale lamellen</t>
  </si>
  <si>
    <t>Overige</t>
  </si>
  <si>
    <t>prijs per m2</t>
  </si>
  <si>
    <t>Gevelreiniging per m2</t>
  </si>
  <si>
    <t>Boeiboorden reinigen</t>
  </si>
  <si>
    <t>Stoffen tussenwanden gymzalen per m2</t>
  </si>
  <si>
    <t>Regietarieven</t>
  </si>
  <si>
    <t>Prijs p/uur excl. btw</t>
  </si>
  <si>
    <t>Schoonmaakonderhoud</t>
  </si>
  <si>
    <t>Glazenwasserswerkzaamheden</t>
  </si>
  <si>
    <t>Opmerking:</t>
  </si>
  <si>
    <t>Alle prijzen inclusief materialen en middelen, voorrijkosten en overige bijkomende kosten.</t>
  </si>
  <si>
    <t>Mits anders aangegeven is de uitvoering op reguliere werktijden: maandag t/m vrijdag [06.00 en 21.30 uur]</t>
  </si>
  <si>
    <t>Glassoort</t>
  </si>
  <si>
    <t>M² prijs</t>
  </si>
  <si>
    <t>Buitenzijde</t>
  </si>
  <si>
    <t>Binnenzijde</t>
  </si>
  <si>
    <t>Separatieglas dubbelzijdig</t>
  </si>
  <si>
    <t>Koepels dubbelzijdig</t>
  </si>
  <si>
    <t>Balustradeglas dubbelzijdig</t>
  </si>
  <si>
    <t>Spiegels</t>
  </si>
  <si>
    <t>Dakkoepels buitenzijde</t>
  </si>
  <si>
    <t>Dakramen</t>
  </si>
  <si>
    <t>Luifel entrée</t>
  </si>
  <si>
    <t>Perceel</t>
  </si>
  <si>
    <t>Aanvullende omschrijving</t>
  </si>
  <si>
    <t>Aantal m2</t>
  </si>
  <si>
    <r>
      <t>Kosten per m</t>
    </r>
    <r>
      <rPr>
        <b/>
        <vertAlign val="superscript"/>
        <sz val="10"/>
        <color theme="0"/>
        <rFont val="Arial Black"/>
        <family val="2"/>
      </rPr>
      <t>2</t>
    </r>
  </si>
  <si>
    <t>Kosten per beurt</t>
  </si>
  <si>
    <t>Frequentie per jaar</t>
  </si>
  <si>
    <t>Totaalkosten per jaar</t>
  </si>
  <si>
    <t>Albrandswaard 1 2716 DA</t>
  </si>
  <si>
    <t>2</t>
  </si>
  <si>
    <t>Groenblauwlaan 133 2718 GH</t>
  </si>
  <si>
    <t>1</t>
  </si>
  <si>
    <t>Oosterheemplein 156 2729 GE</t>
  </si>
  <si>
    <t>bereikbaarheidsmiddelen</t>
  </si>
  <si>
    <t>4</t>
  </si>
  <si>
    <t>3</t>
  </si>
  <si>
    <t>buitenzijde</t>
  </si>
  <si>
    <t>Trappenhuis, kantoor 1e etage, centrale hal , entree en personeelsruimte begane grond: Wassen gevelglas buitenzijde incl kozijnen</t>
  </si>
  <si>
    <t>binnenzijde</t>
  </si>
  <si>
    <t>Trappenhuis, kantoor 1e etage, centrale hal , entree en personeelsruimte begane grond: Wassen gevelglas binnenzijde incl kozijnen</t>
  </si>
  <si>
    <t>Centrale hal, sportzaal, entree : Wassen separatieglas beide zijden incl kozijnen en scheidingsglas met zwembad enkele zijde</t>
  </si>
  <si>
    <t>Tribune en scheidsrechterhok: Wassen balustradeglas beide zijden</t>
  </si>
  <si>
    <t>Luifel entree (onder- en bovenzijde): Innevelen met AL10 en Greenstopper en middels gepaste druk schoonborstelen, incl inzet bereikbaarheidsmiddelen</t>
  </si>
  <si>
    <t>0</t>
  </si>
  <si>
    <t>Handeling</t>
  </si>
  <si>
    <t>M2 tarief</t>
  </si>
  <si>
    <t>Revitaliseren</t>
  </si>
  <si>
    <t>soort locatie</t>
  </si>
  <si>
    <t>Omschrijving artikel</t>
  </si>
  <si>
    <t>artikelcode</t>
  </si>
  <si>
    <t>Omschrijving eenheid</t>
  </si>
  <si>
    <t>Omschrijving merk</t>
  </si>
  <si>
    <t>Aantal vellen</t>
  </si>
  <si>
    <t>Prijs per eenheid</t>
  </si>
  <si>
    <t>Prijs per vel</t>
  </si>
  <si>
    <t>Algemeen</t>
  </si>
  <si>
    <t>Vouwhanddoekjes</t>
  </si>
  <si>
    <t>Baal 21x136 stuks</t>
  </si>
  <si>
    <t>Tork handdoek H2 I-vouw 2 laags Advanced</t>
  </si>
  <si>
    <t>Baal 21x110 stuks</t>
  </si>
  <si>
    <t>Tork handdoek H2 I-vouw 2 laags premium</t>
  </si>
  <si>
    <t>Baal 21x100 stuks</t>
  </si>
  <si>
    <t>Tork handdoek H2 I-vouw 2 laags premium extra zacht</t>
  </si>
  <si>
    <t>Baal 21x150 stuks</t>
  </si>
  <si>
    <t>Baal 25x150 stuks</t>
  </si>
  <si>
    <t>Haagclean cellulose 2 laags M-vouw Multifold</t>
  </si>
  <si>
    <t>Doos 15x250 stuks</t>
  </si>
  <si>
    <t>Tork handdoek H3 Z-vouw 2 laags Advanced</t>
  </si>
  <si>
    <t>Doos 15x 200 stuks</t>
  </si>
  <si>
    <t>Tork handdoek H3 Z-vouw 2 laags premium</t>
  </si>
  <si>
    <t>Doos 20*160 stuks</t>
  </si>
  <si>
    <t>Haagclean cellulose 2 laags Z-vouw</t>
  </si>
  <si>
    <t>Toiletpapier</t>
  </si>
  <si>
    <t>Doos 30x252 stuks</t>
  </si>
  <si>
    <t>Tork Toiletpapier T3 zacht gevouwen 2 laags Premium</t>
  </si>
  <si>
    <t>Tork Toiletpapier extra zacht gevouwen 2 laags Premium T3</t>
  </si>
  <si>
    <t>Pak 36*250 stuks</t>
  </si>
  <si>
    <t>Bulk Toiletpapier gevouwen 2 laags</t>
  </si>
  <si>
    <t>Doos 27x90 meter</t>
  </si>
  <si>
    <t>Tork Toiletpapier T6 zacht mid-size 2 laags Premium</t>
  </si>
  <si>
    <t>onbekend</t>
  </si>
  <si>
    <t>Baal 12x170 stuks</t>
  </si>
  <si>
    <t>Tork Express Multifold M-vouw 2 laags Premium</t>
  </si>
  <si>
    <t>Doos 24x 100 meter</t>
  </si>
  <si>
    <t>Satino comfort rol met dop 2 laags wit</t>
  </si>
  <si>
    <t>Luchtverfrisser</t>
  </si>
  <si>
    <t xml:space="preserve">Doos 12*75ml </t>
  </si>
  <si>
    <t xml:space="preserve">Microburst Ice Age / Coolwater </t>
  </si>
  <si>
    <t>Microburst Kilimanjaro / Oriental - 75ml per stuk</t>
  </si>
  <si>
    <t>Zeep</t>
  </si>
  <si>
    <t>per flacon 300ml</t>
  </si>
  <si>
    <t>Handzeep + pomp Palmolive - per stuk</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</si>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</sst>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_-[$€-2]\ * #,##0.00_-;_-[$€-2]\ * #,##0.00\-;_-[$€-2]\ * &quot;-&quot;??_-"/>
    <numFmt numFmtId="197" formatCode="_ &quot;€&quot;\ * #,##0.000_ ;_ &quot;€&quot;\ * \-#,##0.000_ ;_ &quot;€&quot;\ * &quot;-&quot;???_ ;_ @_ "/>
  </numFmts>
  <fonts count="152">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u/>
      <sz val="10"/>
      <color rgb="FFFF0000"/>
      <name val="Georgia"/>
      <family val="1"/>
    </font>
    <font>
      <b/>
      <sz val="9"/>
      <color rgb="FFFF0000"/>
      <name val="Georgia"/>
      <family val="1"/>
    </font>
    <font>
      <b/>
      <sz val="10"/>
      <color theme="1" tint="0.34998626667073579"/>
      <name val="Georgia"/>
      <family val="1"/>
    </font>
    <font>
      <sz val="10"/>
      <name val="Arial Black"/>
      <family val="2"/>
    </font>
    <font>
      <b/>
      <sz val="10"/>
      <color theme="0"/>
      <name val="Arial Black"/>
      <family val="2"/>
    </font>
    <font>
      <b/>
      <sz val="1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sz val="9"/>
      <color theme="0"/>
      <name val="Arial Black"/>
      <family val="2"/>
    </font>
    <font>
      <b/>
      <vertAlign val="superscript"/>
      <sz val="10"/>
      <color theme="0"/>
      <name val="Arial Black"/>
      <family val="2"/>
    </font>
    <font>
      <b/>
      <sz val="10"/>
      <color theme="1"/>
      <name val="Times New Roman"/>
      <family val="1"/>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rgb="FF0AAAFF"/>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0"/>
      <name val="Tahoma"/>
      <family val="2"/>
    </font>
  </fonts>
  <fills count="6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
      <patternFill patternType="solid">
        <fgColor theme="7" tint="0.79998168889431442"/>
        <bgColor indexed="64"/>
      </patternFill>
    </fill>
    <fill>
      <patternFill patternType="solid">
        <fgColor theme="2"/>
        <bgColor indexed="64"/>
      </patternFill>
    </fill>
    <fill>
      <patternFill patternType="solid">
        <fgColor theme="1"/>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52999">
    <xf numFmtId="0" fontId="0" fillId="0" borderId="0"/>
    <xf numFmtId="164" fontId="8" fillId="0" borderId="0" applyFont="0" applyFill="0" applyBorder="0" applyAlignment="0" applyProtection="0"/>
    <xf numFmtId="165" fontId="8" fillId="0" borderId="0" applyFont="0" applyFill="0" applyBorder="0" applyAlignment="0" applyProtection="0"/>
    <xf numFmtId="169" fontId="8" fillId="0" borderId="0" applyFont="0" applyFill="0" applyBorder="0" applyAlignment="0" applyProtection="0"/>
    <xf numFmtId="171" fontId="8" fillId="0" borderId="0" applyFont="0" applyFill="0" applyBorder="0" applyAlignment="0" applyProtection="0"/>
    <xf numFmtId="168" fontId="10" fillId="0" borderId="0" applyFont="0" applyFill="0" applyBorder="0" applyAlignment="0" applyProtection="0"/>
    <xf numFmtId="168" fontId="8" fillId="0" borderId="0" applyFont="0" applyFill="0" applyBorder="0" applyAlignment="0" applyProtection="0"/>
    <xf numFmtId="0" fontId="16" fillId="0" borderId="0" applyNumberFormat="0" applyFill="0" applyBorder="0" applyAlignment="0" applyProtection="0">
      <alignment vertical="top"/>
      <protection locked="0"/>
    </xf>
    <xf numFmtId="167" fontId="7" fillId="0" borderId="0" applyFont="0" applyFill="0" applyBorder="0" applyAlignment="0" applyProtection="0"/>
    <xf numFmtId="0" fontId="8" fillId="0" borderId="0"/>
    <xf numFmtId="0" fontId="14" fillId="0" borderId="0"/>
    <xf numFmtId="0" fontId="10" fillId="0" borderId="0"/>
    <xf numFmtId="0" fontId="8" fillId="0" borderId="0"/>
    <xf numFmtId="0" fontId="8" fillId="0" borderId="0"/>
    <xf numFmtId="0" fontId="8" fillId="0" borderId="0"/>
    <xf numFmtId="0" fontId="12" fillId="0" borderId="0"/>
    <xf numFmtId="9" fontId="7" fillId="0" borderId="0" applyFont="0" applyFill="0" applyBorder="0" applyAlignment="0" applyProtection="0"/>
    <xf numFmtId="0" fontId="8" fillId="0" borderId="0"/>
    <xf numFmtId="166" fontId="7" fillId="0" borderId="0" applyFon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3" borderId="0" applyNumberFormat="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10" applyNumberFormat="0" applyAlignment="0" applyProtection="0"/>
    <xf numFmtId="0" fontId="26" fillId="7" borderId="11" applyNumberFormat="0" applyAlignment="0" applyProtection="0"/>
    <xf numFmtId="0" fontId="27" fillId="7" borderId="10" applyNumberFormat="0" applyAlignment="0" applyProtection="0"/>
    <xf numFmtId="0" fontId="28" fillId="0" borderId="12" applyNumberFormat="0" applyFill="0" applyAlignment="0" applyProtection="0"/>
    <xf numFmtId="0" fontId="29" fillId="8" borderId="13"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5" applyNumberFormat="0" applyFill="0" applyAlignment="0" applyProtection="0"/>
    <xf numFmtId="0" fontId="33"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33" fillId="29" borderId="0" applyNumberFormat="0" applyBorder="0" applyAlignment="0" applyProtection="0"/>
    <xf numFmtId="0" fontId="33"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33" fillId="33" borderId="0" applyNumberFormat="0" applyBorder="0" applyAlignment="0" applyProtection="0"/>
    <xf numFmtId="0" fontId="6" fillId="0" borderId="0"/>
    <xf numFmtId="0" fontId="6" fillId="9" borderId="14" applyNumberFormat="0" applyFont="0" applyAlignment="0" applyProtection="0"/>
    <xf numFmtId="0" fontId="11" fillId="0" borderId="0"/>
    <xf numFmtId="0" fontId="34" fillId="0" borderId="0"/>
    <xf numFmtId="0" fontId="34" fillId="0" borderId="0"/>
    <xf numFmtId="0" fontId="7" fillId="0" borderId="0"/>
    <xf numFmtId="9" fontId="7" fillId="0" borderId="0" applyFont="0" applyFill="0" applyBorder="0" applyAlignment="0" applyProtection="0"/>
    <xf numFmtId="44" fontId="7" fillId="0" borderId="0" applyFont="0" applyFill="0" applyBorder="0" applyAlignment="0" applyProtection="0"/>
    <xf numFmtId="183" fontId="7"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84" fontId="35" fillId="0" borderId="0" applyFont="0" applyFill="0" applyBorder="0" applyAlignment="0" applyProtection="0"/>
    <xf numFmtId="184" fontId="35" fillId="0" borderId="0" applyFont="0" applyFill="0" applyBorder="0" applyAlignment="0" applyProtection="0"/>
    <xf numFmtId="185" fontId="11" fillId="0" borderId="0" applyFont="0" applyFill="0" applyBorder="0" applyAlignment="0" applyProtection="0"/>
    <xf numFmtId="183"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3" fontId="5" fillId="0" borderId="0" applyFont="0" applyFill="0" applyBorder="0" applyAlignment="0" applyProtection="0"/>
    <xf numFmtId="0" fontId="36" fillId="34" borderId="0"/>
    <xf numFmtId="186" fontId="7" fillId="0" borderId="0"/>
    <xf numFmtId="0" fontId="14" fillId="0" borderId="0"/>
    <xf numFmtId="0" fontId="12" fillId="0" borderId="0"/>
    <xf numFmtId="9" fontId="7" fillId="0" borderId="0" applyFont="0" applyFill="0" applyBorder="0" applyAlignment="0" applyProtection="0"/>
    <xf numFmtId="9" fontId="11" fillId="0" borderId="0" applyFont="0" applyFill="0" applyBorder="0" applyAlignment="0" applyProtection="0"/>
    <xf numFmtId="0" fontId="7" fillId="0" borderId="0"/>
    <xf numFmtId="0" fontId="7" fillId="0" borderId="0"/>
    <xf numFmtId="0" fontId="37" fillId="0" borderId="0"/>
    <xf numFmtId="0" fontId="11" fillId="0" borderId="0"/>
    <xf numFmtId="0" fontId="5" fillId="0" borderId="0"/>
    <xf numFmtId="0" fontId="7" fillId="0" borderId="0"/>
    <xf numFmtId="0" fontId="38" fillId="0" borderId="0"/>
    <xf numFmtId="0" fontId="38" fillId="0" borderId="0"/>
    <xf numFmtId="0" fontId="7" fillId="0" borderId="0"/>
    <xf numFmtId="0" fontId="7" fillId="0" borderId="0"/>
    <xf numFmtId="0" fontId="38" fillId="0" borderId="0"/>
    <xf numFmtId="0" fontId="38" fillId="0" borderId="0"/>
    <xf numFmtId="0" fontId="11" fillId="0" borderId="0"/>
    <xf numFmtId="0" fontId="7" fillId="0" borderId="0"/>
    <xf numFmtId="0" fontId="17" fillId="0" borderId="0"/>
    <xf numFmtId="0" fontId="9" fillId="0" borderId="0"/>
    <xf numFmtId="187" fontId="7" fillId="0" borderId="0" applyFont="0" applyFill="0" applyBorder="0" applyAlignment="0" applyProtection="0"/>
    <xf numFmtId="44" fontId="7" fillId="0" borderId="0" applyFont="0" applyFill="0" applyBorder="0" applyAlignment="0" applyProtection="0"/>
    <xf numFmtId="166" fontId="7" fillId="0" borderId="0" applyFont="0" applyFill="0" applyBorder="0" applyAlignment="0" applyProtection="0"/>
    <xf numFmtId="0" fontId="11" fillId="0" borderId="0"/>
    <xf numFmtId="166" fontId="11" fillId="0" borderId="0" applyFont="0" applyFill="0" applyBorder="0" applyAlignment="0" applyProtection="0"/>
    <xf numFmtId="167" fontId="11" fillId="0" borderId="0" applyFont="0" applyFill="0" applyBorder="0" applyAlignment="0" applyProtection="0"/>
    <xf numFmtId="0" fontId="38"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8"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38" fillId="42" borderId="0" applyNumberFormat="0" applyBorder="0" applyAlignment="0" applyProtection="0"/>
    <xf numFmtId="0" fontId="38" fillId="42"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40" fillId="46"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7" borderId="0" applyNumberFormat="0" applyBorder="0" applyAlignment="0" applyProtection="0"/>
    <xf numFmtId="0" fontId="40" fillId="48" borderId="0" applyNumberFormat="0" applyBorder="0" applyAlignment="0" applyProtection="0"/>
    <xf numFmtId="0" fontId="40" fillId="49" borderId="0" applyNumberFormat="0" applyBorder="0" applyAlignment="0" applyProtection="0"/>
    <xf numFmtId="0" fontId="40" fillId="50" borderId="0" applyNumberFormat="0" applyBorder="0" applyAlignment="0" applyProtection="0"/>
    <xf numFmtId="0" fontId="40" fillId="51" borderId="0" applyNumberFormat="0" applyBorder="0" applyAlignment="0" applyProtection="0"/>
    <xf numFmtId="0" fontId="40" fillId="52" borderId="0" applyNumberFormat="0" applyBorder="0" applyAlignment="0" applyProtection="0"/>
    <xf numFmtId="0" fontId="40" fillId="47" borderId="0" applyNumberFormat="0" applyBorder="0" applyAlignment="0" applyProtection="0"/>
    <xf numFmtId="0" fontId="40" fillId="48" borderId="0" applyNumberFormat="0" applyBorder="0" applyAlignment="0" applyProtection="0"/>
    <xf numFmtId="0" fontId="40" fillId="53" borderId="0" applyNumberFormat="0" applyBorder="0" applyAlignment="0" applyProtection="0"/>
    <xf numFmtId="0" fontId="41" fillId="39" borderId="0" applyNumberFormat="0" applyBorder="0" applyAlignment="0" applyProtection="0"/>
    <xf numFmtId="0" fontId="42" fillId="4" borderId="0" applyNumberFormat="0" applyBorder="0" applyAlignment="0" applyProtection="0"/>
    <xf numFmtId="0" fontId="43" fillId="54" borderId="17" applyNumberFormat="0" applyAlignment="0" applyProtection="0"/>
    <xf numFmtId="0" fontId="11" fillId="0" borderId="0"/>
    <xf numFmtId="0" fontId="44" fillId="55" borderId="17" applyNumberFormat="0" applyAlignment="0" applyProtection="0"/>
    <xf numFmtId="0" fontId="45" fillId="56" borderId="18" applyNumberFormat="0" applyAlignment="0" applyProtection="0"/>
    <xf numFmtId="0" fontId="45" fillId="56" borderId="18" applyNumberFormat="0" applyAlignment="0" applyProtection="0"/>
    <xf numFmtId="0" fontId="46" fillId="0" borderId="0" applyNumberFormat="0" applyFill="0" applyBorder="0" applyAlignment="0" applyProtection="0"/>
    <xf numFmtId="0" fontId="47" fillId="0" borderId="19" applyNumberFormat="0" applyFill="0" applyAlignment="0" applyProtection="0"/>
    <xf numFmtId="0" fontId="48" fillId="38"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9" fillId="0" borderId="20" applyNumberFormat="0" applyFill="0" applyAlignment="0" applyProtection="0"/>
    <xf numFmtId="0" fontId="50" fillId="0" borderId="21" applyNumberFormat="0" applyFill="0" applyAlignment="0" applyProtection="0"/>
    <xf numFmtId="0" fontId="51" fillId="0" borderId="22" applyNumberFormat="0" applyFill="0" applyAlignment="0" applyProtection="0"/>
    <xf numFmtId="0" fontId="51" fillId="0" borderId="0" applyNumberFormat="0" applyFill="0" applyBorder="0" applyAlignment="0" applyProtection="0"/>
    <xf numFmtId="0" fontId="52" fillId="57" borderId="17" applyNumberFormat="0" applyAlignment="0" applyProtection="0"/>
    <xf numFmtId="0" fontId="39" fillId="58" borderId="1"/>
    <xf numFmtId="0" fontId="53" fillId="0" borderId="23" applyNumberFormat="0" applyFill="0" applyAlignment="0" applyProtection="0"/>
    <xf numFmtId="0" fontId="54" fillId="0" borderId="24" applyNumberFormat="0" applyFill="0" applyAlignment="0" applyProtection="0"/>
    <xf numFmtId="0" fontId="55" fillId="0" borderId="25" applyNumberFormat="0" applyFill="0" applyAlignment="0" applyProtection="0"/>
    <xf numFmtId="0" fontId="55" fillId="0" borderId="0" applyNumberFormat="0" applyFill="0" applyBorder="0" applyAlignment="0" applyProtection="0"/>
    <xf numFmtId="167" fontId="56" fillId="0" borderId="0">
      <alignment horizontal="center" vertical="center" textRotation="90" wrapText="1"/>
    </xf>
    <xf numFmtId="0" fontId="57" fillId="58" borderId="26"/>
    <xf numFmtId="0" fontId="58" fillId="0" borderId="27" applyNumberFormat="0" applyFill="0" applyAlignment="0" applyProtection="0"/>
    <xf numFmtId="189" fontId="7" fillId="0" borderId="0"/>
    <xf numFmtId="0" fontId="59" fillId="57" borderId="0" applyNumberFormat="0" applyBorder="0" applyAlignment="0" applyProtection="0"/>
    <xf numFmtId="0" fontId="59" fillId="57" borderId="0" applyNumberFormat="0" applyBorder="0" applyAlignment="0" applyProtection="0"/>
    <xf numFmtId="0" fontId="37" fillId="0" borderId="0"/>
    <xf numFmtId="0" fontId="7" fillId="59" borderId="28" applyNumberFormat="0" applyFont="0" applyAlignment="0" applyProtection="0"/>
    <xf numFmtId="0" fontId="38" fillId="59" borderId="28" applyNumberFormat="0" applyFont="0" applyAlignment="0" applyProtection="0"/>
    <xf numFmtId="0" fontId="60" fillId="37" borderId="0" applyNumberFormat="0" applyBorder="0" applyAlignment="0" applyProtection="0"/>
    <xf numFmtId="0" fontId="61" fillId="55" borderId="29" applyNumberFormat="0" applyAlignment="0" applyProtection="0"/>
    <xf numFmtId="0" fontId="57" fillId="60" borderId="30" applyNumberFormat="0" applyFont="0" applyBorder="0">
      <alignment horizontal="center"/>
    </xf>
    <xf numFmtId="0" fontId="62" fillId="0" borderId="0" applyNumberFormat="0" applyFill="0" applyBorder="0" applyAlignment="0" applyProtection="0"/>
    <xf numFmtId="0" fontId="63" fillId="0" borderId="0" applyNumberFormat="0" applyFill="0" applyBorder="0" applyAlignment="0" applyProtection="0"/>
    <xf numFmtId="0" fontId="64" fillId="0" borderId="31" applyNumberFormat="0" applyFill="0" applyAlignment="0" applyProtection="0"/>
    <xf numFmtId="0" fontId="64" fillId="0" borderId="32" applyNumberFormat="0" applyFill="0" applyAlignment="0" applyProtection="0"/>
    <xf numFmtId="0" fontId="61" fillId="54" borderId="29" applyNumberFormat="0" applyAlignment="0" applyProtection="0"/>
    <xf numFmtId="190" fontId="7" fillId="0" borderId="0"/>
    <xf numFmtId="191" fontId="11" fillId="0" borderId="0" applyFont="0" applyFill="0" applyBorder="0" applyAlignment="0" applyProtection="0"/>
    <xf numFmtId="170" fontId="7" fillId="0" borderId="0"/>
    <xf numFmtId="0" fontId="46"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38" fontId="9" fillId="0" borderId="0" applyFont="0" applyFill="0" applyBorder="0" applyAlignment="0" applyProtection="0"/>
    <xf numFmtId="192" fontId="9"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93" fontId="39" fillId="0" borderId="0"/>
    <xf numFmtId="193" fontId="39" fillId="0" borderId="0"/>
    <xf numFmtId="0" fontId="66" fillId="0" borderId="0" applyNumberFormat="0" applyFill="0" applyBorder="0" applyAlignment="0" applyProtection="0"/>
    <xf numFmtId="167" fontId="11" fillId="0" borderId="0" applyFont="0" applyFill="0" applyBorder="0" applyAlignment="0" applyProtection="0"/>
    <xf numFmtId="43" fontId="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57" fillId="58" borderId="26"/>
    <xf numFmtId="194" fontId="57" fillId="0" borderId="0"/>
    <xf numFmtId="9" fontId="38" fillId="0" borderId="0" applyFont="0" applyFill="0" applyBorder="0" applyAlignment="0" applyProtection="0"/>
    <xf numFmtId="0" fontId="5" fillId="0" borderId="0"/>
    <xf numFmtId="0" fontId="11" fillId="0" borderId="0"/>
    <xf numFmtId="0" fontId="7" fillId="0" borderId="0"/>
    <xf numFmtId="0" fontId="11" fillId="0" borderId="0"/>
    <xf numFmtId="0" fontId="67" fillId="0" borderId="0"/>
    <xf numFmtId="0" fontId="11" fillId="0" borderId="0"/>
    <xf numFmtId="0" fontId="7" fillId="0" borderId="0"/>
    <xf numFmtId="0" fontId="5" fillId="0" borderId="0"/>
    <xf numFmtId="0" fontId="5" fillId="0" borderId="0"/>
    <xf numFmtId="0" fontId="11" fillId="0" borderId="0"/>
    <xf numFmtId="0" fontId="7" fillId="0" borderId="0"/>
    <xf numFmtId="166" fontId="11" fillId="0" borderId="0" applyFont="0" applyFill="0" applyBorder="0" applyAlignment="0" applyProtection="0"/>
    <xf numFmtId="166" fontId="38" fillId="0" borderId="0" applyFont="0" applyFill="0" applyBorder="0" applyAlignment="0" applyProtection="0"/>
    <xf numFmtId="166" fontId="11" fillId="0" borderId="0" applyFont="0" applyFill="0" applyBorder="0" applyAlignment="0" applyProtection="0"/>
    <xf numFmtId="195" fontId="11" fillId="0" borderId="0" applyFont="0" applyFill="0" applyBorder="0" applyAlignment="0" applyProtection="0"/>
    <xf numFmtId="44" fontId="7" fillId="0" borderId="0" applyFont="0" applyFill="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193" fontId="39" fillId="0" borderId="0"/>
    <xf numFmtId="0" fontId="43" fillId="54" borderId="41" applyNumberFormat="0" applyAlignment="0" applyProtection="0"/>
    <xf numFmtId="0" fontId="44" fillId="55" borderId="41" applyNumberFormat="0" applyAlignment="0" applyProtection="0"/>
    <xf numFmtId="193" fontId="39" fillId="0" borderId="0"/>
    <xf numFmtId="0" fontId="52" fillId="57" borderId="41" applyNumberFormat="0" applyAlignment="0" applyProtection="0"/>
    <xf numFmtId="0" fontId="39" fillId="58" borderId="36"/>
    <xf numFmtId="0" fontId="7" fillId="59" borderId="42" applyNumberFormat="0" applyFont="0" applyAlignment="0" applyProtection="0"/>
    <xf numFmtId="0" fontId="38" fillId="59" borderId="42" applyNumberFormat="0" applyFont="0" applyAlignment="0" applyProtection="0"/>
    <xf numFmtId="0" fontId="38" fillId="59" borderId="42" applyNumberFormat="0" applyFont="0" applyAlignment="0" applyProtection="0"/>
    <xf numFmtId="0" fontId="61" fillId="55" borderId="43" applyNumberFormat="0" applyAlignment="0" applyProtection="0"/>
    <xf numFmtId="0" fontId="14" fillId="0" borderId="0"/>
    <xf numFmtId="0" fontId="64" fillId="0" borderId="44" applyNumberFormat="0" applyFill="0" applyAlignment="0" applyProtection="0"/>
    <xf numFmtId="0" fontId="64" fillId="0" borderId="45" applyNumberFormat="0" applyFill="0" applyAlignment="0" applyProtection="0"/>
    <xf numFmtId="0" fontId="61" fillId="54" borderId="43" applyNumberFormat="0" applyAlignment="0" applyProtection="0"/>
    <xf numFmtId="44" fontId="7" fillId="0" borderId="0" applyFont="0" applyFill="0" applyBorder="0" applyAlignment="0" applyProtection="0"/>
    <xf numFmtId="0" fontId="7" fillId="0" borderId="0"/>
    <xf numFmtId="167" fontId="11" fillId="0" borderId="0" applyFont="0" applyFill="0" applyBorder="0" applyAlignment="0" applyProtection="0"/>
    <xf numFmtId="0" fontId="11" fillId="0" borderId="0"/>
    <xf numFmtId="187" fontId="7" fillId="0" borderId="0" applyFont="0" applyFill="0" applyBorder="0" applyAlignment="0" applyProtection="0"/>
    <xf numFmtId="196" fontId="11" fillId="0" borderId="0" applyFont="0" applyFill="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196" fontId="1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44" fontId="7" fillId="0" borderId="0" applyFont="0" applyFill="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44" fontId="7"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7" fillId="0" borderId="0" applyFont="0" applyFill="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193" fontId="39" fillId="0" borderId="0"/>
    <xf numFmtId="0" fontId="43" fillId="54" borderId="47" applyNumberFormat="0" applyAlignment="0" applyProtection="0"/>
    <xf numFmtId="0" fontId="44" fillId="55" borderId="47" applyNumberFormat="0" applyAlignment="0" applyProtection="0"/>
    <xf numFmtId="193" fontId="39" fillId="0" borderId="0"/>
    <xf numFmtId="0" fontId="52" fillId="57" borderId="47" applyNumberFormat="0" applyAlignment="0" applyProtection="0"/>
    <xf numFmtId="0" fontId="39" fillId="58" borderId="46"/>
    <xf numFmtId="0" fontId="7" fillId="59" borderId="48" applyNumberFormat="0" applyFont="0" applyAlignment="0" applyProtection="0"/>
    <xf numFmtId="0" fontId="38" fillId="59" borderId="48" applyNumberFormat="0" applyFont="0" applyAlignment="0" applyProtection="0"/>
    <xf numFmtId="0" fontId="38" fillId="59" borderId="48" applyNumberFormat="0" applyFont="0" applyAlignment="0" applyProtection="0"/>
    <xf numFmtId="0" fontId="61" fillId="55" borderId="49" applyNumberFormat="0" applyAlignment="0" applyProtection="0"/>
    <xf numFmtId="0" fontId="64" fillId="0" borderId="50" applyNumberFormat="0" applyFill="0" applyAlignment="0" applyProtection="0"/>
    <xf numFmtId="0" fontId="64" fillId="0" borderId="51" applyNumberFormat="0" applyFill="0" applyAlignment="0" applyProtection="0"/>
    <xf numFmtId="0" fontId="61" fillId="54" borderId="49" applyNumberFormat="0" applyAlignment="0" applyProtection="0"/>
    <xf numFmtId="44" fontId="7" fillId="0" borderId="0" applyFont="0" applyFill="0" applyBorder="0" applyAlignment="0" applyProtection="0"/>
    <xf numFmtId="0" fontId="3" fillId="0" borderId="0"/>
    <xf numFmtId="0" fontId="2" fillId="0" borderId="0"/>
    <xf numFmtId="0" fontId="1" fillId="0" borderId="0"/>
    <xf numFmtId="44" fontId="1" fillId="0" borderId="0" applyFont="0" applyFill="0" applyBorder="0" applyAlignment="0" applyProtection="0"/>
  </cellStyleXfs>
  <cellXfs count="544">
    <xf numFmtId="0" fontId="0" fillId="0" borderId="0" xfId="0"/>
    <xf numFmtId="0" fontId="69" fillId="0" borderId="0" xfId="13" applyFont="1" applyProtection="1">
      <protection hidden="1"/>
    </xf>
    <xf numFmtId="0" fontId="69" fillId="0" borderId="0" xfId="0" applyFont="1"/>
    <xf numFmtId="2" fontId="69" fillId="0" borderId="0" xfId="11" applyNumberFormat="1" applyFont="1" applyProtection="1">
      <protection hidden="1"/>
    </xf>
    <xf numFmtId="0" fontId="69" fillId="0" borderId="0" xfId="13" applyFont="1" applyAlignment="1" applyProtection="1">
      <alignment vertical="center"/>
      <protection hidden="1"/>
    </xf>
    <xf numFmtId="0" fontId="70" fillId="0" borderId="0" xfId="13" applyFont="1" applyAlignment="1" applyProtection="1">
      <alignment horizontal="right" vertical="center"/>
      <protection hidden="1"/>
    </xf>
    <xf numFmtId="176" fontId="69" fillId="0" borderId="0" xfId="13" applyNumberFormat="1" applyFont="1" applyAlignment="1" applyProtection="1">
      <alignment vertical="center"/>
      <protection hidden="1"/>
    </xf>
    <xf numFmtId="0" fontId="73" fillId="0" borderId="0" xfId="13" applyFont="1" applyAlignment="1" applyProtection="1">
      <alignment vertical="center"/>
      <protection hidden="1"/>
    </xf>
    <xf numFmtId="2" fontId="69" fillId="0" borderId="0" xfId="0" applyNumberFormat="1" applyFont="1" applyAlignment="1">
      <alignment vertical="center"/>
    </xf>
    <xf numFmtId="176" fontId="75" fillId="0" borderId="0" xfId="13" applyNumberFormat="1" applyFont="1" applyAlignment="1" applyProtection="1">
      <alignment vertical="center"/>
      <protection hidden="1"/>
    </xf>
    <xf numFmtId="177" fontId="69" fillId="0" borderId="0" xfId="13" applyNumberFormat="1" applyFont="1" applyAlignment="1" applyProtection="1">
      <alignment horizontal="right" vertical="center"/>
      <protection hidden="1"/>
    </xf>
    <xf numFmtId="0" fontId="69" fillId="0" borderId="0" xfId="13" applyFont="1" applyAlignment="1" applyProtection="1">
      <alignment horizontal="right" vertical="center"/>
      <protection hidden="1"/>
    </xf>
    <xf numFmtId="0" fontId="69" fillId="0" borderId="0" xfId="89" applyFont="1"/>
    <xf numFmtId="0" fontId="74" fillId="0" borderId="0" xfId="0" applyFont="1"/>
    <xf numFmtId="0" fontId="71" fillId="0" borderId="0" xfId="0" applyFont="1"/>
    <xf numFmtId="2" fontId="71" fillId="0" borderId="0" xfId="8" applyNumberFormat="1" applyFont="1" applyFill="1" applyBorder="1" applyAlignment="1">
      <alignment horizontal="center"/>
    </xf>
    <xf numFmtId="0" fontId="69" fillId="0" borderId="0" xfId="0" applyFont="1" applyAlignment="1">
      <alignment vertical="center"/>
    </xf>
    <xf numFmtId="2" fontId="69" fillId="0" borderId="0" xfId="13" applyNumberFormat="1" applyFont="1" applyAlignment="1" applyProtection="1">
      <alignment vertical="center"/>
      <protection hidden="1"/>
    </xf>
    <xf numFmtId="177" fontId="69" fillId="2" borderId="0" xfId="11" applyNumberFormat="1" applyFont="1" applyFill="1" applyAlignment="1" applyProtection="1">
      <alignment vertical="center"/>
      <protection hidden="1"/>
    </xf>
    <xf numFmtId="10" fontId="73" fillId="0" borderId="0" xfId="16" applyNumberFormat="1" applyFont="1" applyFill="1" applyBorder="1" applyAlignment="1" applyProtection="1">
      <alignment horizontal="right" vertical="center"/>
      <protection hidden="1"/>
    </xf>
    <xf numFmtId="10" fontId="68" fillId="0" borderId="0" xfId="16" applyNumberFormat="1" applyFont="1" applyFill="1" applyBorder="1" applyAlignment="1"/>
    <xf numFmtId="179" fontId="69" fillId="0" borderId="0" xfId="13" applyNumberFormat="1" applyFont="1" applyAlignment="1" applyProtection="1">
      <alignment vertical="center"/>
      <protection hidden="1"/>
    </xf>
    <xf numFmtId="0" fontId="69" fillId="0" borderId="0" xfId="0" applyFont="1" applyAlignment="1">
      <alignment horizontal="center" wrapText="1"/>
    </xf>
    <xf numFmtId="0" fontId="72" fillId="0" borderId="0" xfId="0" applyFont="1" applyAlignment="1">
      <alignment wrapText="1"/>
    </xf>
    <xf numFmtId="0" fontId="69" fillId="0" borderId="0" xfId="84" applyFont="1"/>
    <xf numFmtId="175" fontId="70" fillId="0" borderId="0" xfId="3" applyNumberFormat="1" applyFont="1" applyFill="1" applyBorder="1" applyAlignment="1" applyProtection="1">
      <alignment horizontal="center"/>
      <protection hidden="1"/>
    </xf>
    <xf numFmtId="169" fontId="70" fillId="0" borderId="0" xfId="3" applyFont="1" applyFill="1" applyBorder="1" applyAlignment="1" applyProtection="1">
      <alignment horizontal="center"/>
      <protection hidden="1"/>
    </xf>
    <xf numFmtId="0" fontId="70" fillId="0" borderId="0" xfId="13" applyFont="1" applyAlignment="1" applyProtection="1">
      <alignment horizontal="center"/>
      <protection hidden="1"/>
    </xf>
    <xf numFmtId="0" fontId="69" fillId="0" borderId="0" xfId="84" applyFont="1" applyAlignment="1">
      <alignment horizontal="center" vertical="center"/>
    </xf>
    <xf numFmtId="175" fontId="69" fillId="0" borderId="0" xfId="84" applyNumberFormat="1" applyFont="1" applyAlignment="1">
      <alignment horizontal="center" vertical="center"/>
    </xf>
    <xf numFmtId="0" fontId="69" fillId="0" borderId="0" xfId="103" applyFont="1"/>
    <xf numFmtId="0" fontId="74" fillId="0" borderId="0" xfId="103" applyFont="1"/>
    <xf numFmtId="0" fontId="76" fillId="0" borderId="0" xfId="13" applyFont="1" applyProtection="1">
      <protection hidden="1"/>
    </xf>
    <xf numFmtId="0" fontId="76" fillId="0" borderId="0" xfId="13" applyFont="1" applyAlignment="1" applyProtection="1">
      <alignment horizontal="right" vertical="center"/>
      <protection hidden="1"/>
    </xf>
    <xf numFmtId="2" fontId="76" fillId="0" borderId="0" xfId="13" applyNumberFormat="1" applyFont="1" applyAlignment="1" applyProtection="1">
      <alignment vertical="center"/>
      <protection hidden="1"/>
    </xf>
    <xf numFmtId="0" fontId="76" fillId="0" borderId="0" xfId="13" applyFont="1" applyAlignment="1" applyProtection="1">
      <alignment vertical="center"/>
      <protection hidden="1"/>
    </xf>
    <xf numFmtId="0" fontId="76" fillId="0" borderId="0" xfId="0" applyFont="1"/>
    <xf numFmtId="0" fontId="78" fillId="0" borderId="0" xfId="0" applyFont="1"/>
    <xf numFmtId="2" fontId="79" fillId="0" borderId="0" xfId="12" applyNumberFormat="1" applyFont="1"/>
    <xf numFmtId="2" fontId="80" fillId="2" borderId="0" xfId="12" applyNumberFormat="1" applyFont="1" applyFill="1"/>
    <xf numFmtId="0" fontId="82" fillId="0" borderId="0" xfId="89" applyFont="1"/>
    <xf numFmtId="167" fontId="82" fillId="0" borderId="0" xfId="8" applyFont="1"/>
    <xf numFmtId="173" fontId="84" fillId="0" borderId="0" xfId="8" applyNumberFormat="1" applyFont="1" applyAlignment="1">
      <alignment horizontal="center"/>
    </xf>
    <xf numFmtId="167" fontId="82" fillId="0" borderId="34" xfId="8" applyFont="1" applyBorder="1"/>
    <xf numFmtId="49" fontId="86" fillId="0" borderId="0" xfId="63" applyNumberFormat="1" applyFont="1"/>
    <xf numFmtId="0" fontId="86" fillId="0" borderId="0" xfId="63" applyFont="1"/>
    <xf numFmtId="10" fontId="86" fillId="0" borderId="0" xfId="63" applyNumberFormat="1" applyFont="1" applyAlignment="1">
      <alignment horizontal="left"/>
    </xf>
    <xf numFmtId="2" fontId="80" fillId="0" borderId="0" xfId="12" applyNumberFormat="1" applyFont="1"/>
    <xf numFmtId="188" fontId="87" fillId="0" borderId="0" xfId="63" applyNumberFormat="1" applyFont="1" applyAlignment="1">
      <alignment horizontal="left"/>
    </xf>
    <xf numFmtId="0" fontId="82" fillId="0" borderId="0" xfId="63" applyFont="1"/>
    <xf numFmtId="2" fontId="87" fillId="0" borderId="0" xfId="12" applyNumberFormat="1" applyFont="1"/>
    <xf numFmtId="0" fontId="86" fillId="0" borderId="0" xfId="89" applyFont="1"/>
    <xf numFmtId="167" fontId="86" fillId="0" borderId="0" xfId="8" applyFont="1"/>
    <xf numFmtId="2" fontId="84" fillId="0" borderId="0" xfId="89" applyNumberFormat="1" applyFont="1"/>
    <xf numFmtId="0" fontId="89" fillId="0" borderId="0" xfId="89" applyFont="1"/>
    <xf numFmtId="0" fontId="84" fillId="0" borderId="0" xfId="89" applyFont="1"/>
    <xf numFmtId="0" fontId="82" fillId="0" borderId="0" xfId="0" applyFont="1"/>
    <xf numFmtId="0" fontId="82" fillId="0" borderId="0" xfId="0" applyFont="1" applyAlignment="1">
      <alignment horizontal="center" vertical="center"/>
    </xf>
    <xf numFmtId="2" fontId="90" fillId="0" borderId="0" xfId="12" applyNumberFormat="1" applyFont="1"/>
    <xf numFmtId="0" fontId="82" fillId="0" borderId="0" xfId="17" applyFont="1" applyAlignment="1">
      <alignment horizontal="center"/>
    </xf>
    <xf numFmtId="2" fontId="82" fillId="0" borderId="0" xfId="8" applyNumberFormat="1" applyFont="1" applyAlignment="1">
      <alignment horizontal="left"/>
    </xf>
    <xf numFmtId="172" fontId="82" fillId="0" borderId="0" xfId="17" applyNumberFormat="1" applyFont="1" applyAlignment="1">
      <alignment horizontal="center"/>
    </xf>
    <xf numFmtId="172" fontId="91" fillId="0" borderId="0" xfId="12" applyNumberFormat="1" applyFont="1"/>
    <xf numFmtId="3" fontId="91" fillId="0" borderId="0" xfId="12" applyNumberFormat="1" applyFont="1" applyAlignment="1">
      <alignment horizontal="right"/>
    </xf>
    <xf numFmtId="3" fontId="82" fillId="0" borderId="0" xfId="8" applyNumberFormat="1" applyFont="1" applyAlignment="1">
      <alignment horizontal="right"/>
    </xf>
    <xf numFmtId="0" fontId="82" fillId="0" borderId="0" xfId="17" applyFont="1"/>
    <xf numFmtId="167" fontId="82" fillId="0" borderId="0" xfId="8" applyFont="1" applyAlignment="1">
      <alignment horizontal="right"/>
    </xf>
    <xf numFmtId="0" fontId="92" fillId="0" borderId="0" xfId="17" applyFont="1"/>
    <xf numFmtId="173" fontId="82" fillId="0" borderId="0" xfId="0" applyNumberFormat="1" applyFont="1"/>
    <xf numFmtId="0" fontId="86" fillId="0" borderId="0" xfId="0" applyFont="1"/>
    <xf numFmtId="0" fontId="89" fillId="0" borderId="0" xfId="0" applyFont="1" applyAlignment="1">
      <alignment horizontal="center"/>
    </xf>
    <xf numFmtId="2" fontId="93" fillId="0" borderId="0" xfId="0" applyNumberFormat="1" applyFont="1"/>
    <xf numFmtId="2" fontId="84" fillId="0" borderId="0" xfId="0" applyNumberFormat="1" applyFont="1" applyAlignment="1">
      <alignment horizontal="center"/>
    </xf>
    <xf numFmtId="2" fontId="84" fillId="0" borderId="0" xfId="0" applyNumberFormat="1" applyFont="1"/>
    <xf numFmtId="0" fontId="84" fillId="0" borderId="0" xfId="0" applyFont="1"/>
    <xf numFmtId="1" fontId="84" fillId="0" borderId="0" xfId="0" applyNumberFormat="1" applyFont="1" applyAlignment="1">
      <alignment horizontal="center"/>
    </xf>
    <xf numFmtId="0" fontId="85" fillId="0" borderId="0" xfId="0" applyFont="1"/>
    <xf numFmtId="0" fontId="81" fillId="0" borderId="0" xfId="0" applyFont="1"/>
    <xf numFmtId="167" fontId="84" fillId="0" borderId="0" xfId="8" applyFont="1"/>
    <xf numFmtId="0" fontId="82" fillId="0" borderId="0" xfId="0" applyFont="1" applyAlignment="1">
      <alignment horizontal="center"/>
    </xf>
    <xf numFmtId="0" fontId="82" fillId="0" borderId="4" xfId="0" applyFont="1" applyBorder="1"/>
    <xf numFmtId="1" fontId="82" fillId="0" borderId="4" xfId="0" applyNumberFormat="1" applyFont="1" applyBorder="1" applyAlignment="1">
      <alignment horizontal="center"/>
    </xf>
    <xf numFmtId="0" fontId="82" fillId="0" borderId="16" xfId="0" applyFont="1" applyBorder="1" applyAlignment="1">
      <alignment wrapText="1"/>
    </xf>
    <xf numFmtId="0" fontId="82" fillId="0" borderId="16" xfId="0" applyFont="1" applyBorder="1"/>
    <xf numFmtId="0" fontId="82" fillId="2" borderId="16" xfId="0" applyFont="1" applyFill="1" applyBorder="1" applyAlignment="1">
      <alignment wrapText="1"/>
    </xf>
    <xf numFmtId="0" fontId="88" fillId="0" borderId="0" xfId="0" applyFont="1"/>
    <xf numFmtId="0" fontId="89" fillId="0" borderId="0" xfId="13" applyFont="1" applyProtection="1">
      <protection hidden="1"/>
    </xf>
    <xf numFmtId="0" fontId="82" fillId="0" borderId="0" xfId="13" applyFont="1" applyProtection="1">
      <protection hidden="1"/>
    </xf>
    <xf numFmtId="0" fontId="84" fillId="0" borderId="0" xfId="0" applyFont="1" applyAlignment="1">
      <alignment horizontal="center"/>
    </xf>
    <xf numFmtId="2" fontId="82" fillId="0" borderId="0" xfId="13" applyNumberFormat="1" applyFont="1" applyAlignment="1" applyProtection="1">
      <alignment vertical="center"/>
      <protection hidden="1"/>
    </xf>
    <xf numFmtId="2" fontId="82" fillId="0" borderId="3" xfId="11" applyNumberFormat="1" applyFont="1" applyBorder="1" applyProtection="1">
      <protection hidden="1"/>
    </xf>
    <xf numFmtId="2" fontId="82" fillId="0" borderId="0" xfId="11" applyNumberFormat="1" applyFont="1" applyProtection="1">
      <protection hidden="1"/>
    </xf>
    <xf numFmtId="0" fontId="82" fillId="0" borderId="35" xfId="0" applyFont="1" applyBorder="1"/>
    <xf numFmtId="0" fontId="82" fillId="0" borderId="34" xfId="0" applyFont="1" applyBorder="1" applyAlignment="1">
      <alignment horizontal="left"/>
    </xf>
    <xf numFmtId="0" fontId="96" fillId="0" borderId="3" xfId="13" applyFont="1" applyBorder="1" applyAlignment="1" applyProtection="1">
      <alignment horizontal="left" vertical="center"/>
      <protection hidden="1"/>
    </xf>
    <xf numFmtId="0" fontId="82" fillId="0" borderId="0" xfId="0" applyFont="1" applyAlignment="1">
      <alignment vertical="center"/>
    </xf>
    <xf numFmtId="0" fontId="96" fillId="0" borderId="0" xfId="13" applyFont="1" applyAlignment="1" applyProtection="1">
      <alignment horizontal="left" vertical="center"/>
      <protection hidden="1"/>
    </xf>
    <xf numFmtId="0" fontId="86" fillId="0" borderId="34" xfId="0" applyFont="1" applyBorder="1"/>
    <xf numFmtId="0" fontId="82" fillId="0" borderId="2" xfId="0" applyFont="1" applyBorder="1"/>
    <xf numFmtId="0" fontId="93" fillId="0" borderId="0" xfId="13" applyFont="1" applyProtection="1">
      <protection hidden="1"/>
    </xf>
    <xf numFmtId="0" fontId="98" fillId="0" borderId="0" xfId="0" applyFont="1" applyAlignment="1">
      <alignment horizontal="left" indent="3"/>
    </xf>
    <xf numFmtId="0" fontId="98" fillId="0" borderId="0" xfId="0" applyFont="1"/>
    <xf numFmtId="0" fontId="98" fillId="0" borderId="0" xfId="0" applyFont="1" applyAlignment="1">
      <alignment horizontal="left" indent="1"/>
    </xf>
    <xf numFmtId="180" fontId="98" fillId="0" borderId="0" xfId="0" applyNumberFormat="1" applyFont="1"/>
    <xf numFmtId="179" fontId="98" fillId="0" borderId="0" xfId="0" applyNumberFormat="1" applyFont="1"/>
    <xf numFmtId="0" fontId="99" fillId="0" borderId="0" xfId="13" applyFont="1" applyAlignment="1" applyProtection="1">
      <alignment horizontal="center"/>
      <protection hidden="1"/>
    </xf>
    <xf numFmtId="0" fontId="99" fillId="0" borderId="0" xfId="13" applyFont="1" applyAlignment="1" applyProtection="1">
      <alignment horizontal="right"/>
      <protection hidden="1"/>
    </xf>
    <xf numFmtId="169" fontId="99" fillId="0" borderId="0" xfId="3" applyFont="1" applyFill="1" applyBorder="1" applyAlignment="1" applyProtection="1">
      <alignment horizontal="center"/>
      <protection hidden="1"/>
    </xf>
    <xf numFmtId="175" fontId="99" fillId="0" borderId="0" xfId="3" applyNumberFormat="1" applyFont="1" applyFill="1" applyBorder="1" applyAlignment="1" applyProtection="1">
      <alignment horizontal="center"/>
      <protection hidden="1"/>
    </xf>
    <xf numFmtId="2" fontId="80" fillId="0" borderId="0" xfId="0" applyNumberFormat="1" applyFont="1"/>
    <xf numFmtId="0" fontId="100" fillId="0" borderId="0" xfId="13" applyFont="1" applyAlignment="1" applyProtection="1">
      <alignment horizontal="right"/>
      <protection hidden="1"/>
    </xf>
    <xf numFmtId="0" fontId="101" fillId="0" borderId="0" xfId="0" applyFont="1" applyAlignment="1">
      <alignment horizontal="center" vertical="center"/>
    </xf>
    <xf numFmtId="175" fontId="101" fillId="0" borderId="0" xfId="0" applyNumberFormat="1" applyFont="1" applyAlignment="1">
      <alignment horizontal="center" vertical="center"/>
    </xf>
    <xf numFmtId="1" fontId="80" fillId="0" borderId="0" xfId="0" applyNumberFormat="1" applyFont="1" applyAlignment="1">
      <alignment horizontal="left"/>
    </xf>
    <xf numFmtId="2" fontId="100" fillId="0" borderId="0" xfId="13" applyNumberFormat="1" applyFont="1" applyAlignment="1" applyProtection="1">
      <alignment horizontal="right"/>
      <protection hidden="1"/>
    </xf>
    <xf numFmtId="2" fontId="102" fillId="0" borderId="0" xfId="13" applyNumberFormat="1" applyFont="1" applyAlignment="1" applyProtection="1">
      <alignment horizontal="center"/>
      <protection hidden="1"/>
    </xf>
    <xf numFmtId="0" fontId="82" fillId="0" borderId="0" xfId="0" applyFont="1" applyAlignment="1">
      <alignment vertical="top" wrapText="1"/>
    </xf>
    <xf numFmtId="0" fontId="82" fillId="0" borderId="0" xfId="0" applyFont="1" applyAlignment="1">
      <alignment horizontal="center" wrapText="1"/>
    </xf>
    <xf numFmtId="2" fontId="94" fillId="0" borderId="0" xfId="0" applyNumberFormat="1" applyFont="1"/>
    <xf numFmtId="1" fontId="103" fillId="0" borderId="0" xfId="0" applyNumberFormat="1" applyFont="1" applyAlignment="1">
      <alignment horizontal="left"/>
    </xf>
    <xf numFmtId="2" fontId="102" fillId="0" borderId="0" xfId="13" applyNumberFormat="1" applyFont="1" applyAlignment="1" applyProtection="1">
      <alignment horizontal="right"/>
      <protection hidden="1"/>
    </xf>
    <xf numFmtId="2" fontId="91" fillId="0" borderId="0" xfId="0" applyNumberFormat="1" applyFont="1" applyAlignment="1">
      <alignment horizontal="center" vertical="center"/>
    </xf>
    <xf numFmtId="175" fontId="91" fillId="0" borderId="0" xfId="0" applyNumberFormat="1" applyFont="1" applyAlignment="1">
      <alignment horizontal="center" vertical="center"/>
    </xf>
    <xf numFmtId="0" fontId="82" fillId="0" borderId="35" xfId="13" applyFont="1" applyBorder="1" applyProtection="1">
      <protection hidden="1"/>
    </xf>
    <xf numFmtId="0" fontId="107" fillId="0" borderId="34" xfId="13" applyFont="1" applyBorder="1" applyAlignment="1" applyProtection="1">
      <alignment horizontal="right"/>
      <protection hidden="1"/>
    </xf>
    <xf numFmtId="2" fontId="100" fillId="0" borderId="0" xfId="13" applyNumberFormat="1" applyFont="1" applyAlignment="1" applyProtection="1">
      <alignment horizontal="center"/>
      <protection hidden="1"/>
    </xf>
    <xf numFmtId="2" fontId="109" fillId="0" borderId="0" xfId="13" applyNumberFormat="1" applyFont="1" applyAlignment="1" applyProtection="1">
      <alignment horizontal="center"/>
      <protection hidden="1"/>
    </xf>
    <xf numFmtId="0" fontId="89" fillId="0" borderId="0" xfId="0" applyFont="1"/>
    <xf numFmtId="2" fontId="82" fillId="0" borderId="35" xfId="13" applyNumberFormat="1" applyFont="1" applyBorder="1" applyProtection="1">
      <protection hidden="1"/>
    </xf>
    <xf numFmtId="0" fontId="108" fillId="0" borderId="0" xfId="0" applyFont="1"/>
    <xf numFmtId="0" fontId="111" fillId="0" borderId="35" xfId="13" applyFont="1" applyBorder="1" applyProtection="1">
      <protection hidden="1"/>
    </xf>
    <xf numFmtId="0" fontId="112" fillId="0" borderId="37" xfId="13" applyFont="1" applyBorder="1" applyProtection="1">
      <protection hidden="1"/>
    </xf>
    <xf numFmtId="0" fontId="112" fillId="0" borderId="34" xfId="13" applyFont="1" applyBorder="1" applyAlignment="1" applyProtection="1">
      <alignment horizontal="right"/>
      <protection hidden="1"/>
    </xf>
    <xf numFmtId="0" fontId="92" fillId="0" borderId="33" xfId="13" applyFont="1" applyBorder="1" applyProtection="1">
      <protection hidden="1"/>
    </xf>
    <xf numFmtId="10" fontId="106" fillId="0" borderId="2" xfId="13" applyNumberFormat="1" applyFont="1" applyBorder="1" applyAlignment="1" applyProtection="1">
      <alignment horizontal="right"/>
      <protection hidden="1"/>
    </xf>
    <xf numFmtId="175" fontId="107" fillId="0" borderId="6" xfId="16" applyNumberFormat="1" applyFont="1" applyFill="1" applyBorder="1" applyAlignment="1" applyProtection="1">
      <alignment horizontal="right"/>
      <protection hidden="1"/>
    </xf>
    <xf numFmtId="0" fontId="106" fillId="0" borderId="0" xfId="0" applyFont="1"/>
    <xf numFmtId="0" fontId="106" fillId="0" borderId="5" xfId="0" applyFont="1" applyBorder="1" applyAlignment="1">
      <alignment horizontal="right"/>
    </xf>
    <xf numFmtId="0" fontId="106" fillId="0" borderId="0" xfId="0" applyFont="1" applyAlignment="1">
      <alignment horizontal="right"/>
    </xf>
    <xf numFmtId="175" fontId="89" fillId="0" borderId="0" xfId="0" applyNumberFormat="1" applyFont="1"/>
    <xf numFmtId="0" fontId="89" fillId="0" borderId="0" xfId="0" applyFont="1" applyAlignment="1">
      <alignment horizontal="right"/>
    </xf>
    <xf numFmtId="0" fontId="82" fillId="2" borderId="35" xfId="10" applyFont="1" applyFill="1" applyBorder="1"/>
    <xf numFmtId="44" fontId="82" fillId="35" borderId="37" xfId="66" applyFont="1" applyFill="1" applyBorder="1" applyAlignment="1" applyProtection="1">
      <protection locked="0"/>
    </xf>
    <xf numFmtId="44" fontId="82" fillId="35" borderId="34" xfId="66" applyFont="1" applyFill="1" applyBorder="1" applyAlignment="1" applyProtection="1">
      <protection locked="0"/>
    </xf>
    <xf numFmtId="2" fontId="80" fillId="0" borderId="0" xfId="63" applyNumberFormat="1" applyFont="1"/>
    <xf numFmtId="0" fontId="108" fillId="0" borderId="0" xfId="10" applyFont="1"/>
    <xf numFmtId="179" fontId="108" fillId="0" borderId="0" xfId="10" applyNumberFormat="1" applyFont="1"/>
    <xf numFmtId="2" fontId="108" fillId="0" borderId="0" xfId="10" applyNumberFormat="1" applyFont="1"/>
    <xf numFmtId="2" fontId="94" fillId="0" borderId="0" xfId="10" applyNumberFormat="1" applyFont="1" applyAlignment="1">
      <alignment vertical="center"/>
    </xf>
    <xf numFmtId="2" fontId="94" fillId="0" borderId="0" xfId="10" applyNumberFormat="1" applyFont="1" applyAlignment="1">
      <alignment horizontal="right" vertical="center"/>
    </xf>
    <xf numFmtId="2" fontId="94" fillId="0" borderId="0" xfId="12" applyNumberFormat="1" applyFont="1"/>
    <xf numFmtId="2" fontId="103" fillId="0" borderId="0" xfId="10" applyNumberFormat="1" applyFont="1" applyAlignment="1">
      <alignment vertical="center"/>
    </xf>
    <xf numFmtId="0" fontId="91" fillId="0" borderId="0" xfId="14" applyFont="1"/>
    <xf numFmtId="2" fontId="91" fillId="0" borderId="0" xfId="14" applyNumberFormat="1" applyFont="1"/>
    <xf numFmtId="0" fontId="82" fillId="0" borderId="0" xfId="10" applyFont="1"/>
    <xf numFmtId="0" fontId="84" fillId="0" borderId="0" xfId="9" applyFont="1" applyAlignment="1" applyProtection="1">
      <alignment horizontal="left" vertical="center"/>
      <protection hidden="1"/>
    </xf>
    <xf numFmtId="0" fontId="82" fillId="0" borderId="0" xfId="9" applyFont="1" applyAlignment="1" applyProtection="1">
      <alignment horizontal="center"/>
      <protection hidden="1"/>
    </xf>
    <xf numFmtId="0" fontId="82" fillId="0" borderId="0" xfId="9" applyFont="1" applyAlignment="1" applyProtection="1">
      <alignment horizontal="left"/>
      <protection hidden="1"/>
    </xf>
    <xf numFmtId="0" fontId="82" fillId="0" borderId="2" xfId="10" applyFont="1" applyBorder="1"/>
    <xf numFmtId="0" fontId="82" fillId="0" borderId="0" xfId="0" applyFont="1" applyAlignment="1">
      <alignment horizontal="left" vertical="center" indent="6"/>
    </xf>
    <xf numFmtId="0" fontId="89" fillId="0" borderId="0" xfId="13" applyFont="1" applyAlignment="1" applyProtection="1">
      <alignment horizontal="center"/>
      <protection hidden="1"/>
    </xf>
    <xf numFmtId="173" fontId="82" fillId="0" borderId="0" xfId="8" applyNumberFormat="1" applyFont="1" applyFill="1" applyAlignment="1" applyProtection="1">
      <protection hidden="1"/>
    </xf>
    <xf numFmtId="0" fontId="82" fillId="0" borderId="0" xfId="84" applyFont="1"/>
    <xf numFmtId="175" fontId="113" fillId="0" borderId="0" xfId="3" applyNumberFormat="1" applyFont="1" applyFill="1" applyBorder="1" applyAlignment="1" applyProtection="1">
      <alignment horizontal="center"/>
      <protection hidden="1"/>
    </xf>
    <xf numFmtId="2" fontId="94" fillId="0" borderId="0" xfId="84" applyNumberFormat="1" applyFont="1"/>
    <xf numFmtId="169" fontId="113" fillId="0" borderId="0" xfId="3" applyFont="1" applyFill="1" applyBorder="1" applyAlignment="1" applyProtection="1">
      <alignment horizontal="center"/>
      <protection hidden="1"/>
    </xf>
    <xf numFmtId="173" fontId="113" fillId="0" borderId="0" xfId="8" applyNumberFormat="1" applyFont="1" applyFill="1" applyBorder="1" applyAlignment="1" applyProtection="1">
      <alignment horizontal="center"/>
      <protection hidden="1"/>
    </xf>
    <xf numFmtId="0" fontId="82" fillId="0" borderId="0" xfId="103" applyFont="1"/>
    <xf numFmtId="0" fontId="82" fillId="0" borderId="0" xfId="103" applyFont="1" applyAlignment="1">
      <alignment horizontal="center"/>
    </xf>
    <xf numFmtId="167" fontId="82" fillId="0" borderId="0" xfId="105" applyFont="1"/>
    <xf numFmtId="173" fontId="82" fillId="0" borderId="0" xfId="8" applyNumberFormat="1" applyFont="1"/>
    <xf numFmtId="2" fontId="80" fillId="64" borderId="0" xfId="12" applyNumberFormat="1" applyFont="1" applyFill="1"/>
    <xf numFmtId="2" fontId="79" fillId="64" borderId="0" xfId="12" applyNumberFormat="1" applyFont="1" applyFill="1"/>
    <xf numFmtId="0" fontId="82" fillId="64" borderId="2" xfId="10" applyFont="1" applyFill="1" applyBorder="1"/>
    <xf numFmtId="0" fontId="117" fillId="0" borderId="0" xfId="0" applyFont="1" applyAlignment="1">
      <alignment horizontal="center" vertical="center"/>
    </xf>
    <xf numFmtId="0" fontId="121" fillId="0" borderId="0" xfId="17" applyFont="1"/>
    <xf numFmtId="2" fontId="122" fillId="0" borderId="0" xfId="0" applyNumberFormat="1" applyFont="1"/>
    <xf numFmtId="0" fontId="117" fillId="0" borderId="0" xfId="0" applyFont="1" applyAlignment="1">
      <alignment horizontal="center"/>
    </xf>
    <xf numFmtId="2" fontId="123" fillId="0" borderId="0" xfId="13" applyNumberFormat="1" applyFont="1" applyAlignment="1" applyProtection="1">
      <alignment vertical="center"/>
      <protection locked="0"/>
    </xf>
    <xf numFmtId="2" fontId="128" fillId="0" borderId="0" xfId="13" applyNumberFormat="1" applyFont="1" applyAlignment="1" applyProtection="1">
      <alignment horizontal="center" wrapText="1"/>
      <protection hidden="1"/>
    </xf>
    <xf numFmtId="0" fontId="117" fillId="0" borderId="0" xfId="0" applyFont="1" applyAlignment="1">
      <alignment horizontal="center" wrapText="1"/>
    </xf>
    <xf numFmtId="2" fontId="127" fillId="63" borderId="35" xfId="13" applyNumberFormat="1" applyFont="1" applyFill="1" applyBorder="1" applyAlignment="1" applyProtection="1">
      <alignment horizontal="left" vertical="center" wrapText="1"/>
      <protection hidden="1"/>
    </xf>
    <xf numFmtId="173" fontId="118" fillId="63" borderId="35" xfId="8" applyNumberFormat="1" applyFont="1" applyFill="1" applyBorder="1" applyAlignment="1">
      <alignment vertical="top" wrapText="1"/>
    </xf>
    <xf numFmtId="173" fontId="118" fillId="63" borderId="37" xfId="8" applyNumberFormat="1" applyFont="1" applyFill="1" applyBorder="1" applyAlignment="1">
      <alignment vertical="top" wrapText="1"/>
    </xf>
    <xf numFmtId="173" fontId="118" fillId="63" borderId="34" xfId="8" applyNumberFormat="1" applyFont="1" applyFill="1" applyBorder="1" applyAlignment="1">
      <alignment vertical="top" wrapText="1"/>
    </xf>
    <xf numFmtId="0" fontId="87" fillId="0" borderId="0" xfId="9" applyFont="1" applyAlignment="1" applyProtection="1">
      <alignment horizontal="left" vertical="center"/>
      <protection hidden="1"/>
    </xf>
    <xf numFmtId="0" fontId="119" fillId="0" borderId="0" xfId="103" applyFont="1"/>
    <xf numFmtId="166" fontId="134" fillId="2" borderId="34" xfId="18" applyFont="1" applyFill="1" applyBorder="1" applyAlignment="1"/>
    <xf numFmtId="0" fontId="135" fillId="0" borderId="0" xfId="63" applyFont="1"/>
    <xf numFmtId="178" fontId="135" fillId="0" borderId="2" xfId="6" applyNumberFormat="1" applyFont="1" applyFill="1" applyBorder="1" applyAlignment="1"/>
    <xf numFmtId="44" fontId="135" fillId="0" borderId="0" xfId="63" applyNumberFormat="1" applyFont="1"/>
    <xf numFmtId="44" fontId="132" fillId="63" borderId="34" xfId="63" applyNumberFormat="1" applyFont="1" applyFill="1" applyBorder="1"/>
    <xf numFmtId="173" fontId="83" fillId="63" borderId="35" xfId="8" applyNumberFormat="1" applyFont="1" applyFill="1" applyBorder="1" applyAlignment="1">
      <alignment horizontal="left"/>
    </xf>
    <xf numFmtId="167" fontId="83" fillId="63" borderId="34" xfId="8" applyFont="1" applyFill="1" applyBorder="1"/>
    <xf numFmtId="49" fontId="85" fillId="0" borderId="35" xfId="63" applyNumberFormat="1" applyFont="1" applyBorder="1" applyAlignment="1">
      <alignment vertical="top"/>
    </xf>
    <xf numFmtId="0" fontId="82" fillId="0" borderId="37" xfId="63" applyFont="1" applyBorder="1"/>
    <xf numFmtId="49" fontId="84" fillId="0" borderId="37" xfId="63" applyNumberFormat="1" applyFont="1" applyBorder="1"/>
    <xf numFmtId="49" fontId="83" fillId="63" borderId="35" xfId="63" applyNumberFormat="1" applyFont="1" applyFill="1" applyBorder="1"/>
    <xf numFmtId="0" fontId="83" fillId="63" borderId="37" xfId="63" applyFont="1" applyFill="1" applyBorder="1"/>
    <xf numFmtId="0" fontId="39" fillId="0" borderId="0" xfId="17" applyFont="1"/>
    <xf numFmtId="0" fontId="133" fillId="0" borderId="0" xfId="17" applyFont="1"/>
    <xf numFmtId="0" fontId="39" fillId="0" borderId="0" xfId="0" applyFont="1"/>
    <xf numFmtId="0" fontId="39" fillId="0" borderId="16" xfId="0" applyFont="1" applyBorder="1" applyAlignment="1">
      <alignment wrapText="1"/>
    </xf>
    <xf numFmtId="0" fontId="39" fillId="0" borderId="0" xfId="0" applyFont="1" applyAlignment="1">
      <alignment horizontal="center"/>
    </xf>
    <xf numFmtId="2" fontId="133" fillId="0" borderId="0" xfId="0" applyNumberFormat="1" applyFont="1" applyAlignment="1">
      <alignment horizontal="center"/>
    </xf>
    <xf numFmtId="2" fontId="136" fillId="0" borderId="0" xfId="0" applyNumberFormat="1" applyFont="1" applyAlignment="1">
      <alignment horizontal="center"/>
    </xf>
    <xf numFmtId="2" fontId="142" fillId="0" borderId="0" xfId="12" applyNumberFormat="1" applyFont="1" applyAlignment="1">
      <alignment horizontal="center"/>
    </xf>
    <xf numFmtId="174" fontId="39" fillId="0" borderId="4" xfId="0" applyNumberFormat="1" applyFont="1" applyBorder="1" applyAlignment="1">
      <alignment horizontal="center"/>
    </xf>
    <xf numFmtId="0" fontId="39" fillId="0" borderId="16" xfId="0" applyFont="1" applyBorder="1" applyAlignment="1">
      <alignment horizontal="center" wrapText="1"/>
    </xf>
    <xf numFmtId="0" fontId="39" fillId="2" borderId="16" xfId="0" applyFont="1" applyFill="1" applyBorder="1" applyAlignment="1">
      <alignment horizontal="center" wrapText="1"/>
    </xf>
    <xf numFmtId="179" fontId="143" fillId="0" borderId="6" xfId="13" applyNumberFormat="1" applyFont="1" applyBorder="1" applyAlignment="1" applyProtection="1">
      <alignment horizontal="left" vertical="center"/>
      <protection hidden="1"/>
    </xf>
    <xf numFmtId="181" fontId="39" fillId="0" borderId="0" xfId="11" applyNumberFormat="1" applyFont="1" applyProtection="1">
      <protection hidden="1"/>
    </xf>
    <xf numFmtId="175" fontId="144" fillId="0" borderId="5" xfId="0" applyNumberFormat="1" applyFont="1" applyBorder="1" applyAlignment="1">
      <alignment horizontal="center" vertical="center"/>
    </xf>
    <xf numFmtId="175" fontId="138" fillId="0" borderId="5" xfId="0" applyNumberFormat="1" applyFont="1" applyBorder="1" applyAlignment="1">
      <alignment horizontal="center" vertical="center"/>
    </xf>
    <xf numFmtId="175" fontId="147" fillId="0" borderId="5" xfId="0" applyNumberFormat="1" applyFont="1" applyBorder="1" applyAlignment="1">
      <alignment horizontal="center" vertical="center"/>
    </xf>
    <xf numFmtId="175" fontId="39" fillId="0" borderId="5" xfId="0" applyNumberFormat="1" applyFont="1" applyBorder="1"/>
    <xf numFmtId="179" fontId="133" fillId="0" borderId="4" xfId="5" applyNumberFormat="1" applyFont="1" applyFill="1" applyBorder="1" applyAlignment="1" applyProtection="1">
      <protection hidden="1"/>
    </xf>
    <xf numFmtId="175" fontId="39" fillId="0" borderId="6" xfId="0" applyNumberFormat="1" applyFont="1" applyBorder="1" applyAlignment="1">
      <alignment horizontal="center" vertical="center"/>
    </xf>
    <xf numFmtId="175" fontId="39" fillId="0" borderId="0" xfId="0" applyNumberFormat="1" applyFont="1"/>
    <xf numFmtId="179" fontId="138" fillId="0" borderId="0" xfId="0" applyNumberFormat="1" applyFont="1"/>
    <xf numFmtId="0" fontId="138" fillId="0" borderId="0" xfId="0" applyFont="1"/>
    <xf numFmtId="2" fontId="39" fillId="0" borderId="35" xfId="13" applyNumberFormat="1" applyFont="1" applyBorder="1" applyProtection="1">
      <protection hidden="1"/>
    </xf>
    <xf numFmtId="44" fontId="39" fillId="65" borderId="34" xfId="66" applyFont="1" applyFill="1" applyBorder="1" applyAlignment="1" applyProtection="1">
      <protection locked="0"/>
    </xf>
    <xf numFmtId="0" fontId="39" fillId="0" borderId="0" xfId="103" applyFont="1"/>
    <xf numFmtId="1" fontId="116" fillId="0" borderId="35" xfId="0" applyNumberFormat="1" applyFont="1" applyBorder="1" applyAlignment="1">
      <alignment horizontal="left" vertical="center"/>
    </xf>
    <xf numFmtId="1" fontId="116" fillId="0" borderId="37" xfId="0" applyNumberFormat="1" applyFont="1" applyBorder="1" applyAlignment="1">
      <alignment horizontal="left" vertical="center"/>
    </xf>
    <xf numFmtId="1" fontId="141" fillId="0" borderId="37" xfId="0" applyNumberFormat="1" applyFont="1" applyBorder="1" applyAlignment="1">
      <alignment horizontal="center" vertical="center" wrapText="1"/>
    </xf>
    <xf numFmtId="1" fontId="116" fillId="0" borderId="34" xfId="0" applyNumberFormat="1" applyFont="1" applyBorder="1" applyAlignment="1">
      <alignment horizontal="center" vertical="center" wrapText="1"/>
    </xf>
    <xf numFmtId="0" fontId="82" fillId="0" borderId="34" xfId="0" applyFont="1" applyBorder="1"/>
    <xf numFmtId="2" fontId="39" fillId="0" borderId="34" xfId="0" applyNumberFormat="1" applyFont="1" applyBorder="1" applyAlignment="1">
      <alignment horizontal="right"/>
    </xf>
    <xf numFmtId="2" fontId="124" fillId="63" borderId="35" xfId="13" applyNumberFormat="1" applyFont="1" applyFill="1" applyBorder="1" applyAlignment="1" applyProtection="1">
      <alignment horizontal="left" vertical="center"/>
      <protection hidden="1"/>
    </xf>
    <xf numFmtId="2" fontId="95" fillId="63" borderId="37" xfId="11" applyNumberFormat="1" applyFont="1" applyFill="1" applyBorder="1" applyProtection="1">
      <protection hidden="1"/>
    </xf>
    <xf numFmtId="2" fontId="95" fillId="63" borderId="34" xfId="11" applyNumberFormat="1" applyFont="1" applyFill="1" applyBorder="1" applyProtection="1">
      <protection hidden="1"/>
    </xf>
    <xf numFmtId="2" fontId="82" fillId="0" borderId="35" xfId="11" applyNumberFormat="1" applyFont="1" applyBorder="1" applyProtection="1">
      <protection hidden="1"/>
    </xf>
    <xf numFmtId="2" fontId="82" fillId="0" borderId="34" xfId="11" applyNumberFormat="1" applyFont="1" applyBorder="1" applyProtection="1">
      <protection hidden="1"/>
    </xf>
    <xf numFmtId="0" fontId="84" fillId="0" borderId="35" xfId="0" applyFont="1" applyBorder="1"/>
    <xf numFmtId="0" fontId="84" fillId="0" borderId="34" xfId="0" applyFont="1" applyBorder="1"/>
    <xf numFmtId="10" fontId="133" fillId="0" borderId="34" xfId="0" applyNumberFormat="1" applyFont="1" applyBorder="1"/>
    <xf numFmtId="0" fontId="82" fillId="0" borderId="35" xfId="11" applyFont="1" applyBorder="1" applyAlignment="1" applyProtection="1">
      <alignment vertical="center"/>
      <protection hidden="1"/>
    </xf>
    <xf numFmtId="0" fontId="82" fillId="0" borderId="37" xfId="0" applyFont="1" applyBorder="1"/>
    <xf numFmtId="0" fontId="84" fillId="0" borderId="35" xfId="13" applyFont="1" applyBorder="1" applyAlignment="1" applyProtection="1">
      <alignment vertical="center"/>
      <protection hidden="1"/>
    </xf>
    <xf numFmtId="0" fontId="84" fillId="0" borderId="37" xfId="0" applyFont="1" applyBorder="1"/>
    <xf numFmtId="0" fontId="124" fillId="63" borderId="35" xfId="13" applyFont="1" applyFill="1" applyBorder="1" applyAlignment="1" applyProtection="1">
      <alignment horizontal="left" vertical="center"/>
      <protection hidden="1"/>
    </xf>
    <xf numFmtId="0" fontId="125" fillId="63" borderId="37" xfId="13" applyFont="1" applyFill="1" applyBorder="1" applyAlignment="1" applyProtection="1">
      <alignment horizontal="left" vertical="center"/>
      <protection hidden="1"/>
    </xf>
    <xf numFmtId="9" fontId="126" fillId="63" borderId="34" xfId="13" applyNumberFormat="1" applyFont="1" applyFill="1" applyBorder="1" applyAlignment="1" applyProtection="1">
      <alignment vertical="center"/>
      <protection hidden="1"/>
    </xf>
    <xf numFmtId="2" fontId="127" fillId="63" borderId="37" xfId="13" applyNumberFormat="1" applyFont="1" applyFill="1" applyBorder="1" applyAlignment="1" applyProtection="1">
      <alignment horizontal="center" wrapText="1"/>
      <protection hidden="1"/>
    </xf>
    <xf numFmtId="2" fontId="127" fillId="63" borderId="34" xfId="13" applyNumberFormat="1" applyFont="1" applyFill="1" applyBorder="1" applyAlignment="1" applyProtection="1">
      <alignment horizontal="right" wrapText="1"/>
      <protection hidden="1"/>
    </xf>
    <xf numFmtId="2" fontId="104" fillId="0" borderId="37" xfId="3" applyNumberFormat="1" applyFont="1" applyFill="1" applyBorder="1" applyAlignment="1" applyProtection="1">
      <alignment horizontal="center" vertical="center"/>
      <protection hidden="1"/>
    </xf>
    <xf numFmtId="2" fontId="104" fillId="0" borderId="34" xfId="3" applyNumberFormat="1" applyFont="1" applyFill="1" applyBorder="1" applyAlignment="1" applyProtection="1">
      <alignment horizontal="right" vertical="center"/>
      <protection hidden="1"/>
    </xf>
    <xf numFmtId="2" fontId="105" fillId="0" borderId="37" xfId="3" applyNumberFormat="1" applyFont="1" applyFill="1" applyBorder="1" applyAlignment="1" applyProtection="1">
      <alignment horizontal="left" vertical="center"/>
      <protection hidden="1"/>
    </xf>
    <xf numFmtId="2" fontId="99" fillId="0" borderId="34" xfId="3" applyNumberFormat="1" applyFont="1" applyFill="1" applyBorder="1" applyAlignment="1" applyProtection="1">
      <alignment horizontal="right" vertical="center"/>
      <protection hidden="1"/>
    </xf>
    <xf numFmtId="10" fontId="106" fillId="0" borderId="34" xfId="16" applyNumberFormat="1" applyFont="1" applyFill="1" applyBorder="1" applyAlignment="1" applyProtection="1">
      <alignment horizontal="right"/>
      <protection hidden="1"/>
    </xf>
    <xf numFmtId="0" fontId="84" fillId="0" borderId="35" xfId="13" applyFont="1" applyBorder="1" applyProtection="1">
      <protection hidden="1"/>
    </xf>
    <xf numFmtId="0" fontId="108" fillId="0" borderId="37" xfId="13" applyFont="1" applyBorder="1" applyProtection="1">
      <protection hidden="1"/>
    </xf>
    <xf numFmtId="0" fontId="108" fillId="0" borderId="34" xfId="13" applyFont="1" applyBorder="1" applyAlignment="1" applyProtection="1">
      <alignment horizontal="right"/>
      <protection hidden="1"/>
    </xf>
    <xf numFmtId="0" fontId="106" fillId="0" borderId="37" xfId="13" applyFont="1" applyBorder="1" applyAlignment="1" applyProtection="1">
      <alignment horizontal="right"/>
      <protection hidden="1"/>
    </xf>
    <xf numFmtId="0" fontId="106" fillId="0" borderId="34" xfId="13" applyFont="1" applyBorder="1" applyAlignment="1" applyProtection="1">
      <alignment horizontal="right"/>
      <protection hidden="1"/>
    </xf>
    <xf numFmtId="0" fontId="92" fillId="0" borderId="35" xfId="13" applyFont="1" applyBorder="1" applyProtection="1">
      <protection hidden="1"/>
    </xf>
    <xf numFmtId="0" fontId="107" fillId="0" borderId="37" xfId="13" applyFont="1" applyBorder="1" applyAlignment="1" applyProtection="1">
      <alignment horizontal="center"/>
      <protection hidden="1"/>
    </xf>
    <xf numFmtId="0" fontId="89" fillId="0" borderId="35" xfId="13" applyFont="1" applyBorder="1" applyProtection="1">
      <protection hidden="1"/>
    </xf>
    <xf numFmtId="10" fontId="106" fillId="0" borderId="37" xfId="13" applyNumberFormat="1" applyFont="1" applyBorder="1" applyAlignment="1" applyProtection="1">
      <alignment horizontal="right"/>
      <protection hidden="1"/>
    </xf>
    <xf numFmtId="175" fontId="107" fillId="0" borderId="34" xfId="16" applyNumberFormat="1" applyFont="1" applyFill="1" applyBorder="1" applyAlignment="1" applyProtection="1">
      <alignment horizontal="right"/>
      <protection hidden="1"/>
    </xf>
    <xf numFmtId="0" fontId="110" fillId="0" borderId="37" xfId="13" applyFont="1" applyBorder="1" applyAlignment="1" applyProtection="1">
      <alignment horizontal="center"/>
      <protection hidden="1"/>
    </xf>
    <xf numFmtId="169" fontId="107" fillId="0" borderId="37" xfId="13" applyNumberFormat="1" applyFont="1" applyBorder="1" applyAlignment="1" applyProtection="1">
      <alignment horizontal="center"/>
      <protection hidden="1"/>
    </xf>
    <xf numFmtId="165" fontId="107" fillId="0" borderId="37" xfId="13" applyNumberFormat="1" applyFont="1" applyBorder="1" applyAlignment="1" applyProtection="1">
      <alignment horizontal="center"/>
      <protection hidden="1"/>
    </xf>
    <xf numFmtId="0" fontId="82" fillId="64" borderId="35" xfId="13" applyFont="1" applyFill="1" applyBorder="1" applyProtection="1">
      <protection hidden="1"/>
    </xf>
    <xf numFmtId="0" fontId="107" fillId="64" borderId="37" xfId="13" applyFont="1" applyFill="1" applyBorder="1" applyAlignment="1" applyProtection="1">
      <alignment horizontal="center"/>
      <protection hidden="1"/>
    </xf>
    <xf numFmtId="0" fontId="107" fillId="64" borderId="34" xfId="13" applyFont="1" applyFill="1" applyBorder="1" applyAlignment="1" applyProtection="1">
      <alignment horizontal="right"/>
      <protection hidden="1"/>
    </xf>
    <xf numFmtId="167" fontId="107" fillId="0" borderId="34" xfId="8" applyFont="1" applyFill="1" applyBorder="1" applyAlignment="1" applyProtection="1">
      <alignment horizontal="right"/>
      <protection hidden="1"/>
    </xf>
    <xf numFmtId="10" fontId="107" fillId="0" borderId="34" xfId="16" applyNumberFormat="1" applyFont="1" applyFill="1" applyBorder="1" applyAlignment="1" applyProtection="1">
      <alignment horizontal="right"/>
      <protection hidden="1"/>
    </xf>
    <xf numFmtId="10" fontId="107" fillId="64" borderId="34" xfId="16" applyNumberFormat="1" applyFont="1" applyFill="1" applyBorder="1" applyAlignment="1" applyProtection="1">
      <alignment horizontal="right"/>
      <protection hidden="1"/>
    </xf>
    <xf numFmtId="0" fontId="107" fillId="0" borderId="37" xfId="13" applyFont="1" applyBorder="1" applyProtection="1">
      <protection hidden="1"/>
    </xf>
    <xf numFmtId="169" fontId="108" fillId="0" borderId="37" xfId="13" applyNumberFormat="1" applyFont="1" applyBorder="1" applyProtection="1">
      <protection hidden="1"/>
    </xf>
    <xf numFmtId="169" fontId="107" fillId="0" borderId="34" xfId="13" applyNumberFormat="1" applyFont="1" applyBorder="1" applyAlignment="1" applyProtection="1">
      <alignment horizontal="right"/>
      <protection hidden="1"/>
    </xf>
    <xf numFmtId="0" fontId="93" fillId="0" borderId="35" xfId="13" applyFont="1" applyBorder="1" applyProtection="1">
      <protection hidden="1"/>
    </xf>
    <xf numFmtId="169" fontId="106" fillId="0" borderId="37" xfId="13" applyNumberFormat="1" applyFont="1" applyBorder="1" applyProtection="1">
      <protection hidden="1"/>
    </xf>
    <xf numFmtId="169" fontId="106" fillId="0" borderId="34" xfId="13" applyNumberFormat="1" applyFont="1" applyBorder="1" applyAlignment="1" applyProtection="1">
      <alignment horizontal="right"/>
      <protection hidden="1"/>
    </xf>
    <xf numFmtId="2" fontId="125" fillId="63" borderId="35" xfId="13" applyNumberFormat="1" applyFont="1" applyFill="1" applyBorder="1" applyAlignment="1" applyProtection="1">
      <alignment horizontal="left" vertical="center" wrapText="1"/>
      <protection hidden="1"/>
    </xf>
    <xf numFmtId="0" fontId="125" fillId="63" borderId="35" xfId="9" applyFont="1" applyFill="1" applyBorder="1" applyAlignment="1" applyProtection="1">
      <alignment horizontal="left" vertical="center"/>
      <protection hidden="1"/>
    </xf>
    <xf numFmtId="0" fontId="126" fillId="63" borderId="37" xfId="10" applyFont="1" applyFill="1" applyBorder="1"/>
    <xf numFmtId="0" fontId="129" fillId="63" borderId="37" xfId="10" applyFont="1" applyFill="1" applyBorder="1"/>
    <xf numFmtId="0" fontId="129" fillId="63" borderId="34" xfId="10" applyFont="1" applyFill="1" applyBorder="1"/>
    <xf numFmtId="0" fontId="82" fillId="0" borderId="35" xfId="9" applyFont="1" applyBorder="1" applyAlignment="1" applyProtection="1">
      <alignment horizontal="left"/>
      <protection hidden="1"/>
    </xf>
    <xf numFmtId="0" fontId="82" fillId="0" borderId="34" xfId="9" applyFont="1" applyBorder="1" applyAlignment="1" applyProtection="1">
      <alignment horizontal="left"/>
      <protection hidden="1"/>
    </xf>
    <xf numFmtId="0" fontId="95" fillId="63" borderId="37" xfId="10" applyFont="1" applyFill="1" applyBorder="1"/>
    <xf numFmtId="0" fontId="95" fillId="63" borderId="34" xfId="10" applyFont="1" applyFill="1" applyBorder="1"/>
    <xf numFmtId="0" fontId="82" fillId="0" borderId="35" xfId="9" applyFont="1" applyBorder="1" applyAlignment="1" applyProtection="1">
      <alignment horizontal="left" vertical="top"/>
      <protection hidden="1"/>
    </xf>
    <xf numFmtId="0" fontId="82" fillId="0" borderId="37" xfId="9" applyFont="1" applyBorder="1" applyAlignment="1" applyProtection="1">
      <alignment horizontal="left" vertical="top"/>
      <protection hidden="1"/>
    </xf>
    <xf numFmtId="0" fontId="82" fillId="0" borderId="34" xfId="9" applyFont="1" applyBorder="1" applyAlignment="1" applyProtection="1">
      <alignment horizontal="center" vertical="top"/>
      <protection hidden="1"/>
    </xf>
    <xf numFmtId="0" fontId="82" fillId="64" borderId="37" xfId="10" applyFont="1" applyFill="1" applyBorder="1"/>
    <xf numFmtId="0" fontId="82" fillId="64" borderId="35" xfId="10" applyFont="1" applyFill="1" applyBorder="1"/>
    <xf numFmtId="0" fontId="82" fillId="0" borderId="37" xfId="10" applyFont="1" applyBorder="1"/>
    <xf numFmtId="0" fontId="82" fillId="0" borderId="35" xfId="9" applyFont="1" applyBorder="1" applyAlignment="1" applyProtection="1">
      <alignment horizontal="left" vertical="center"/>
      <protection hidden="1"/>
    </xf>
    <xf numFmtId="0" fontId="82" fillId="0" borderId="34" xfId="9" applyFont="1" applyBorder="1" applyAlignment="1" applyProtection="1">
      <alignment horizontal="left" wrapText="1"/>
      <protection hidden="1"/>
    </xf>
    <xf numFmtId="2" fontId="84" fillId="2" borderId="35" xfId="84" applyNumberFormat="1" applyFont="1" applyFill="1" applyBorder="1" applyAlignment="1">
      <alignment vertical="top" wrapText="1"/>
    </xf>
    <xf numFmtId="2" fontId="84" fillId="2" borderId="34" xfId="84" applyNumberFormat="1" applyFont="1" applyFill="1" applyBorder="1" applyAlignment="1">
      <alignment vertical="top" wrapText="1"/>
    </xf>
    <xf numFmtId="2" fontId="84" fillId="2" borderId="37" xfId="84" applyNumberFormat="1" applyFont="1" applyFill="1" applyBorder="1" applyAlignment="1">
      <alignment vertical="top" wrapText="1"/>
    </xf>
    <xf numFmtId="3" fontId="133" fillId="2" borderId="37" xfId="8" applyNumberFormat="1" applyFont="1" applyFill="1" applyBorder="1" applyAlignment="1">
      <alignment horizontal="center" vertical="top" wrapText="1"/>
    </xf>
    <xf numFmtId="2" fontId="133" fillId="2" borderId="34" xfId="84" applyNumberFormat="1" applyFont="1" applyFill="1" applyBorder="1" applyAlignment="1">
      <alignment vertical="top" wrapText="1"/>
    </xf>
    <xf numFmtId="180" fontId="133" fillId="2" borderId="35" xfId="84" applyNumberFormat="1" applyFont="1" applyFill="1" applyBorder="1" applyAlignment="1">
      <alignment vertical="top" wrapText="1"/>
    </xf>
    <xf numFmtId="2" fontId="133" fillId="2" borderId="37" xfId="84" applyNumberFormat="1" applyFont="1" applyFill="1" applyBorder="1" applyAlignment="1">
      <alignment vertical="top" wrapText="1"/>
    </xf>
    <xf numFmtId="180" fontId="133" fillId="2" borderId="34" xfId="84" applyNumberFormat="1" applyFont="1" applyFill="1" applyBorder="1" applyAlignment="1">
      <alignment vertical="top" wrapText="1"/>
    </xf>
    <xf numFmtId="0" fontId="11" fillId="0" borderId="0" xfId="0" applyFont="1"/>
    <xf numFmtId="2" fontId="93" fillId="0" borderId="0" xfId="0" applyNumberFormat="1" applyFont="1" applyAlignment="1">
      <alignment horizontal="center"/>
    </xf>
    <xf numFmtId="2" fontId="80" fillId="0" borderId="0" xfId="12" applyNumberFormat="1" applyFont="1" applyAlignment="1">
      <alignment horizontal="center"/>
    </xf>
    <xf numFmtId="0" fontId="84" fillId="64" borderId="0" xfId="13" applyFont="1" applyFill="1" applyProtection="1">
      <protection hidden="1"/>
    </xf>
    <xf numFmtId="1" fontId="139" fillId="0" borderId="34" xfId="0" applyNumberFormat="1" applyFont="1" applyBorder="1" applyAlignment="1">
      <alignment horizontal="center"/>
    </xf>
    <xf numFmtId="0" fontId="39" fillId="0" borderId="40" xfId="0" applyFont="1" applyBorder="1" applyAlignment="1">
      <alignment horizontal="center" wrapText="1"/>
    </xf>
    <xf numFmtId="0" fontId="82" fillId="0" borderId="40" xfId="0" applyFont="1" applyBorder="1" applyAlignment="1">
      <alignment wrapText="1"/>
    </xf>
    <xf numFmtId="2" fontId="151" fillId="0" borderId="0" xfId="0" applyNumberFormat="1" applyFont="1"/>
    <xf numFmtId="0" fontId="151" fillId="0" borderId="0" xfId="0" applyFont="1"/>
    <xf numFmtId="0" fontId="151" fillId="0" borderId="0" xfId="89" applyFont="1"/>
    <xf numFmtId="173" fontId="85" fillId="0" borderId="0" xfId="8" applyNumberFormat="1" applyFont="1" applyFill="1" applyAlignment="1">
      <alignment horizontal="center"/>
    </xf>
    <xf numFmtId="173" fontId="84" fillId="0" borderId="0" xfId="8" applyNumberFormat="1" applyFont="1" applyFill="1" applyAlignment="1">
      <alignment horizontal="center"/>
    </xf>
    <xf numFmtId="0" fontId="83" fillId="63" borderId="0" xfId="0" applyFont="1" applyFill="1"/>
    <xf numFmtId="1" fontId="84" fillId="0" borderId="0" xfId="61" applyNumberFormat="1" applyFont="1" applyAlignment="1">
      <alignment horizontal="center"/>
    </xf>
    <xf numFmtId="0" fontId="82" fillId="0" borderId="16" xfId="0" applyFont="1" applyBorder="1" applyAlignment="1">
      <alignment horizontal="center" wrapText="1"/>
    </xf>
    <xf numFmtId="0" fontId="82" fillId="0" borderId="38" xfId="0" applyFont="1" applyBorder="1" applyAlignment="1">
      <alignment horizontal="center" wrapText="1"/>
    </xf>
    <xf numFmtId="0" fontId="82" fillId="0" borderId="39" xfId="0" applyFont="1" applyBorder="1" applyAlignment="1">
      <alignment horizontal="center" wrapText="1"/>
    </xf>
    <xf numFmtId="0" fontId="114" fillId="0" borderId="0" xfId="84" applyFont="1"/>
    <xf numFmtId="0" fontId="87" fillId="0" borderId="0" xfId="63" applyFont="1" applyAlignment="1">
      <alignment horizontal="left"/>
    </xf>
    <xf numFmtId="0" fontId="137" fillId="0" borderId="0" xfId="63" applyFont="1" applyAlignment="1">
      <alignment horizontal="left"/>
    </xf>
    <xf numFmtId="173" fontId="83" fillId="0" borderId="0" xfId="8" applyNumberFormat="1" applyFont="1" applyFill="1" applyBorder="1" applyAlignment="1">
      <alignment horizontal="center" vertical="top"/>
    </xf>
    <xf numFmtId="179" fontId="133" fillId="0" borderId="0" xfId="5" applyNumberFormat="1" applyFont="1" applyFill="1" applyBorder="1" applyAlignment="1" applyProtection="1">
      <protection hidden="1"/>
    </xf>
    <xf numFmtId="2" fontId="118" fillId="63" borderId="52" xfId="84" applyNumberFormat="1" applyFont="1" applyFill="1" applyBorder="1" applyAlignment="1">
      <alignment vertical="top" wrapText="1"/>
    </xf>
    <xf numFmtId="2" fontId="118" fillId="63" borderId="52" xfId="84" applyNumberFormat="1" applyFont="1" applyFill="1" applyBorder="1" applyAlignment="1">
      <alignment horizontal="left" vertical="top" wrapText="1"/>
    </xf>
    <xf numFmtId="0" fontId="82" fillId="0" borderId="0" xfId="103" applyFont="1" applyAlignment="1">
      <alignment vertical="top" wrapText="1"/>
    </xf>
    <xf numFmtId="44" fontId="39" fillId="0" borderId="0" xfId="66" applyFont="1" applyFill="1" applyBorder="1" applyAlignment="1" applyProtection="1">
      <protection locked="0"/>
    </xf>
    <xf numFmtId="2" fontId="127" fillId="63" borderId="16" xfId="13" applyNumberFormat="1" applyFont="1" applyFill="1" applyBorder="1" applyAlignment="1" applyProtection="1">
      <alignment horizontal="left" vertical="center" wrapText="1"/>
      <protection hidden="1"/>
    </xf>
    <xf numFmtId="2" fontId="82" fillId="0" borderId="16" xfId="13" applyNumberFormat="1" applyFont="1" applyBorder="1" applyProtection="1">
      <protection hidden="1"/>
    </xf>
    <xf numFmtId="1" fontId="84" fillId="0" borderId="16" xfId="13" applyNumberFormat="1" applyFont="1" applyBorder="1" applyAlignment="1" applyProtection="1">
      <alignment horizontal="center"/>
      <protection hidden="1"/>
    </xf>
    <xf numFmtId="166" fontId="39" fillId="0" borderId="16" xfId="18" applyFont="1" applyFill="1" applyBorder="1" applyAlignment="1" applyProtection="1">
      <protection hidden="1"/>
    </xf>
    <xf numFmtId="0" fontId="84" fillId="0" borderId="16" xfId="0" applyFont="1" applyBorder="1"/>
    <xf numFmtId="166" fontId="133" fillId="0" borderId="16" xfId="18" applyFont="1" applyBorder="1"/>
    <xf numFmtId="9" fontId="134" fillId="63" borderId="52" xfId="16" applyFont="1" applyFill="1" applyBorder="1" applyAlignment="1">
      <alignment horizontal="center" vertical="top" wrapText="1"/>
    </xf>
    <xf numFmtId="2" fontId="118" fillId="63" borderId="52" xfId="0" applyNumberFormat="1" applyFont="1" applyFill="1" applyBorder="1" applyAlignment="1">
      <alignment horizontal="left" vertical="top" wrapText="1"/>
    </xf>
    <xf numFmtId="0" fontId="118" fillId="63" borderId="52" xfId="0" applyFont="1" applyFill="1" applyBorder="1" applyAlignment="1">
      <alignment horizontal="left" vertical="top" wrapText="1"/>
    </xf>
    <xf numFmtId="182" fontId="118" fillId="63" borderId="52" xfId="8" applyNumberFormat="1" applyFont="1" applyFill="1" applyBorder="1" applyAlignment="1">
      <alignment horizontal="left" vertical="top" wrapText="1"/>
    </xf>
    <xf numFmtId="167" fontId="120" fillId="63" borderId="52" xfId="8" applyFont="1" applyFill="1" applyBorder="1" applyAlignment="1">
      <alignment horizontal="center" vertical="top" wrapText="1"/>
    </xf>
    <xf numFmtId="167" fontId="118" fillId="63" borderId="52" xfId="8" applyFont="1" applyFill="1" applyBorder="1" applyAlignment="1">
      <alignment horizontal="center" vertical="top" wrapText="1"/>
    </xf>
    <xf numFmtId="2" fontId="120" fillId="63" borderId="52" xfId="0" applyNumberFormat="1" applyFont="1" applyFill="1" applyBorder="1" applyAlignment="1">
      <alignment horizontal="center" vertical="top" wrapText="1"/>
    </xf>
    <xf numFmtId="0" fontId="82" fillId="0" borderId="52" xfId="0" applyFont="1" applyBorder="1"/>
    <xf numFmtId="175" fontId="144" fillId="0" borderId="55" xfId="0" applyNumberFormat="1" applyFont="1" applyBorder="1" applyAlignment="1">
      <alignment horizontal="center" vertical="center"/>
    </xf>
    <xf numFmtId="0" fontId="108" fillId="0" borderId="55" xfId="0" applyFont="1" applyBorder="1" applyAlignment="1">
      <alignment horizontal="right"/>
    </xf>
    <xf numFmtId="175" fontId="91" fillId="0" borderId="55" xfId="0" applyNumberFormat="1" applyFont="1" applyBorder="1" applyAlignment="1">
      <alignment horizontal="center" vertical="center"/>
    </xf>
    <xf numFmtId="173" fontId="118" fillId="63" borderId="55" xfId="8" applyNumberFormat="1" applyFont="1" applyFill="1" applyBorder="1" applyAlignment="1">
      <alignment vertical="top" wrapText="1"/>
    </xf>
    <xf numFmtId="173" fontId="118" fillId="63" borderId="52" xfId="8" applyNumberFormat="1" applyFont="1" applyFill="1" applyBorder="1" applyAlignment="1">
      <alignment vertical="top" wrapText="1"/>
    </xf>
    <xf numFmtId="49" fontId="81" fillId="65" borderId="46" xfId="62" applyNumberFormat="1" applyFont="1" applyFill="1" applyBorder="1" applyAlignment="1" applyProtection="1">
      <alignment horizontal="left" vertical="top"/>
      <protection hidden="1"/>
    </xf>
    <xf numFmtId="167" fontId="39" fillId="64" borderId="46" xfId="8" applyFont="1" applyFill="1" applyBorder="1" applyAlignment="1">
      <alignment horizontal="left"/>
    </xf>
    <xf numFmtId="9" fontId="39" fillId="64" borderId="46" xfId="16" applyFont="1" applyFill="1" applyBorder="1" applyAlignment="1">
      <alignment horizontal="center"/>
    </xf>
    <xf numFmtId="2" fontId="83" fillId="63" borderId="46" xfId="89" applyNumberFormat="1" applyFont="1" applyFill="1" applyBorder="1" applyAlignment="1">
      <alignment vertical="top" wrapText="1"/>
    </xf>
    <xf numFmtId="173" fontId="83" fillId="63" borderId="46" xfId="8" applyNumberFormat="1" applyFont="1" applyFill="1" applyBorder="1" applyAlignment="1">
      <alignment vertical="top" wrapText="1"/>
    </xf>
    <xf numFmtId="173" fontId="83" fillId="63" borderId="46" xfId="8" applyNumberFormat="1" applyFont="1" applyFill="1" applyBorder="1" applyAlignment="1">
      <alignment horizontal="center" vertical="top" wrapText="1"/>
    </xf>
    <xf numFmtId="167" fontId="83" fillId="63" borderId="46" xfId="8" applyFont="1" applyFill="1" applyBorder="1" applyAlignment="1">
      <alignment horizontal="center" vertical="top" wrapText="1"/>
    </xf>
    <xf numFmtId="2" fontId="82" fillId="0" borderId="46" xfId="0" applyNumberFormat="1" applyFont="1" applyBorder="1"/>
    <xf numFmtId="3" fontId="39" fillId="2" borderId="46" xfId="8" applyNumberFormat="1" applyFont="1" applyFill="1" applyBorder="1" applyAlignment="1">
      <alignment horizontal="center"/>
    </xf>
    <xf numFmtId="2" fontId="39" fillId="64" borderId="46" xfId="8" applyNumberFormat="1" applyFont="1" applyFill="1" applyBorder="1" applyAlignment="1">
      <alignment horizontal="center"/>
    </xf>
    <xf numFmtId="1" fontId="133" fillId="2" borderId="46" xfId="8" applyNumberFormat="1" applyFont="1" applyFill="1" applyBorder="1" applyAlignment="1">
      <alignment horizontal="center"/>
    </xf>
    <xf numFmtId="4" fontId="39" fillId="2" borderId="46" xfId="8" applyNumberFormat="1" applyFont="1" applyFill="1" applyBorder="1" applyAlignment="1">
      <alignment horizontal="center"/>
    </xf>
    <xf numFmtId="2" fontId="82" fillId="0" borderId="46" xfId="89" applyNumberFormat="1" applyFont="1" applyBorder="1"/>
    <xf numFmtId="3" fontId="39" fillId="0" borderId="46" xfId="8" applyNumberFormat="1" applyFont="1" applyFill="1" applyBorder="1" applyAlignment="1">
      <alignment horizontal="center"/>
    </xf>
    <xf numFmtId="0" fontId="84" fillId="0" borderId="46" xfId="89" applyFont="1" applyBorder="1"/>
    <xf numFmtId="3" fontId="133" fillId="2" borderId="46" xfId="8" applyNumberFormat="1" applyFont="1" applyFill="1" applyBorder="1" applyAlignment="1">
      <alignment horizontal="center"/>
    </xf>
    <xf numFmtId="173" fontId="133" fillId="2" borderId="46" xfId="8" applyNumberFormat="1" applyFont="1" applyFill="1" applyBorder="1"/>
    <xf numFmtId="167" fontId="133" fillId="2" borderId="46" xfId="8" applyFont="1" applyFill="1" applyBorder="1"/>
    <xf numFmtId="4" fontId="133" fillId="2" borderId="46" xfId="8" applyNumberFormat="1" applyFont="1" applyFill="1" applyBorder="1" applyAlignment="1">
      <alignment horizontal="center"/>
    </xf>
    <xf numFmtId="2" fontId="83" fillId="63" borderId="52" xfId="89" applyNumberFormat="1" applyFont="1" applyFill="1" applyBorder="1" applyAlignment="1">
      <alignment vertical="top" wrapText="1"/>
    </xf>
    <xf numFmtId="167" fontId="83" fillId="63" borderId="52" xfId="8" applyFont="1" applyFill="1" applyBorder="1" applyAlignment="1">
      <alignment horizontal="center" vertical="top" wrapText="1"/>
    </xf>
    <xf numFmtId="166" fontId="82" fillId="2" borderId="46" xfId="18" applyFont="1" applyFill="1" applyBorder="1" applyAlignment="1">
      <alignment horizontal="right"/>
    </xf>
    <xf numFmtId="167" fontId="82" fillId="2" borderId="46" xfId="8" applyFont="1" applyFill="1" applyBorder="1" applyAlignment="1">
      <alignment horizontal="center"/>
    </xf>
    <xf numFmtId="166" fontId="82" fillId="2" borderId="46" xfId="18" applyFont="1" applyFill="1" applyBorder="1" applyAlignment="1">
      <alignment horizontal="center"/>
    </xf>
    <xf numFmtId="166" fontId="39" fillId="2" borderId="46" xfId="18" applyFont="1" applyFill="1" applyBorder="1" applyAlignment="1">
      <alignment horizontal="center"/>
    </xf>
    <xf numFmtId="166" fontId="39" fillId="0" borderId="46" xfId="89" applyNumberFormat="1" applyFont="1" applyBorder="1"/>
    <xf numFmtId="180" fontId="39" fillId="0" borderId="46" xfId="89" applyNumberFormat="1" applyFont="1" applyBorder="1"/>
    <xf numFmtId="166" fontId="39" fillId="0" borderId="46" xfId="18" applyFont="1" applyFill="1" applyBorder="1" applyAlignment="1">
      <alignment horizontal="center"/>
    </xf>
    <xf numFmtId="166" fontId="84" fillId="2" borderId="46" xfId="18" applyFont="1" applyFill="1" applyBorder="1"/>
    <xf numFmtId="49" fontId="81" fillId="65" borderId="46" xfId="9" applyNumberFormat="1" applyFont="1" applyFill="1" applyBorder="1" applyAlignment="1" applyProtection="1">
      <alignment horizontal="left" vertical="top"/>
      <protection hidden="1"/>
    </xf>
    <xf numFmtId="2" fontId="118" fillId="63" borderId="46" xfId="0" applyNumberFormat="1" applyFont="1" applyFill="1" applyBorder="1" applyAlignment="1">
      <alignment horizontal="left" vertical="center" wrapText="1"/>
    </xf>
    <xf numFmtId="1" fontId="118" fillId="63" borderId="46" xfId="0" applyNumberFormat="1" applyFont="1" applyFill="1" applyBorder="1" applyAlignment="1">
      <alignment horizontal="center" vertical="center" wrapText="1"/>
    </xf>
    <xf numFmtId="9" fontId="131" fillId="64" borderId="46" xfId="61" applyNumberFormat="1" applyFont="1" applyFill="1" applyBorder="1" applyAlignment="1">
      <alignment horizontal="center" vertical="center"/>
    </xf>
    <xf numFmtId="0" fontId="118" fillId="63" borderId="46" xfId="0" applyFont="1" applyFill="1" applyBorder="1" applyAlignment="1">
      <alignment horizontal="left" vertical="center" wrapText="1"/>
    </xf>
    <xf numFmtId="2" fontId="118" fillId="63" borderId="46" xfId="0" applyNumberFormat="1" applyFont="1" applyFill="1" applyBorder="1" applyAlignment="1">
      <alignment horizontal="center" vertical="center" wrapText="1"/>
    </xf>
    <xf numFmtId="1" fontId="119" fillId="0" borderId="46" xfId="0" applyNumberFormat="1" applyFont="1" applyBorder="1" applyAlignment="1">
      <alignment horizontal="center" vertical="center" wrapText="1"/>
    </xf>
    <xf numFmtId="0" fontId="82" fillId="2" borderId="46" xfId="0" applyFont="1" applyFill="1" applyBorder="1" applyAlignment="1">
      <alignment vertical="center"/>
    </xf>
    <xf numFmtId="173" fontId="133" fillId="0" borderId="46" xfId="8" applyNumberFormat="1" applyFont="1" applyFill="1" applyBorder="1" applyAlignment="1">
      <alignment horizontal="center"/>
    </xf>
    <xf numFmtId="173" fontId="133" fillId="64" borderId="46" xfId="8" applyNumberFormat="1" applyFont="1" applyFill="1" applyBorder="1" applyAlignment="1">
      <alignment horizontal="center"/>
    </xf>
    <xf numFmtId="173" fontId="39" fillId="0" borderId="46" xfId="8" applyNumberFormat="1" applyFont="1" applyFill="1" applyBorder="1" applyAlignment="1">
      <alignment horizontal="center" vertical="center"/>
    </xf>
    <xf numFmtId="0" fontId="82" fillId="0" borderId="46" xfId="0" applyFont="1" applyBorder="1" applyAlignment="1">
      <alignment vertical="center"/>
    </xf>
    <xf numFmtId="173" fontId="140" fillId="0" borderId="46" xfId="8" applyNumberFormat="1" applyFont="1" applyFill="1" applyBorder="1" applyAlignment="1">
      <alignment horizontal="center"/>
    </xf>
    <xf numFmtId="49" fontId="39" fillId="0" borderId="46" xfId="0" applyNumberFormat="1" applyFont="1" applyBorder="1" applyAlignment="1">
      <alignment horizontal="center"/>
    </xf>
    <xf numFmtId="49" fontId="140" fillId="0" borderId="46" xfId="17" applyNumberFormat="1" applyFont="1" applyBorder="1" applyAlignment="1">
      <alignment horizontal="center"/>
    </xf>
    <xf numFmtId="0" fontId="84" fillId="0" borderId="46" xfId="0" applyFont="1" applyBorder="1" applyAlignment="1">
      <alignment vertical="center"/>
    </xf>
    <xf numFmtId="0" fontId="133" fillId="0" borderId="46" xfId="0" applyFont="1" applyBorder="1"/>
    <xf numFmtId="0" fontId="140" fillId="0" borderId="46" xfId="17" applyFont="1" applyBorder="1" applyAlignment="1">
      <alignment horizontal="left"/>
    </xf>
    <xf numFmtId="173" fontId="133" fillId="0" borderId="46" xfId="8" applyNumberFormat="1" applyFont="1" applyFill="1" applyBorder="1" applyAlignment="1">
      <alignment horizontal="center" vertical="center"/>
    </xf>
    <xf numFmtId="1" fontId="118" fillId="63" borderId="46" xfId="0" applyNumberFormat="1" applyFont="1" applyFill="1" applyBorder="1" applyAlignment="1">
      <alignment horizontal="left"/>
    </xf>
    <xf numFmtId="1" fontId="118" fillId="63" borderId="46" xfId="0" applyNumberFormat="1" applyFont="1" applyFill="1" applyBorder="1" applyAlignment="1">
      <alignment horizontal="center"/>
    </xf>
    <xf numFmtId="0" fontId="83" fillId="63" borderId="46" xfId="0" applyFont="1" applyFill="1" applyBorder="1" applyAlignment="1">
      <alignment wrapText="1"/>
    </xf>
    <xf numFmtId="0" fontId="83" fillId="63" borderId="46" xfId="0" applyFont="1" applyFill="1" applyBorder="1"/>
    <xf numFmtId="0" fontId="82" fillId="0" borderId="46" xfId="0" applyFont="1" applyBorder="1"/>
    <xf numFmtId="1" fontId="82" fillId="0" borderId="46" xfId="61" applyNumberFormat="1" applyFont="1" applyBorder="1" applyAlignment="1">
      <alignment horizontal="center"/>
    </xf>
    <xf numFmtId="1" fontId="84" fillId="0" borderId="46" xfId="61" applyNumberFormat="1" applyFont="1" applyBorder="1" applyAlignment="1">
      <alignment horizontal="center"/>
    </xf>
    <xf numFmtId="0" fontId="82" fillId="0" borderId="46" xfId="0" applyFont="1" applyBorder="1" applyAlignment="1">
      <alignment wrapText="1"/>
    </xf>
    <xf numFmtId="1" fontId="92" fillId="0" borderId="46" xfId="61" applyNumberFormat="1" applyFont="1" applyBorder="1" applyAlignment="1">
      <alignment horizontal="center"/>
    </xf>
    <xf numFmtId="0" fontId="82" fillId="0" borderId="46" xfId="0" applyFont="1" applyBorder="1" applyAlignment="1">
      <alignment horizontal="center"/>
    </xf>
    <xf numFmtId="1" fontId="82" fillId="0" borderId="46" xfId="0" applyNumberFormat="1" applyFont="1" applyBorder="1" applyAlignment="1">
      <alignment horizontal="center"/>
    </xf>
    <xf numFmtId="174" fontId="39" fillId="0" borderId="46" xfId="0" applyNumberFormat="1" applyFont="1" applyBorder="1" applyAlignment="1">
      <alignment horizontal="center"/>
    </xf>
    <xf numFmtId="2" fontId="39" fillId="0" borderId="46" xfId="0" applyNumberFormat="1" applyFont="1" applyBorder="1" applyAlignment="1">
      <alignment horizontal="right"/>
    </xf>
    <xf numFmtId="1" fontId="135" fillId="0" borderId="46" xfId="0" applyNumberFormat="1" applyFont="1" applyBorder="1" applyAlignment="1">
      <alignment horizontal="center"/>
    </xf>
    <xf numFmtId="1" fontId="139" fillId="0" borderId="46" xfId="0" applyNumberFormat="1" applyFont="1" applyBorder="1" applyAlignment="1">
      <alignment horizontal="center"/>
    </xf>
    <xf numFmtId="43" fontId="138" fillId="0" borderId="46" xfId="8" applyNumberFormat="1" applyFont="1" applyFill="1" applyBorder="1" applyAlignment="1">
      <alignment horizontal="center"/>
    </xf>
    <xf numFmtId="1" fontId="138" fillId="0" borderId="46" xfId="8" applyNumberFormat="1" applyFont="1" applyFill="1" applyBorder="1" applyAlignment="1">
      <alignment horizontal="center"/>
    </xf>
    <xf numFmtId="2" fontId="89" fillId="0" borderId="46" xfId="8" applyNumberFormat="1" applyFont="1" applyFill="1" applyBorder="1" applyAlignment="1">
      <alignment horizontal="center"/>
    </xf>
    <xf numFmtId="173" fontId="138" fillId="0" borderId="46" xfId="8" applyNumberFormat="1" applyFont="1" applyFill="1" applyBorder="1" applyAlignment="1">
      <alignment horizontal="center"/>
    </xf>
    <xf numFmtId="1" fontId="39" fillId="0" borderId="46" xfId="0" applyNumberFormat="1" applyFont="1" applyBorder="1" applyAlignment="1">
      <alignment horizontal="right"/>
    </xf>
    <xf numFmtId="0" fontId="82" fillId="0" borderId="46" xfId="0" applyFont="1" applyBorder="1" applyAlignment="1">
      <alignment horizontal="center" wrapText="1"/>
    </xf>
    <xf numFmtId="0" fontId="39" fillId="0" borderId="46" xfId="0" applyFont="1" applyBorder="1" applyAlignment="1">
      <alignment horizontal="center" wrapText="1"/>
    </xf>
    <xf numFmtId="0" fontId="88" fillId="0" borderId="46" xfId="59" applyFont="1" applyBorder="1" applyAlignment="1">
      <alignment horizontal="center" wrapText="1"/>
    </xf>
    <xf numFmtId="0" fontId="139" fillId="0" borderId="46" xfId="59" applyFont="1" applyBorder="1" applyAlignment="1">
      <alignment horizontal="center" wrapText="1"/>
    </xf>
    <xf numFmtId="0" fontId="88" fillId="0" borderId="46" xfId="59" applyFont="1" applyBorder="1" applyAlignment="1">
      <alignment wrapText="1"/>
    </xf>
    <xf numFmtId="0" fontId="82" fillId="0" borderId="46" xfId="8" applyNumberFormat="1" applyFont="1" applyFill="1" applyBorder="1" applyAlignment="1"/>
    <xf numFmtId="1" fontId="139" fillId="66" borderId="46" xfId="0" applyNumberFormat="1" applyFont="1" applyFill="1" applyBorder="1" applyAlignment="1">
      <alignment horizontal="center"/>
    </xf>
    <xf numFmtId="0" fontId="39" fillId="0" borderId="46" xfId="0" applyFont="1" applyBorder="1" applyAlignment="1">
      <alignment horizontal="center"/>
    </xf>
    <xf numFmtId="0" fontId="88" fillId="0" borderId="46" xfId="0" applyFont="1" applyBorder="1"/>
    <xf numFmtId="0" fontId="84" fillId="64" borderId="46" xfId="13" applyFont="1" applyFill="1" applyBorder="1" applyProtection="1">
      <protection hidden="1"/>
    </xf>
    <xf numFmtId="177" fontId="39" fillId="64" borderId="46" xfId="11" applyNumberFormat="1" applyFont="1" applyFill="1" applyBorder="1" applyAlignment="1" applyProtection="1">
      <alignment vertical="center"/>
      <protection hidden="1"/>
    </xf>
    <xf numFmtId="177" fontId="133" fillId="0" borderId="46" xfId="11" applyNumberFormat="1" applyFont="1" applyBorder="1" applyAlignment="1" applyProtection="1">
      <alignment vertical="center"/>
      <protection hidden="1"/>
    </xf>
    <xf numFmtId="177" fontId="39" fillId="0" borderId="46" xfId="11" applyNumberFormat="1" applyFont="1" applyBorder="1" applyAlignment="1" applyProtection="1">
      <alignment vertical="center"/>
      <protection hidden="1"/>
    </xf>
    <xf numFmtId="2" fontId="84" fillId="0" borderId="46" xfId="11" applyNumberFormat="1" applyFont="1" applyBorder="1" applyAlignment="1" applyProtection="1">
      <alignment horizontal="center"/>
      <protection hidden="1"/>
    </xf>
    <xf numFmtId="179" fontId="143" fillId="0" borderId="46" xfId="13" applyNumberFormat="1" applyFont="1" applyBorder="1" applyAlignment="1" applyProtection="1">
      <alignment horizontal="left" vertical="center"/>
      <protection hidden="1"/>
    </xf>
    <xf numFmtId="166" fontId="143" fillId="64" borderId="46" xfId="18" applyFont="1" applyFill="1" applyBorder="1" applyAlignment="1" applyProtection="1">
      <alignment horizontal="right" vertical="center"/>
      <protection hidden="1"/>
    </xf>
    <xf numFmtId="10" fontId="39" fillId="64" borderId="46" xfId="11" applyNumberFormat="1" applyFont="1" applyFill="1" applyBorder="1" applyAlignment="1" applyProtection="1">
      <alignment vertical="center"/>
      <protection hidden="1"/>
    </xf>
    <xf numFmtId="10" fontId="133" fillId="0" borderId="46" xfId="16" applyNumberFormat="1" applyFont="1" applyFill="1" applyBorder="1" applyAlignment="1"/>
    <xf numFmtId="0" fontId="118" fillId="63" borderId="46" xfId="13" applyFont="1" applyFill="1" applyBorder="1" applyAlignment="1" applyProtection="1">
      <alignment horizontal="left" vertical="center"/>
      <protection hidden="1"/>
    </xf>
    <xf numFmtId="0" fontId="92" fillId="0" borderId="46" xfId="13" applyFont="1" applyBorder="1" applyAlignment="1" applyProtection="1">
      <alignment horizontal="left" vertical="center"/>
      <protection hidden="1"/>
    </xf>
    <xf numFmtId="2" fontId="143" fillId="2" borderId="46" xfId="13" applyNumberFormat="1" applyFont="1" applyFill="1" applyBorder="1" applyAlignment="1" applyProtection="1">
      <alignment horizontal="right" vertical="center"/>
      <protection hidden="1"/>
    </xf>
    <xf numFmtId="0" fontId="84" fillId="0" borderId="46" xfId="13" applyFont="1" applyBorder="1" applyAlignment="1" applyProtection="1">
      <alignment vertical="center"/>
      <protection hidden="1"/>
    </xf>
    <xf numFmtId="2" fontId="133" fillId="0" borderId="46" xfId="13" applyNumberFormat="1" applyFont="1" applyBorder="1" applyAlignment="1" applyProtection="1">
      <alignment vertical="center"/>
      <protection hidden="1"/>
    </xf>
    <xf numFmtId="0" fontId="96" fillId="0" borderId="46" xfId="13" applyFont="1" applyBorder="1" applyAlignment="1" applyProtection="1">
      <alignment vertical="center"/>
      <protection hidden="1"/>
    </xf>
    <xf numFmtId="0" fontId="39" fillId="0" borderId="46" xfId="0" applyFont="1" applyBorder="1" applyAlignment="1">
      <alignment vertical="center"/>
    </xf>
    <xf numFmtId="2" fontId="143" fillId="64" borderId="46" xfId="13" applyNumberFormat="1" applyFont="1" applyFill="1" applyBorder="1" applyAlignment="1" applyProtection="1">
      <alignment horizontal="right" vertical="center"/>
      <protection hidden="1"/>
    </xf>
    <xf numFmtId="0" fontId="97" fillId="0" borderId="46" xfId="13" applyFont="1" applyBorder="1" applyAlignment="1" applyProtection="1">
      <alignment vertical="center"/>
      <protection hidden="1"/>
    </xf>
    <xf numFmtId="0" fontId="82" fillId="0" borderId="46" xfId="13" applyFont="1" applyBorder="1" applyAlignment="1" applyProtection="1">
      <alignment vertical="center"/>
      <protection hidden="1"/>
    </xf>
    <xf numFmtId="10" fontId="143" fillId="0" borderId="46" xfId="16" applyNumberFormat="1" applyFont="1" applyFill="1" applyBorder="1" applyAlignment="1" applyProtection="1">
      <alignment vertical="center"/>
      <protection hidden="1"/>
    </xf>
    <xf numFmtId="10" fontId="133" fillId="0" borderId="46" xfId="16" applyNumberFormat="1" applyFont="1" applyFill="1" applyBorder="1" applyAlignment="1" applyProtection="1">
      <alignment vertical="center"/>
      <protection hidden="1"/>
    </xf>
    <xf numFmtId="2" fontId="143" fillId="0" borderId="46" xfId="3" applyNumberFormat="1" applyFont="1" applyFill="1" applyBorder="1" applyAlignment="1" applyProtection="1">
      <protection hidden="1"/>
    </xf>
    <xf numFmtId="1" fontId="133" fillId="0" borderId="46" xfId="13" applyNumberFormat="1" applyFont="1" applyBorder="1" applyAlignment="1" applyProtection="1">
      <alignment horizontal="center"/>
      <protection hidden="1"/>
    </xf>
    <xf numFmtId="166" fontId="143" fillId="35" borderId="46" xfId="18" applyFont="1" applyFill="1" applyBorder="1" applyAlignment="1" applyProtection="1">
      <protection locked="0"/>
    </xf>
    <xf numFmtId="166" fontId="11" fillId="64" borderId="46" xfId="18" applyFont="1" applyFill="1" applyBorder="1"/>
    <xf numFmtId="166" fontId="143" fillId="65" borderId="46" xfId="18" applyFont="1" applyFill="1" applyBorder="1" applyAlignment="1" applyProtection="1">
      <protection locked="0"/>
    </xf>
    <xf numFmtId="179" fontId="133" fillId="0" borderId="46" xfId="3" applyNumberFormat="1" applyFont="1" applyFill="1" applyBorder="1" applyAlignment="1" applyProtection="1">
      <protection hidden="1"/>
    </xf>
    <xf numFmtId="169" fontId="143" fillId="0" borderId="46" xfId="3" applyFont="1" applyFill="1" applyBorder="1" applyAlignment="1" applyProtection="1">
      <protection hidden="1"/>
    </xf>
    <xf numFmtId="10" fontId="149" fillId="64" borderId="46" xfId="16" applyNumberFormat="1" applyFont="1" applyFill="1" applyBorder="1" applyAlignment="1" applyProtection="1">
      <alignment horizontal="right"/>
      <protection hidden="1"/>
    </xf>
    <xf numFmtId="166" fontId="143" fillId="0" borderId="46" xfId="18" applyFont="1" applyFill="1" applyBorder="1" applyAlignment="1" applyProtection="1">
      <protection locked="0"/>
    </xf>
    <xf numFmtId="169" fontId="143" fillId="0" borderId="46" xfId="3" applyFont="1" applyFill="1" applyBorder="1" applyAlignment="1" applyProtection="1">
      <protection locked="0"/>
    </xf>
    <xf numFmtId="175" fontId="145" fillId="0" borderId="46" xfId="16" applyNumberFormat="1" applyFont="1" applyFill="1" applyBorder="1" applyAlignment="1" applyProtection="1">
      <alignment horizontal="center"/>
      <protection hidden="1"/>
    </xf>
    <xf numFmtId="166" fontId="146" fillId="2" borderId="46" xfId="18" applyFont="1" applyFill="1" applyBorder="1" applyAlignment="1" applyProtection="1">
      <alignment horizontal="right"/>
      <protection locked="0"/>
    </xf>
    <xf numFmtId="9" fontId="39" fillId="64" borderId="46" xfId="16" applyFont="1" applyFill="1" applyBorder="1" applyAlignment="1" applyProtection="1">
      <alignment horizontal="center"/>
      <protection hidden="1"/>
    </xf>
    <xf numFmtId="0" fontId="84" fillId="0" borderId="46" xfId="0" applyFont="1" applyBorder="1"/>
    <xf numFmtId="9" fontId="133" fillId="0" borderId="46" xfId="0" applyNumberFormat="1" applyFont="1" applyBorder="1" applyAlignment="1">
      <alignment horizontal="center"/>
    </xf>
    <xf numFmtId="9" fontId="133" fillId="61" borderId="46" xfId="65" applyFont="1" applyFill="1" applyBorder="1" applyAlignment="1">
      <alignment horizontal="center"/>
    </xf>
    <xf numFmtId="2" fontId="127" fillId="63" borderId="46" xfId="3" applyNumberFormat="1" applyFont="1" applyFill="1" applyBorder="1" applyAlignment="1" applyProtection="1">
      <alignment vertical="center" wrapText="1"/>
      <protection hidden="1"/>
    </xf>
    <xf numFmtId="179" fontId="148" fillId="0" borderId="46" xfId="5" applyNumberFormat="1" applyFont="1" applyFill="1" applyBorder="1" applyAlignment="1" applyProtection="1">
      <protection hidden="1"/>
    </xf>
    <xf numFmtId="2" fontId="92" fillId="0" borderId="46" xfId="3" applyNumberFormat="1" applyFont="1" applyFill="1" applyBorder="1" applyAlignment="1" applyProtection="1">
      <protection hidden="1"/>
    </xf>
    <xf numFmtId="166" fontId="39" fillId="64" borderId="46" xfId="18" applyFont="1" applyFill="1" applyBorder="1"/>
    <xf numFmtId="9" fontId="143" fillId="64" borderId="46" xfId="16" applyFont="1" applyFill="1" applyBorder="1" applyAlignment="1" applyProtection="1">
      <alignment horizontal="center"/>
      <protection hidden="1"/>
    </xf>
    <xf numFmtId="166" fontId="143" fillId="64" borderId="46" xfId="18" applyFont="1" applyFill="1" applyBorder="1" applyAlignment="1" applyProtection="1">
      <alignment horizontal="center"/>
      <protection hidden="1"/>
    </xf>
    <xf numFmtId="166" fontId="133" fillId="0" borderId="46" xfId="18" applyFont="1" applyBorder="1" applyAlignment="1">
      <alignment horizontal="center"/>
    </xf>
    <xf numFmtId="0" fontId="118" fillId="63" borderId="46" xfId="59" applyFont="1" applyFill="1" applyBorder="1" applyAlignment="1">
      <alignment horizontal="left" vertical="top" wrapText="1"/>
    </xf>
    <xf numFmtId="4" fontId="143" fillId="64" borderId="46" xfId="62" applyNumberFormat="1" applyFont="1" applyFill="1" applyBorder="1" applyAlignment="1" applyProtection="1">
      <alignment horizontal="center"/>
      <protection hidden="1"/>
    </xf>
    <xf numFmtId="167" fontId="39" fillId="0" borderId="46" xfId="8" applyFont="1" applyBorder="1"/>
    <xf numFmtId="44" fontId="143" fillId="35" borderId="46" xfId="66" applyFont="1" applyFill="1" applyBorder="1" applyAlignment="1" applyProtection="1">
      <protection locked="0"/>
    </xf>
    <xf numFmtId="166" fontId="39" fillId="0" borderId="46" xfId="18" applyFont="1" applyBorder="1"/>
    <xf numFmtId="3" fontId="143" fillId="64" borderId="46" xfId="62" applyNumberFormat="1" applyFont="1" applyFill="1" applyBorder="1" applyAlignment="1" applyProtection="1">
      <alignment horizontal="center"/>
      <protection hidden="1"/>
    </xf>
    <xf numFmtId="167" fontId="133" fillId="0" borderId="46" xfId="8" applyFont="1" applyBorder="1"/>
    <xf numFmtId="166" fontId="133" fillId="0" borderId="46" xfId="18" applyFont="1" applyBorder="1"/>
    <xf numFmtId="0" fontId="82" fillId="0" borderId="46" xfId="9" applyFont="1" applyBorder="1" applyAlignment="1" applyProtection="1">
      <alignment horizontal="left"/>
      <protection hidden="1"/>
    </xf>
    <xf numFmtId="0" fontId="39" fillId="0" borderId="46" xfId="9" applyFont="1" applyBorder="1" applyAlignment="1" applyProtection="1">
      <alignment horizontal="center"/>
      <protection hidden="1"/>
    </xf>
    <xf numFmtId="0" fontId="82" fillId="0" borderId="46" xfId="10" applyFont="1" applyBorder="1"/>
    <xf numFmtId="179" fontId="150" fillId="64" borderId="46" xfId="10" applyNumberFormat="1" applyFont="1" applyFill="1" applyBorder="1"/>
    <xf numFmtId="0" fontId="82" fillId="64" borderId="46" xfId="10" applyFont="1" applyFill="1" applyBorder="1"/>
    <xf numFmtId="0" fontId="82" fillId="0" borderId="46" xfId="9" applyFont="1" applyBorder="1" applyAlignment="1" applyProtection="1">
      <alignment horizontal="center"/>
      <protection hidden="1"/>
    </xf>
    <xf numFmtId="0" fontId="82" fillId="0" borderId="46" xfId="9" applyFont="1" applyBorder="1" applyAlignment="1" applyProtection="1">
      <alignment horizontal="left" vertical="center"/>
      <protection hidden="1"/>
    </xf>
    <xf numFmtId="0" fontId="82" fillId="0" borderId="46" xfId="9" applyFont="1" applyBorder="1" applyAlignment="1" applyProtection="1">
      <alignment horizontal="left" wrapText="1"/>
      <protection hidden="1"/>
    </xf>
    <xf numFmtId="0" fontId="82" fillId="0" borderId="46" xfId="9" applyFont="1" applyBorder="1" applyAlignment="1" applyProtection="1">
      <alignment horizontal="right"/>
      <protection hidden="1"/>
    </xf>
    <xf numFmtId="0" fontId="82" fillId="0" borderId="46" xfId="103" applyFont="1" applyBorder="1" applyAlignment="1">
      <alignment vertical="top" wrapText="1"/>
    </xf>
    <xf numFmtId="44" fontId="39" fillId="65" borderId="46" xfId="66" applyFont="1" applyFill="1" applyBorder="1" applyAlignment="1" applyProtection="1">
      <protection locked="0"/>
    </xf>
    <xf numFmtId="0" fontId="82" fillId="0" borderId="46" xfId="103" applyFont="1" applyBorder="1" applyAlignment="1">
      <alignment vertical="top"/>
    </xf>
    <xf numFmtId="2" fontId="82" fillId="0" borderId="46" xfId="84" applyNumberFormat="1" applyFont="1" applyBorder="1"/>
    <xf numFmtId="1" fontId="82" fillId="0" borderId="46" xfId="84" applyNumberFormat="1" applyFont="1" applyBorder="1" applyAlignment="1">
      <alignment horizontal="center"/>
    </xf>
    <xf numFmtId="4" fontId="39" fillId="0" borderId="46" xfId="8" applyNumberFormat="1" applyFont="1" applyFill="1" applyBorder="1" applyAlignment="1">
      <alignment horizontal="center" vertical="top" wrapText="1"/>
    </xf>
    <xf numFmtId="166" fontId="39" fillId="0" borderId="46" xfId="18" applyFont="1" applyBorder="1" applyAlignment="1">
      <alignment horizontal="center" vertical="top" wrapText="1"/>
    </xf>
    <xf numFmtId="44" fontId="39" fillId="0" borderId="46" xfId="66" applyFont="1" applyBorder="1" applyAlignment="1">
      <alignment vertical="top" wrapText="1"/>
    </xf>
    <xf numFmtId="49" fontId="39" fillId="0" borderId="46" xfId="103" applyNumberFormat="1" applyFont="1" applyBorder="1" applyAlignment="1">
      <alignment horizontal="center" vertical="top" wrapText="1"/>
    </xf>
    <xf numFmtId="0" fontId="82" fillId="0" borderId="46" xfId="84" applyFont="1" applyBorder="1"/>
    <xf numFmtId="3" fontId="39" fillId="0" borderId="46" xfId="8" applyNumberFormat="1" applyFont="1" applyFill="1" applyBorder="1" applyAlignment="1">
      <alignment horizontal="center" vertical="top" wrapText="1"/>
    </xf>
    <xf numFmtId="3" fontId="39" fillId="67" borderId="46" xfId="8" applyNumberFormat="1" applyFont="1" applyFill="1" applyBorder="1" applyAlignment="1">
      <alignment vertical="top" wrapText="1"/>
    </xf>
    <xf numFmtId="44" fontId="39" fillId="67" borderId="46" xfId="66" applyFont="1" applyFill="1" applyBorder="1" applyAlignment="1">
      <alignment vertical="top" wrapText="1"/>
    </xf>
    <xf numFmtId="173" fontId="118" fillId="63" borderId="46" xfId="8" applyNumberFormat="1" applyFont="1" applyFill="1" applyBorder="1" applyAlignment="1">
      <alignment vertical="top" wrapText="1"/>
    </xf>
    <xf numFmtId="3" fontId="82" fillId="0" borderId="46" xfId="8" applyNumberFormat="1" applyFont="1" applyFill="1" applyBorder="1" applyAlignment="1">
      <alignment horizontal="center" vertical="top" wrapText="1"/>
    </xf>
    <xf numFmtId="166" fontId="82" fillId="0" borderId="46" xfId="18" applyFont="1" applyBorder="1" applyAlignment="1">
      <alignment horizontal="center" vertical="top" wrapText="1"/>
    </xf>
    <xf numFmtId="44" fontId="82" fillId="0" borderId="46" xfId="66" applyFont="1" applyBorder="1" applyAlignment="1">
      <alignment vertical="top" wrapText="1"/>
    </xf>
    <xf numFmtId="1" fontId="82" fillId="0" borderId="46" xfId="103" applyNumberFormat="1" applyFont="1" applyBorder="1" applyAlignment="1">
      <alignment horizontal="center" vertical="top" wrapText="1"/>
    </xf>
    <xf numFmtId="0" fontId="82" fillId="2" borderId="46" xfId="84" applyFont="1" applyFill="1" applyBorder="1"/>
    <xf numFmtId="0" fontId="82" fillId="2" borderId="46" xfId="89" applyFont="1" applyFill="1" applyBorder="1"/>
    <xf numFmtId="179" fontId="118" fillId="63" borderId="46" xfId="89" applyNumberFormat="1" applyFont="1" applyFill="1" applyBorder="1" applyAlignment="1" applyProtection="1">
      <alignment horizontal="center" vertical="top" wrapText="1"/>
      <protection hidden="1"/>
    </xf>
    <xf numFmtId="2" fontId="118" fillId="63" borderId="46" xfId="89" applyNumberFormat="1" applyFont="1" applyFill="1" applyBorder="1" applyAlignment="1" applyProtection="1">
      <alignment horizontal="center" vertical="top" wrapText="1"/>
      <protection hidden="1"/>
    </xf>
    <xf numFmtId="0" fontId="82" fillId="0" borderId="46" xfId="89" applyFont="1" applyBorder="1"/>
    <xf numFmtId="0" fontId="82" fillId="0" borderId="46" xfId="89" applyFont="1" applyBorder="1" applyAlignment="1">
      <alignment horizontal="left"/>
    </xf>
    <xf numFmtId="166" fontId="39" fillId="64" borderId="46" xfId="18" applyFont="1" applyFill="1" applyBorder="1" applyAlignment="1">
      <alignment horizontal="center"/>
    </xf>
    <xf numFmtId="197" fontId="39" fillId="0" borderId="46" xfId="66" applyNumberFormat="1" applyFont="1" applyBorder="1" applyAlignment="1">
      <alignment vertical="top" wrapText="1"/>
    </xf>
    <xf numFmtId="197" fontId="39" fillId="68" borderId="46" xfId="66" applyNumberFormat="1" applyFont="1" applyFill="1" applyBorder="1" applyAlignment="1">
      <alignment vertical="top" wrapText="1"/>
    </xf>
    <xf numFmtId="44" fontId="39" fillId="68" borderId="46" xfId="66" applyFont="1" applyFill="1" applyBorder="1" applyAlignment="1">
      <alignment vertical="top" wrapText="1"/>
    </xf>
    <xf numFmtId="173" fontId="83" fillId="0" borderId="0" xfId="8" applyNumberFormat="1" applyFont="1" applyFill="1" applyBorder="1" applyAlignment="1">
      <alignment horizontal="center"/>
    </xf>
    <xf numFmtId="2" fontId="118" fillId="63" borderId="35" xfId="0" applyNumberFormat="1" applyFont="1" applyFill="1" applyBorder="1" applyAlignment="1">
      <alignment horizontal="center" vertical="center" wrapText="1"/>
    </xf>
    <xf numFmtId="2" fontId="118" fillId="63" borderId="37" xfId="0" applyNumberFormat="1" applyFont="1" applyFill="1" applyBorder="1" applyAlignment="1">
      <alignment horizontal="center" vertical="center" wrapText="1"/>
    </xf>
    <xf numFmtId="2" fontId="118" fillId="63" borderId="34" xfId="0" applyNumberFormat="1" applyFont="1" applyFill="1" applyBorder="1" applyAlignment="1">
      <alignment horizontal="center" vertical="center" wrapText="1"/>
    </xf>
    <xf numFmtId="167" fontId="120" fillId="63" borderId="53" xfId="8" applyFont="1" applyFill="1" applyBorder="1" applyAlignment="1">
      <alignment horizontal="center" vertical="top" wrapText="1"/>
    </xf>
    <xf numFmtId="167" fontId="120" fillId="62" borderId="54" xfId="8" applyFont="1" applyFill="1" applyBorder="1" applyAlignment="1">
      <alignment horizontal="center" vertical="top" wrapText="1"/>
    </xf>
    <xf numFmtId="167" fontId="120" fillId="62" borderId="33" xfId="8" applyFont="1" applyFill="1" applyBorder="1" applyAlignment="1">
      <alignment horizontal="center" vertical="top" wrapText="1"/>
    </xf>
    <xf numFmtId="167" fontId="120" fillId="62" borderId="2" xfId="8" applyFont="1" applyFill="1" applyBorder="1" applyAlignment="1">
      <alignment horizontal="center" vertical="top" wrapText="1"/>
    </xf>
    <xf numFmtId="49" fontId="118" fillId="63" borderId="35" xfId="63" applyNumberFormat="1" applyFont="1" applyFill="1" applyBorder="1" applyAlignment="1">
      <alignment horizontal="left" vertical="top" wrapText="1"/>
    </xf>
    <xf numFmtId="49" fontId="118" fillId="62" borderId="37" xfId="63" applyNumberFormat="1" applyFont="1" applyFill="1" applyBorder="1" applyAlignment="1">
      <alignment horizontal="left" vertical="top" wrapText="1"/>
    </xf>
    <xf numFmtId="49" fontId="118" fillId="62" borderId="34" xfId="63" applyNumberFormat="1" applyFont="1" applyFill="1" applyBorder="1" applyAlignment="1">
      <alignment horizontal="left" vertical="top" wrapText="1"/>
    </xf>
    <xf numFmtId="0" fontId="82" fillId="0" borderId="35" xfId="0" applyFont="1" applyBorder="1" applyAlignment="1">
      <alignment horizontal="left"/>
    </xf>
    <xf numFmtId="0" fontId="82" fillId="0" borderId="34" xfId="0" applyFont="1" applyBorder="1" applyAlignment="1">
      <alignment horizontal="left"/>
    </xf>
    <xf numFmtId="0" fontId="84" fillId="0" borderId="35" xfId="13" applyFont="1" applyBorder="1" applyAlignment="1" applyProtection="1">
      <alignment horizontal="left" vertical="center"/>
      <protection hidden="1"/>
    </xf>
    <xf numFmtId="0" fontId="84" fillId="0" borderId="34" xfId="13" applyFont="1" applyBorder="1" applyAlignment="1" applyProtection="1">
      <alignment horizontal="left" vertical="center"/>
      <protection hidden="1"/>
    </xf>
    <xf numFmtId="2" fontId="127" fillId="63" borderId="16" xfId="13" applyNumberFormat="1" applyFont="1" applyFill="1" applyBorder="1" applyAlignment="1" applyProtection="1">
      <alignment horizontal="center" vertical="center" wrapText="1"/>
      <protection hidden="1"/>
    </xf>
    <xf numFmtId="2" fontId="127" fillId="62" borderId="16" xfId="13" applyNumberFormat="1" applyFont="1" applyFill="1" applyBorder="1" applyAlignment="1" applyProtection="1">
      <alignment horizontal="center" vertical="center" wrapText="1"/>
      <protection hidden="1"/>
    </xf>
    <xf numFmtId="2" fontId="127" fillId="63" borderId="35" xfId="3" applyNumberFormat="1" applyFont="1" applyFill="1" applyBorder="1" applyAlignment="1" applyProtection="1">
      <alignment horizontal="center" vertical="center" wrapText="1"/>
      <protection hidden="1"/>
    </xf>
    <xf numFmtId="0" fontId="118" fillId="62" borderId="34" xfId="0" applyFont="1" applyFill="1" applyBorder="1" applyAlignment="1">
      <alignment horizontal="center" vertical="center" wrapText="1"/>
    </xf>
    <xf numFmtId="0" fontId="82" fillId="0" borderId="0" xfId="0" applyFont="1" applyAlignment="1">
      <alignment horizontal="left" vertical="top" wrapText="1"/>
    </xf>
    <xf numFmtId="2" fontId="127" fillId="63" borderId="46" xfId="13" applyNumberFormat="1" applyFont="1" applyFill="1" applyBorder="1" applyAlignment="1" applyProtection="1">
      <alignment horizontal="center" vertical="center" wrapText="1"/>
      <protection hidden="1"/>
    </xf>
    <xf numFmtId="2" fontId="127" fillId="62" borderId="46" xfId="13" applyNumberFormat="1" applyFont="1" applyFill="1" applyBorder="1" applyAlignment="1" applyProtection="1">
      <alignment horizontal="center" vertical="center" wrapText="1"/>
      <protection hidden="1"/>
    </xf>
    <xf numFmtId="2" fontId="127" fillId="63" borderId="35" xfId="13" applyNumberFormat="1" applyFont="1" applyFill="1" applyBorder="1" applyAlignment="1" applyProtection="1">
      <alignment horizontal="center" vertical="center" wrapText="1"/>
      <protection hidden="1"/>
    </xf>
    <xf numFmtId="2" fontId="127" fillId="62" borderId="37" xfId="13" applyNumberFormat="1" applyFont="1" applyFill="1" applyBorder="1" applyAlignment="1" applyProtection="1">
      <alignment horizontal="center" vertical="center" wrapText="1"/>
      <protection hidden="1"/>
    </xf>
    <xf numFmtId="2" fontId="127" fillId="62" borderId="34" xfId="13" applyNumberFormat="1" applyFont="1" applyFill="1" applyBorder="1" applyAlignment="1" applyProtection="1">
      <alignment horizontal="center" vertical="center" wrapText="1"/>
      <protection hidden="1"/>
    </xf>
    <xf numFmtId="2" fontId="127" fillId="63" borderId="37" xfId="13" applyNumberFormat="1" applyFont="1" applyFill="1" applyBorder="1" applyAlignment="1" applyProtection="1">
      <alignment horizontal="center" vertical="center" wrapText="1"/>
      <protection hidden="1"/>
    </xf>
    <xf numFmtId="2" fontId="127" fillId="63" borderId="34" xfId="13" applyNumberFormat="1" applyFont="1" applyFill="1" applyBorder="1" applyAlignment="1" applyProtection="1">
      <alignment horizontal="center" vertical="center" wrapText="1"/>
      <protection hidden="1"/>
    </xf>
    <xf numFmtId="0" fontId="82" fillId="0" borderId="35" xfId="9" applyFont="1" applyBorder="1" applyAlignment="1" applyProtection="1">
      <alignment horizontal="center"/>
      <protection hidden="1"/>
    </xf>
    <xf numFmtId="0" fontId="82" fillId="0" borderId="37" xfId="9" applyFont="1" applyBorder="1" applyAlignment="1" applyProtection="1">
      <alignment horizontal="center"/>
      <protection hidden="1"/>
    </xf>
    <xf numFmtId="0" fontId="82" fillId="0" borderId="34" xfId="9" applyFont="1" applyBorder="1" applyAlignment="1" applyProtection="1">
      <alignment horizontal="center"/>
      <protection hidden="1"/>
    </xf>
    <xf numFmtId="0" fontId="115" fillId="0" borderId="0" xfId="89" applyFont="1" applyAlignment="1">
      <alignment horizontal="left" vertical="center" wrapText="1"/>
    </xf>
  </cellXfs>
  <cellStyles count="52999">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2 2 2" xfId="52948" xr:uid="{84878702-16ED-448C-8526-114B94054B3C}"/>
    <cellStyle name="20% - Accent1 2 10 2 6 2 2 3" xfId="52920" xr:uid="{F92C8BBB-D012-4632-A2FE-2ADB2D8D096B}"/>
    <cellStyle name="20% - Accent1 2 10 2 6 2 3" xfId="52935" xr:uid="{FD07FBC2-E74F-4533-AE10-4790A0289262}"/>
    <cellStyle name="20% - Accent1 2 10 2 6 2 4" xfId="52888" xr:uid="{C7C90486-11C3-4299-813D-0CC7F7CB6724}"/>
    <cellStyle name="20% - Accent1 2 10 2 6 2 5" xfId="52970" xr:uid="{C553B49B-21F5-4978-80D9-FCF0091B3044}"/>
    <cellStyle name="20% - Accent1 2 10 2 6 3" xfId="109" xr:uid="{00000000-0005-0000-0000-0000C8020000}"/>
    <cellStyle name="20% - Accent1 2 10 2 6 3 2" xfId="52921" xr:uid="{33BC2536-34A7-455E-999B-9B2CF1F7E400}"/>
    <cellStyle name="20% - Accent1 2 10 2 6 3 2 2" xfId="52949" xr:uid="{7646C514-97D8-42DF-85A4-875BB2964C39}"/>
    <cellStyle name="20% - Accent1 2 10 2 6 3 3" xfId="52936" xr:uid="{54C7B331-820B-4EFA-B3BB-8ECECD5CA73D}"/>
    <cellStyle name="20% - Accent1 2 10 2 6 3 4" xfId="52889" xr:uid="{A9ACA3A0-1C40-4EB1-A662-6E5BA9DCFBD5}"/>
    <cellStyle name="20% - Accent1 2 10 2 6 3 5" xfId="52971" xr:uid="{3D036908-AE47-4BE4-B3CF-A22D50F0FB08}"/>
    <cellStyle name="20% - Accent1 2 10 2 6 4" xfId="907" xr:uid="{00000000-0005-0000-0000-0000C9020000}"/>
    <cellStyle name="20% - Accent1 2 10 2 6 4 2" xfId="52947" xr:uid="{63D12E88-A344-4705-801C-389620F91EBD}"/>
    <cellStyle name="20% - Accent1 2 10 2 6 4 3" xfId="52919" xr:uid="{CD92F5A2-AFC4-4883-8693-5BE928508379}"/>
    <cellStyle name="20% - Accent1 2 10 2 6 5" xfId="52934" xr:uid="{6D697378-1D75-4E69-86E2-AA7B7F35621D}"/>
    <cellStyle name="20% - Accent1 2 10 2 6 6" xfId="52887" xr:uid="{2B356E5A-B761-48D5-881E-AAE38D94B1F7}"/>
    <cellStyle name="20% - Accent1 2 10 2 6 7" xfId="52969" xr:uid="{57E0AAA8-E991-4D9E-BC5F-F796090D838B}"/>
    <cellStyle name="20% - Accent1 2 10 2 7" xfId="110" xr:uid="{00000000-0005-0000-0000-0000CA020000}"/>
    <cellStyle name="20% - Accent1 2 10 2 7 2" xfId="111" xr:uid="{00000000-0005-0000-0000-0000CB020000}"/>
    <cellStyle name="20% - Accent1 2 10 2 7 2 2" xfId="52923" xr:uid="{7FAB586D-8E85-4D82-B188-0F6518BDD259}"/>
    <cellStyle name="20% - Accent1 2 10 2 7 2 2 2" xfId="52951" xr:uid="{029C7E11-0C44-49AF-AD39-CACDCA8AD340}"/>
    <cellStyle name="20% - Accent1 2 10 2 7 2 3" xfId="52938" xr:uid="{0DFC3BC0-0BD0-43FA-A729-C818441AD9B9}"/>
    <cellStyle name="20% - Accent1 2 10 2 7 2 4" xfId="52891" xr:uid="{581F9D6C-833D-43B8-BA8B-1F57DD83A75C}"/>
    <cellStyle name="20% - Accent1 2 10 2 7 2 5" xfId="52973" xr:uid="{5640BD71-8EF8-43C1-BB62-1E73FAD29461}"/>
    <cellStyle name="20% - Accent1 2 10 2 7 3" xfId="112" xr:uid="{00000000-0005-0000-0000-0000CC020000}"/>
    <cellStyle name="20% - Accent1 2 10 2 7 3 2" xfId="52924" xr:uid="{69AE9C5D-3D13-4852-A0B1-907E7E318345}"/>
    <cellStyle name="20% - Accent1 2 10 2 7 3 2 2" xfId="52952" xr:uid="{A34A4380-960C-47C1-B27A-FEB8CB219AAC}"/>
    <cellStyle name="20% - Accent1 2 10 2 7 3 3" xfId="52939" xr:uid="{4ACB6904-C21E-43F4-B575-E1A1AAE04B16}"/>
    <cellStyle name="20% - Accent1 2 10 2 7 3 4" xfId="52892" xr:uid="{ABFD5EB9-6015-476C-BE0D-4FA29C144063}"/>
    <cellStyle name="20% - Accent1 2 10 2 7 3 5" xfId="52974" xr:uid="{6DC8812D-8A89-4477-85A4-8114ABC7206B}"/>
    <cellStyle name="20% - Accent1 2 10 2 7 4" xfId="52922" xr:uid="{77BE6103-6CC9-4064-B18B-8463D03558FE}"/>
    <cellStyle name="20% - Accent1 2 10 2 7 4 2" xfId="52950" xr:uid="{E75CD3A2-811E-40FB-998E-796FE322CC16}"/>
    <cellStyle name="20% - Accent1 2 10 2 7 5" xfId="52937" xr:uid="{62FD00EA-B8B7-4E67-8A97-8EAAA43EECAC}"/>
    <cellStyle name="20% - Accent1 2 10 2 7 6" xfId="52890" xr:uid="{8FB92B88-2F21-4D88-93F8-A3C489C62FED}"/>
    <cellStyle name="20% - Accent1 2 10 2 7 7" xfId="52972" xr:uid="{43D0E921-DAE0-4977-9369-EEFBC7202252}"/>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2 2 2" xfId="52954" xr:uid="{40A8A8D9-3F2D-4CE5-9359-2C6AB99997F3}"/>
    <cellStyle name="20% - Accent1 2 18 2 2 3" xfId="52926" xr:uid="{A1C6C507-C494-4550-82F6-8AB965AE52E6}"/>
    <cellStyle name="20% - Accent1 2 18 2 3" xfId="52941" xr:uid="{0430D3FC-1F13-4E57-B3BF-130108BC49EA}"/>
    <cellStyle name="20% - Accent1 2 18 2 4" xfId="52894" xr:uid="{08B5FC33-E81F-4467-B193-E153917D2F85}"/>
    <cellStyle name="20% - Accent1 2 18 2 5" xfId="52976" xr:uid="{7D2AA640-37BC-4891-B143-8588A6EACBBC}"/>
    <cellStyle name="20% - Accent1 2 18 3" xfId="115" xr:uid="{00000000-0005-0000-0000-0000F5030000}"/>
    <cellStyle name="20% - Accent1 2 18 3 2" xfId="52927" xr:uid="{F803653D-44E9-42F6-AB0A-55FFC2E925BF}"/>
    <cellStyle name="20% - Accent1 2 18 3 2 2" xfId="52955" xr:uid="{659DA31D-FB76-4FB3-AF43-283845C0176D}"/>
    <cellStyle name="20% - Accent1 2 18 3 3" xfId="52942" xr:uid="{BE6C1A1A-2AE0-44F9-8D3C-4CB539333CB5}"/>
    <cellStyle name="20% - Accent1 2 18 3 4" xfId="52895" xr:uid="{140F4CC2-762E-45D9-91E2-471C5C628292}"/>
    <cellStyle name="20% - Accent1 2 18 3 5" xfId="52977" xr:uid="{16F51C17-DC4E-441E-9D09-41C242800267}"/>
    <cellStyle name="20% - Accent1 2 18 4" xfId="1202" xr:uid="{00000000-0005-0000-0000-0000F6030000}"/>
    <cellStyle name="20% - Accent1 2 18 4 2" xfId="52953" xr:uid="{912F4BB0-743D-4F78-BE63-349E9776568B}"/>
    <cellStyle name="20% - Accent1 2 18 4 3" xfId="52925" xr:uid="{BC0F9E00-9B91-4B27-8433-B260EDD3F8B9}"/>
    <cellStyle name="20% - Accent1 2 18 5" xfId="52940" xr:uid="{FFBDCD12-E348-4DAB-B68B-E4E269979092}"/>
    <cellStyle name="20% - Accent1 2 18 6" xfId="52893" xr:uid="{D90759EB-341F-4161-9225-CFF780515608}"/>
    <cellStyle name="20% - Accent1 2 18 7" xfId="52975" xr:uid="{AB8711EE-098F-4FBD-9BCB-6122CEC1A3C5}"/>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13" xfId="52896" xr:uid="{1E3C9DD7-9673-4391-AD84-5CC19057DD8B}"/>
    <cellStyle name="20% - Accent1 3 11 14" xfId="52978" xr:uid="{AE41ECBE-F6FB-4758-9BC3-577420BC8885}"/>
    <cellStyle name="20% - Accent1 3 11 2" xfId="118" xr:uid="{00000000-0005-0000-0000-0000F03D0000}"/>
    <cellStyle name="20% - Accent1 3 11 2 10" xfId="52897" xr:uid="{C5B1B01B-8DC6-4050-9A94-DE345DF497C6}"/>
    <cellStyle name="20% - Accent1 3 11 2 11" xfId="52979" xr:uid="{C6B17201-2EA5-4C58-BB9F-4EE92962DD4F}"/>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2 4" xfId="52957" xr:uid="{0AAA9F6F-EA8D-4E82-B3C0-B1B5A162017D}"/>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2 5" xfId="52929" xr:uid="{C42125A5-C303-4BC1-9485-FE107D1CF5AF}"/>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3 5" xfId="52944" xr:uid="{9DAEC696-3ABE-4D6A-8865-815B5A58A538}"/>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10" xfId="52898" xr:uid="{B31C7F6B-6FCD-492E-9C36-9D793163F384}"/>
    <cellStyle name="20% - Accent1 3 11 3 11" xfId="52980" xr:uid="{8806E38F-5CD3-4649-A2D7-36D7FA2F1F56}"/>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2 4" xfId="52958" xr:uid="{80C7B6B3-5F34-4C95-8B42-118C32BC7791}"/>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2 5" xfId="52930" xr:uid="{43F414BA-5EA3-4ACB-B4C6-20F2D88BFA3C}"/>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3 5" xfId="52945" xr:uid="{DC2D97AB-09E6-4C3A-96E4-CEE7383D1287}"/>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2 4" xfId="52956" xr:uid="{3A397E8C-5ACD-490B-8BD6-332668E87201}"/>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4 5" xfId="52928" xr:uid="{7F55CD47-0552-4DB3-857E-28968E3DB804}"/>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5 5" xfId="52943" xr:uid="{CF064817-8852-45A1-8CF5-A3C6CA86AD4B}"/>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erekening 2 2" xfId="52900" xr:uid="{4FF93900-065A-48FF-8547-47ED7172F743}"/>
    <cellStyle name="Berekening 2 3" xfId="52982" xr:uid="{33B4C26D-39C1-46E6-AE99-34CA22C3B28B}"/>
    <cellStyle name="Bold text" xfId="157" xr:uid="{00000000-0005-0000-0000-0000FECD0000}"/>
    <cellStyle name="Calculation" xfId="158" xr:uid="{00000000-0005-0000-0000-0000FFCD0000}"/>
    <cellStyle name="Calculation 2" xfId="52901" xr:uid="{AD9F4875-AD9C-4E19-A0C7-8DD6F38B0560}"/>
    <cellStyle name="Calculation 3" xfId="52983" xr:uid="{BEE31404-E71C-4B4E-8F94-DE2D34834367}"/>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2 3" xfId="52902" xr:uid="{7DB9C6A4-3AB1-4F8C-8549-FB05EC1545C4}"/>
    <cellStyle name="euro 2 4" xfId="52899" xr:uid="{CA5F4B16-D163-4407-A185-2160C4D60775}"/>
    <cellStyle name="euro 2 5" xfId="52984" xr:uid="{8E16CDDF-561E-4B88-88F0-E6E447D33B7A}"/>
    <cellStyle name="euro 2 6" xfId="52981" xr:uid="{FDDB0BEF-1F8C-4994-9827-2E91453DBB4C}"/>
    <cellStyle name="Euro 3" xfId="70" xr:uid="{00000000-0005-0000-0000-000010CE0000}"/>
    <cellStyle name="Euro 3 2" xfId="52860" xr:uid="{00000000-0005-0000-0000-000011CE0000}"/>
    <cellStyle name="Euro 3 3" xfId="52918" xr:uid="{562F1F9A-B48A-4B80-82AD-9F2C4E910674}"/>
    <cellStyle name="Euro 4" xfId="71" xr:uid="{00000000-0005-0000-0000-000012CE0000}"/>
    <cellStyle name="Euro 4 2" xfId="52931" xr:uid="{580760DF-CFBA-4EAA-9398-1741A1791BB6}"/>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put 2" xfId="52903" xr:uid="{C519D722-679E-48F7-B677-9A77C16BE314}"/>
    <cellStyle name="Input 3" xfId="52985" xr:uid="{F0E5927C-11F5-4D06-8B6A-C3BB7E9E4ED2}"/>
    <cellStyle name="Invoer" xfId="27" builtinId="20" customBuiltin="1"/>
    <cellStyle name="invoer 2" xfId="171" xr:uid="{00000000-0005-0000-0000-000025CE0000}"/>
    <cellStyle name="invoer 2 2" xfId="52904" xr:uid="{3B87CF84-3C3D-4809-A365-58C62974EC87}"/>
    <cellStyle name="invoer 2 3" xfId="52986" xr:uid="{7A770750-5F81-4B74-81D2-83ABF0BF1729}"/>
    <cellStyle name="Komma" xfId="8" builtinId="3"/>
    <cellStyle name="Komma [0] 2" xfId="73" xr:uid="{00000000-0005-0000-0000-000027CE0000}"/>
    <cellStyle name="Komma 10" xfId="52966" xr:uid="{24F541AA-4F9E-4075-BF54-F6712F3B107E}"/>
    <cellStyle name="Komma 11" xfId="52967" xr:uid="{D322C5E2-0E51-4487-B2D4-E0A6E1667D3F}"/>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4 3" xfId="52915" xr:uid="{0E72F874-B2B9-4B26-941D-CE0EB98AAA18}"/>
    <cellStyle name="Komma 5" xfId="52866" xr:uid="{00000000-0005-0000-0000-00002FCE0000}"/>
    <cellStyle name="Komma 5 2" xfId="52961" xr:uid="{1F04A34F-4DDB-429D-9792-34FE8E7C9F61}"/>
    <cellStyle name="Komma 6" xfId="52867" xr:uid="{00000000-0005-0000-0000-000030CE0000}"/>
    <cellStyle name="Komma 6 2" xfId="52962" xr:uid="{FD8CF613-3F97-4BDE-86F7-AE72038FBA05}"/>
    <cellStyle name="Komma 7" xfId="52963" xr:uid="{E3CE97C0-1C3D-4690-82EC-36317B7000F5}"/>
    <cellStyle name="Komma 8" xfId="52964" xr:uid="{4DAE4020-10A9-4747-9FB8-FBB894CDC2FC}"/>
    <cellStyle name="Komma 9" xfId="52965" xr:uid="{D201B423-8AAF-45A9-90C7-EBFE248A4F8F}"/>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e 2" xfId="52905" xr:uid="{8A811A33-9FE5-4CF5-BFF2-72996CF9981F}"/>
    <cellStyle name="Note 3" xfId="52987" xr:uid="{2ACBBBFE-9837-4955-B141-D727949F1B07}"/>
    <cellStyle name="Notitie 2" xfId="60" xr:uid="{00000000-0005-0000-0000-00004FCE0000}"/>
    <cellStyle name="Notitie 2 2" xfId="52906" xr:uid="{D0EA4827-47A6-4917-BE6F-29C9A4329701}"/>
    <cellStyle name="Notitie 2 3" xfId="52988" xr:uid="{3642706A-1561-473D-8C06-E6769F62EBBF}"/>
    <cellStyle name="Notitie 3" xfId="184" xr:uid="{00000000-0005-0000-0000-000050CE0000}"/>
    <cellStyle name="Notitie 3 2" xfId="52907" xr:uid="{BFCB3BE6-5EC9-4644-A0C2-0381169C2E5F}"/>
    <cellStyle name="Notitie 3 3" xfId="52989" xr:uid="{6E99B8BF-A60C-4B4E-8B19-E031A6EF0093}"/>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Output 2" xfId="52908" xr:uid="{630762D1-218D-4FDA-9307-1C0EA14CDC15}"/>
    <cellStyle name="Output 3" xfId="52990" xr:uid="{D632D80C-B08E-44C7-83AA-03711040EEE8}"/>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15" xfId="52996" xr:uid="{51237E73-3B09-4625-AD34-72FA519174AB}"/>
    <cellStyle name="Standaard 16" xfId="52997" xr:uid="{80A3C21A-20CF-49EA-A0FB-C0A5DAE2E5D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2 2 3" xfId="52914" xr:uid="{237030EA-B8CC-4710-885B-8A4BE6087222}"/>
    <cellStyle name="Standaard 2 2 3" xfId="52909" xr:uid="{5E64BDB9-6583-4282-9465-F9A36671F3F5}"/>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5 3" xfId="52916" xr:uid="{D370537B-260E-44D4-9D9F-CC664CDA21AF}"/>
    <cellStyle name="Standaard 6" xfId="96" xr:uid="{00000000-0005-0000-0000-000076CE0000}"/>
    <cellStyle name="Standaard 6 2" xfId="52960" xr:uid="{8D979D86-A60A-4894-9D31-2ECA0BFA3BB7}"/>
    <cellStyle name="Standaard 6 3" xfId="52995" xr:uid="{BFA9B4E3-319A-4F2F-8525-B61AC0708451}"/>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al 2 2" xfId="52910" xr:uid="{0BFF9057-57F7-44F4-9CE8-85FCA8EDA85C}"/>
    <cellStyle name="Totaal 2 3" xfId="52991" xr:uid="{BCD08894-3CA1-45D3-8C83-3AA6A0CE825F}"/>
    <cellStyle name="Total" xfId="191" xr:uid="{00000000-0005-0000-0000-000082CE0000}"/>
    <cellStyle name="Total 2" xfId="52911" xr:uid="{A38D3617-6200-49C4-8DB6-51BBD4AF1EBD}"/>
    <cellStyle name="Total 3" xfId="52992" xr:uid="{A7D4C186-982E-4BB8-9385-FB840B213728}"/>
    <cellStyle name="Uitvoer" xfId="28" builtinId="21" customBuiltin="1"/>
    <cellStyle name="Uitvoer 2" xfId="192" xr:uid="{00000000-0005-0000-0000-000084CE0000}"/>
    <cellStyle name="Uitvoer 2 2" xfId="52912" xr:uid="{5A0EBA05-F65F-432E-BA9F-586EDFDB0665}"/>
    <cellStyle name="Uitvoer 2 3" xfId="52993" xr:uid="{7586A60D-DD0F-4117-B223-04B3B4E43D0F}"/>
    <cellStyle name="Valuta" xfId="18" builtinId="4"/>
    <cellStyle name="Valuta 2" xfId="66" xr:uid="{00000000-0005-0000-0000-000086CE0000}"/>
    <cellStyle name="Valuta 2 2" xfId="102" xr:uid="{00000000-0005-0000-0000-000087CE0000}"/>
    <cellStyle name="Valuta 2 2 2" xfId="52917" xr:uid="{FDDB1EA5-306D-47EB-BF4C-E6111378FECE}"/>
    <cellStyle name="Valuta 2 3" xfId="52882" xr:uid="{00000000-0005-0000-0000-000088CE0000}"/>
    <cellStyle name="Valuta 2 3 2" xfId="52933" xr:uid="{DA838C74-DA31-48B3-8C26-594501883729}"/>
    <cellStyle name="Valuta 2 4" xfId="52886" xr:uid="{AB2E6E88-5105-4189-AF09-69EDF18742C7}"/>
    <cellStyle name="Valuta 2 5" xfId="52968" xr:uid="{24A4AA42-F8DF-4CD0-A61A-A58E8BBD7AA3}"/>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4 2 2" xfId="52959" xr:uid="{AD016692-931A-47AC-A642-B58B238DF664}"/>
    <cellStyle name="Valuta 4 2 3" xfId="52932" xr:uid="{DEB0297E-D075-4590-91F4-65549216B9F4}"/>
    <cellStyle name="Valuta 4 3" xfId="52946" xr:uid="{D8795AAD-1AE1-4518-A0CB-46D143087E42}"/>
    <cellStyle name="Valuta 4 4" xfId="52913" xr:uid="{7364245A-B0D3-4B7B-B1EA-1040BBC09E12}"/>
    <cellStyle name="Valuta 4 5" xfId="52994" xr:uid="{2832DA3E-080F-4EA6-A447-0E135FEE66A2}"/>
    <cellStyle name="Valuta 5" xfId="52885" xr:uid="{00000000-0005-0000-0000-00008ECE0000}"/>
    <cellStyle name="Valuta 6" xfId="52998" xr:uid="{38C34E34-4A82-4ECD-B9B7-1768BB211D7C}"/>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9">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49530</xdr:colOff>
      <xdr:row>5</xdr:row>
      <xdr:rowOff>89535</xdr:rowOff>
    </xdr:from>
    <xdr:to>
      <xdr:col>16</xdr:col>
      <xdr:colOff>179070</xdr:colOff>
      <xdr:row>42</xdr:row>
      <xdr:rowOff>140970</xdr:rowOff>
    </xdr:to>
    <xdr:sp macro="" textlink="">
      <xdr:nvSpPr>
        <xdr:cNvPr id="6" name="Tekstvak 2">
          <a:extLst>
            <a:ext uri="{FF2B5EF4-FFF2-40B4-BE49-F238E27FC236}">
              <a16:creationId xmlns:a16="http://schemas.microsoft.com/office/drawing/2014/main" id="{C7D6EBC4-151B-4F97-BAC9-683FC3F6FDC1}"/>
            </a:ext>
          </a:extLst>
        </xdr:cNvPr>
        <xdr:cNvSpPr txBox="1"/>
      </xdr:nvSpPr>
      <xdr:spPr>
        <a:xfrm>
          <a:off x="49530" y="1823085"/>
          <a:ext cx="11111865" cy="60426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a:t>
          </a:r>
          <a:r>
            <a:rPr lang="nl-NL" sz="1200" b="0">
              <a:solidFill>
                <a:sysClr val="windowText" lastClr="000000"/>
              </a:solidFill>
              <a:effectLst/>
              <a:latin typeface="Georgia" panose="02040502050405020303" pitchFamily="18" charset="0"/>
              <a:ea typeface="+mn-ea"/>
              <a:cs typeface="+mn-cs"/>
            </a:rPr>
            <a:t>prijspeil van </a:t>
          </a:r>
          <a:r>
            <a:rPr lang="nl-NL" sz="1200" b="0" baseline="0">
              <a:solidFill>
                <a:sysClr val="windowText" lastClr="000000"/>
              </a:solidFill>
              <a:effectLst/>
              <a:latin typeface="Georgia" panose="02040502050405020303" pitchFamily="18" charset="0"/>
              <a:ea typeface="+mn-ea"/>
              <a:cs typeface="+mn-cs"/>
            </a:rPr>
            <a:t>2026 </a:t>
          </a:r>
          <a:r>
            <a:rPr lang="nl-NL" sz="1200" b="0">
              <a:solidFill>
                <a:sysClr val="windowText" lastClr="000000"/>
              </a:solidFill>
              <a:effectLst/>
              <a:latin typeface="Georgia" panose="02040502050405020303" pitchFamily="18" charset="0"/>
              <a:ea typeface="+mn-ea"/>
              <a:cs typeface="+mn-cs"/>
            </a:rPr>
            <a:t>is het uitgangspunt </a:t>
          </a:r>
          <a:r>
            <a:rPr lang="nl-NL" sz="12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0">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In de ruimtestaat</a:t>
          </a:r>
          <a:r>
            <a:rPr lang="nl-NL" sz="1200" b="0" baseline="0">
              <a:solidFill>
                <a:schemeClr val="dk1"/>
              </a:solidFill>
              <a:effectLst/>
              <a:latin typeface="Georgia" panose="02040502050405020303" pitchFamily="18" charset="0"/>
              <a:ea typeface="+mn-ea"/>
              <a:cs typeface="+mn-cs"/>
            </a:rPr>
            <a:t> ontbreken nog een aantal m2 gegevens, deze worden na gunning aangeleverd en kunnen dan worden verwerkt:</a:t>
          </a:r>
        </a:p>
        <a:p>
          <a:endParaRPr lang="nl-NL" sz="1200" b="0" baseline="0">
            <a:solidFill>
              <a:schemeClr val="dk1"/>
            </a:solidFill>
            <a:effectLst/>
            <a:latin typeface="Georgia" panose="02040502050405020303" pitchFamily="18" charset="0"/>
            <a:ea typeface="+mn-ea"/>
            <a:cs typeface="+mn-cs"/>
          </a:endParaRPr>
        </a:p>
        <a:p>
          <a:endParaRPr lang="nl-NL" sz="1200" b="0" baseline="0">
            <a:solidFill>
              <a:schemeClr val="dk1"/>
            </a:solidFill>
            <a:effectLst/>
            <a:latin typeface="Georgia" panose="02040502050405020303" pitchFamily="18" charset="0"/>
            <a:ea typeface="+mn-ea"/>
            <a:cs typeface="+mn-cs"/>
          </a:endParaRPr>
        </a:p>
        <a:p>
          <a:endParaRPr lang="nl-NL" sz="1200" b="0" baseline="0">
            <a:solidFill>
              <a:schemeClr val="dk1"/>
            </a:solidFill>
            <a:effectLst/>
            <a:latin typeface="Georgia" panose="02040502050405020303" pitchFamily="18" charset="0"/>
            <a:ea typeface="+mn-ea"/>
            <a:cs typeface="+mn-cs"/>
          </a:endParaRPr>
        </a:p>
        <a:p>
          <a:endParaRPr lang="nl-NL" sz="1200" b="0" baseline="0">
            <a:solidFill>
              <a:schemeClr val="dk1"/>
            </a:solidFill>
            <a:effectLst/>
            <a:latin typeface="Georgia" panose="02040502050405020303" pitchFamily="18" charset="0"/>
            <a:ea typeface="+mn-ea"/>
            <a:cs typeface="+mn-cs"/>
          </a:endParaRPr>
        </a:p>
        <a:p>
          <a:endParaRPr lang="nl-NL" sz="1200" b="0" baseline="0">
            <a:solidFill>
              <a:schemeClr val="dk1"/>
            </a:solidFill>
            <a:effectLst/>
            <a:latin typeface="Georgia" panose="02040502050405020303" pitchFamily="18" charset="0"/>
            <a:ea typeface="+mn-ea"/>
            <a:cs typeface="+mn-cs"/>
          </a:endParaRPr>
        </a:p>
        <a:p>
          <a:endParaRPr lang="nl-NL" sz="1200" b="0" baseline="0">
            <a:solidFill>
              <a:schemeClr val="dk1"/>
            </a:solidFill>
            <a:effectLst/>
            <a:latin typeface="Georgia" panose="02040502050405020303" pitchFamily="18" charset="0"/>
            <a:ea typeface="+mn-ea"/>
            <a:cs typeface="+mn-cs"/>
          </a:endParaRPr>
        </a:p>
        <a:p>
          <a:endParaRPr lang="nl-NL" sz="1200" b="0" baseline="0">
            <a:solidFill>
              <a:schemeClr val="dk1"/>
            </a:solidFill>
            <a:effectLst/>
            <a:latin typeface="Georgia" panose="02040502050405020303" pitchFamily="18" charset="0"/>
            <a:ea typeface="+mn-ea"/>
            <a:cs typeface="+mn-cs"/>
          </a:endParaRPr>
        </a:p>
        <a:p>
          <a:endParaRPr lang="nl-NL" sz="1200" b="0" baseline="0">
            <a:solidFill>
              <a:schemeClr val="dk1"/>
            </a:solidFill>
            <a:effectLst/>
            <a:latin typeface="Georgia" panose="02040502050405020303" pitchFamily="18" charset="0"/>
            <a:ea typeface="+mn-ea"/>
            <a:cs typeface="+mn-cs"/>
          </a:endParaRPr>
        </a:p>
        <a:p>
          <a:endParaRPr lang="nl-NL" sz="1200" b="0" baseline="0">
            <a:solidFill>
              <a:schemeClr val="dk1"/>
            </a:solidFill>
            <a:effectLst/>
            <a:latin typeface="Georgia" panose="02040502050405020303" pitchFamily="18" charset="0"/>
            <a:ea typeface="+mn-ea"/>
            <a:cs typeface="+mn-cs"/>
          </a:endParaRP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a:t>
          </a:r>
          <a:r>
            <a:rPr lang="nl-NL" sz="1200" b="0">
              <a:solidFill>
                <a:sysClr val="windowText" lastClr="000000"/>
              </a:solidFill>
              <a:effectLst/>
              <a:latin typeface="Georgia" panose="02040502050405020303" pitchFamily="18" charset="0"/>
              <a:ea typeface="+mn-ea"/>
              <a:cs typeface="+mn-cs"/>
            </a:rPr>
            <a:t>componenten die zijn opgenomen in het calculatiemodel met uitzondering van de afroepprijzen.</a:t>
          </a:r>
          <a:endParaRPr lang="nl-NL" sz="1200" b="1">
            <a:solidFill>
              <a:sysClr val="windowText" lastClr="000000"/>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pPr marL="0" indent="0"/>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200" b="0">
              <a:solidFill>
                <a:schemeClr val="dk1"/>
              </a:solidFill>
              <a:effectLst/>
              <a:latin typeface="Georgia" panose="02040502050405020303" pitchFamily="18" charset="0"/>
              <a:ea typeface="+mn-ea"/>
              <a:cs typeface="+mn-cs"/>
            </a:rPr>
            <a:t> </a:t>
          </a:r>
        </a:p>
        <a:p>
          <a:pPr marL="0" indent="0"/>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 maximale suppletiekosten component opgenomen. Na gunning wordt het definitieve suppletiekosten component, op basis van de daadwerkelijk overgenomen medewerkers, vastgesteld en eventueel naar beneden aangepast. Met deze aanpassing, is de definitieve contract jaarprijs voor de start van de overeenkomst vastgesteld. Bij het niet invullen van het suppletiekosten component kan de dienstverlener hier na gunning geen aanspraak meer op doen.</a:t>
          </a:r>
        </a:p>
        <a:p>
          <a:endParaRPr lang="nl-NL" sz="1100"/>
        </a:p>
      </xdr:txBody>
    </xdr:sp>
    <xdr:clientData/>
  </xdr:twoCellAnchor>
  <xdr:twoCellAnchor>
    <xdr:from>
      <xdr:col>0</xdr:col>
      <xdr:colOff>201295</xdr:colOff>
      <xdr:row>26</xdr:row>
      <xdr:rowOff>86360</xdr:rowOff>
    </xdr:from>
    <xdr:to>
      <xdr:col>5</xdr:col>
      <xdr:colOff>338455</xdr:colOff>
      <xdr:row>35</xdr:row>
      <xdr:rowOff>43180</xdr:rowOff>
    </xdr:to>
    <xdr:pic>
      <xdr:nvPicPr>
        <xdr:cNvPr id="2" name="Afbeelding 1">
          <a:extLst>
            <a:ext uri="{FF2B5EF4-FFF2-40B4-BE49-F238E27FC236}">
              <a16:creationId xmlns:a16="http://schemas.microsoft.com/office/drawing/2014/main" id="{4A0D013A-33A3-4331-8AC4-E4F9842FCCFC}"/>
            </a:ext>
            <a:ext uri="{147F2762-F138-4A5C-976F-8EAC2B608ADB}">
              <a16:predDERef xmlns:a16="http://schemas.microsoft.com/office/drawing/2014/main" pred="{C7D6EBC4-151B-4F97-BAC9-683FC3F6F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295" y="4505960"/>
          <a:ext cx="4499610" cy="1442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220980</xdr:colOff>
      <xdr:row>36</xdr:row>
      <xdr:rowOff>9525</xdr:rowOff>
    </xdr:from>
    <xdr:to>
      <xdr:col>12</xdr:col>
      <xdr:colOff>112395</xdr:colOff>
      <xdr:row>49</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 is de maximale suppletiekosten toeslag die door de inschrijver in rekening wordt gebracht. Na gunning wordt, op basis van de daadwerkelijk overgenomen medewerkers, de suppetiekosten toeslag eventueel naar beneden aangepast. </a:t>
          </a:r>
        </a:p>
        <a:p>
          <a:r>
            <a:rPr lang="nl-NL" sz="1100">
              <a:solidFill>
                <a:srgbClr val="FF0000"/>
              </a:solidFill>
              <a:effectLst/>
              <a:latin typeface="Georgia" panose="02040502050405020303" pitchFamily="18" charset="0"/>
              <a:ea typeface="+mn-ea"/>
              <a:cs typeface="+mn-cs"/>
            </a:rPr>
            <a:t>Dit tariefcomponent wordt gedurende de contractperiode niet meer aangepast. Bij het niet invullen van het suppletiekosten component kan de dienstverlener hier na gunning geen aanspraak meer op doen.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 val="atir_xls3"/>
    </sheetNames>
    <sheetDataSet>
      <sheetData sheetId="0" refreshError="1"/>
      <sheetData sheetId="1" refreshError="1"/>
      <sheetData sheetId="2" refreshError="1"/>
      <sheetData sheetId="3" refreshError="1"/>
      <sheetData sheetId="4"/>
      <sheetData sheetId="5"/>
      <sheetData sheetId="6" refreshError="1"/>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tabSelected="1" workbookViewId="0">
      <pane ySplit="4" topLeftCell="A5" activePane="bottomLeft" state="frozen"/>
      <selection pane="bottomLeft" activeCell="A10" sqref="A10"/>
    </sheetView>
  </sheetViews>
  <sheetFormatPr defaultRowHeight="12.6"/>
  <cols>
    <col min="1" max="1" width="27.5546875" customWidth="1"/>
  </cols>
  <sheetData>
    <row r="1" spans="1:13" ht="15.6">
      <c r="A1" s="38" t="s">
        <v>0</v>
      </c>
      <c r="B1" s="39" t="str">
        <f>'2-Kosten per locatie'!B3</f>
        <v>Gemeente Zoetermeer</v>
      </c>
    </row>
    <row r="2" spans="1:13" ht="15.6">
      <c r="A2" s="38" t="s">
        <v>1</v>
      </c>
      <c r="B2" s="39" t="str">
        <f ca="1">MID(CELL("bestandsnaam",$B$6),SEARCH("]",CELL("bestandsnaam",$B$6),1)+1,256)</f>
        <v>1-Uitgangspunten</v>
      </c>
    </row>
    <row r="3" spans="1:13" ht="15.6">
      <c r="A3" s="38" t="s">
        <v>2</v>
      </c>
      <c r="B3" s="39" t="str">
        <f>'2-Kosten per locatie'!B5</f>
        <v>Diversen Zoetermeer</v>
      </c>
    </row>
    <row r="4" spans="1:13" ht="15.6">
      <c r="A4" s="38" t="s">
        <v>3</v>
      </c>
      <c r="B4" s="39" t="str">
        <f>'2-Kosten per locatie'!B6</f>
        <v>2025-045275 </v>
      </c>
      <c r="G4" s="37"/>
      <c r="H4" s="37"/>
      <c r="I4" s="37"/>
      <c r="J4" s="37"/>
      <c r="K4" s="37"/>
      <c r="L4" s="37"/>
      <c r="M4" s="37"/>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AB243"/>
  <sheetViews>
    <sheetView showGridLines="0" zoomScale="55" zoomScaleNormal="55" zoomScaleSheetLayoutView="50" zoomScalePageLayoutView="50" workbookViewId="0">
      <pane ySplit="13" topLeftCell="A139" activePane="bottomLeft" state="frozen"/>
      <selection activeCell="B1" sqref="B1"/>
      <selection pane="bottomLeft" activeCell="O33" sqref="O33"/>
    </sheetView>
  </sheetViews>
  <sheetFormatPr defaultColWidth="13.5546875" defaultRowHeight="13.2"/>
  <cols>
    <col min="1" max="2" width="46.109375" style="167" customWidth="1"/>
    <col min="3" max="3" width="11.109375" style="167" bestFit="1" customWidth="1"/>
    <col min="4" max="4" width="29.109375" style="168" customWidth="1"/>
    <col min="5" max="5" width="39.88671875" style="168" customWidth="1"/>
    <col min="6" max="6" width="12.109375" style="167" customWidth="1"/>
    <col min="7" max="7" width="24.44140625" style="169" customWidth="1"/>
    <col min="8" max="8" width="16.109375" style="170" customWidth="1"/>
    <col min="9" max="9" width="13.5546875" style="169" customWidth="1"/>
    <col min="10" max="10" width="15.88671875" style="169" customWidth="1"/>
    <col min="11" max="249" width="13.5546875" style="30"/>
    <col min="250" max="250" width="22.109375" style="30" customWidth="1"/>
    <col min="251" max="257" width="13.5546875" style="30" customWidth="1"/>
    <col min="258" max="258" width="15.88671875" style="30" customWidth="1"/>
    <col min="259" max="259" width="16.5546875" style="30" bestFit="1" customWidth="1"/>
    <col min="260" max="260" width="13.5546875" style="30" customWidth="1"/>
    <col min="261" max="261" width="17.109375" style="30" bestFit="1" customWidth="1"/>
    <col min="262" max="262" width="4" style="30" customWidth="1"/>
    <col min="263" max="263" width="13.5546875" style="30" customWidth="1"/>
    <col min="264" max="505" width="13.5546875" style="30"/>
    <col min="506" max="506" width="22.109375" style="30" customWidth="1"/>
    <col min="507" max="513" width="13.5546875" style="30" customWidth="1"/>
    <col min="514" max="514" width="15.88671875" style="30" customWidth="1"/>
    <col min="515" max="515" width="16.5546875" style="30" bestFit="1" customWidth="1"/>
    <col min="516" max="516" width="13.5546875" style="30" customWidth="1"/>
    <col min="517" max="517" width="17.109375" style="30" bestFit="1" customWidth="1"/>
    <col min="518" max="518" width="4" style="30" customWidth="1"/>
    <col min="519" max="519" width="13.5546875" style="30" customWidth="1"/>
    <col min="520" max="761" width="13.5546875" style="30"/>
    <col min="762" max="762" width="22.109375" style="30" customWidth="1"/>
    <col min="763" max="769" width="13.5546875" style="30" customWidth="1"/>
    <col min="770" max="770" width="15.88671875" style="30" customWidth="1"/>
    <col min="771" max="771" width="16.5546875" style="30" bestFit="1" customWidth="1"/>
    <col min="772" max="772" width="13.5546875" style="30" customWidth="1"/>
    <col min="773" max="773" width="17.109375" style="30" bestFit="1" customWidth="1"/>
    <col min="774" max="774" width="4" style="30" customWidth="1"/>
    <col min="775" max="775" width="13.5546875" style="30" customWidth="1"/>
    <col min="776" max="1017" width="13.5546875" style="30"/>
    <col min="1018" max="1018" width="22.109375" style="30" customWidth="1"/>
    <col min="1019" max="1025" width="13.5546875" style="30" customWidth="1"/>
    <col min="1026" max="1026" width="15.88671875" style="30" customWidth="1"/>
    <col min="1027" max="1027" width="16.5546875" style="30" bestFit="1" customWidth="1"/>
    <col min="1028" max="1028" width="13.5546875" style="30" customWidth="1"/>
    <col min="1029" max="1029" width="17.109375" style="30" bestFit="1" customWidth="1"/>
    <col min="1030" max="1030" width="4" style="30" customWidth="1"/>
    <col min="1031" max="1031" width="13.5546875" style="30" customWidth="1"/>
    <col min="1032" max="1273" width="13.5546875" style="30"/>
    <col min="1274" max="1274" width="22.109375" style="30" customWidth="1"/>
    <col min="1275" max="1281" width="13.5546875" style="30" customWidth="1"/>
    <col min="1282" max="1282" width="15.88671875" style="30" customWidth="1"/>
    <col min="1283" max="1283" width="16.5546875" style="30" bestFit="1" customWidth="1"/>
    <col min="1284" max="1284" width="13.5546875" style="30" customWidth="1"/>
    <col min="1285" max="1285" width="17.109375" style="30" bestFit="1" customWidth="1"/>
    <col min="1286" max="1286" width="4" style="30" customWidth="1"/>
    <col min="1287" max="1287" width="13.5546875" style="30" customWidth="1"/>
    <col min="1288" max="1529" width="13.5546875" style="30"/>
    <col min="1530" max="1530" width="22.109375" style="30" customWidth="1"/>
    <col min="1531" max="1537" width="13.5546875" style="30" customWidth="1"/>
    <col min="1538" max="1538" width="15.88671875" style="30" customWidth="1"/>
    <col min="1539" max="1539" width="16.5546875" style="30" bestFit="1" customWidth="1"/>
    <col min="1540" max="1540" width="13.5546875" style="30" customWidth="1"/>
    <col min="1541" max="1541" width="17.109375" style="30" bestFit="1" customWidth="1"/>
    <col min="1542" max="1542" width="4" style="30" customWidth="1"/>
    <col min="1543" max="1543" width="13.5546875" style="30" customWidth="1"/>
    <col min="1544" max="1785" width="13.5546875" style="30"/>
    <col min="1786" max="1786" width="22.109375" style="30" customWidth="1"/>
    <col min="1787" max="1793" width="13.5546875" style="30" customWidth="1"/>
    <col min="1794" max="1794" width="15.88671875" style="30" customWidth="1"/>
    <col min="1795" max="1795" width="16.5546875" style="30" bestFit="1" customWidth="1"/>
    <col min="1796" max="1796" width="13.5546875" style="30" customWidth="1"/>
    <col min="1797" max="1797" width="17.109375" style="30" bestFit="1" customWidth="1"/>
    <col min="1798" max="1798" width="4" style="30" customWidth="1"/>
    <col min="1799" max="1799" width="13.5546875" style="30" customWidth="1"/>
    <col min="1800" max="2041" width="13.5546875" style="30"/>
    <col min="2042" max="2042" width="22.109375" style="30" customWidth="1"/>
    <col min="2043" max="2049" width="13.5546875" style="30" customWidth="1"/>
    <col min="2050" max="2050" width="15.88671875" style="30" customWidth="1"/>
    <col min="2051" max="2051" width="16.5546875" style="30" bestFit="1" customWidth="1"/>
    <col min="2052" max="2052" width="13.5546875" style="30" customWidth="1"/>
    <col min="2053" max="2053" width="17.109375" style="30" bestFit="1" customWidth="1"/>
    <col min="2054" max="2054" width="4" style="30" customWidth="1"/>
    <col min="2055" max="2055" width="13.5546875" style="30" customWidth="1"/>
    <col min="2056" max="2297" width="13.5546875" style="30"/>
    <col min="2298" max="2298" width="22.109375" style="30" customWidth="1"/>
    <col min="2299" max="2305" width="13.5546875" style="30" customWidth="1"/>
    <col min="2306" max="2306" width="15.88671875" style="30" customWidth="1"/>
    <col min="2307" max="2307" width="16.5546875" style="30" bestFit="1" customWidth="1"/>
    <col min="2308" max="2308" width="13.5546875" style="30" customWidth="1"/>
    <col min="2309" max="2309" width="17.109375" style="30" bestFit="1" customWidth="1"/>
    <col min="2310" max="2310" width="4" style="30" customWidth="1"/>
    <col min="2311" max="2311" width="13.5546875" style="30" customWidth="1"/>
    <col min="2312" max="2553" width="13.5546875" style="30"/>
    <col min="2554" max="2554" width="22.109375" style="30" customWidth="1"/>
    <col min="2555" max="2561" width="13.5546875" style="30" customWidth="1"/>
    <col min="2562" max="2562" width="15.88671875" style="30" customWidth="1"/>
    <col min="2563" max="2563" width="16.5546875" style="30" bestFit="1" customWidth="1"/>
    <col min="2564" max="2564" width="13.5546875" style="30" customWidth="1"/>
    <col min="2565" max="2565" width="17.109375" style="30" bestFit="1" customWidth="1"/>
    <col min="2566" max="2566" width="4" style="30" customWidth="1"/>
    <col min="2567" max="2567" width="13.5546875" style="30" customWidth="1"/>
    <col min="2568" max="2809" width="13.5546875" style="30"/>
    <col min="2810" max="2810" width="22.109375" style="30" customWidth="1"/>
    <col min="2811" max="2817" width="13.5546875" style="30" customWidth="1"/>
    <col min="2818" max="2818" width="15.88671875" style="30" customWidth="1"/>
    <col min="2819" max="2819" width="16.5546875" style="30" bestFit="1" customWidth="1"/>
    <col min="2820" max="2820" width="13.5546875" style="30" customWidth="1"/>
    <col min="2821" max="2821" width="17.109375" style="30" bestFit="1" customWidth="1"/>
    <col min="2822" max="2822" width="4" style="30" customWidth="1"/>
    <col min="2823" max="2823" width="13.5546875" style="30" customWidth="1"/>
    <col min="2824" max="3065" width="13.5546875" style="30"/>
    <col min="3066" max="3066" width="22.109375" style="30" customWidth="1"/>
    <col min="3067" max="3073" width="13.5546875" style="30" customWidth="1"/>
    <col min="3074" max="3074" width="15.88671875" style="30" customWidth="1"/>
    <col min="3075" max="3075" width="16.5546875" style="30" bestFit="1" customWidth="1"/>
    <col min="3076" max="3076" width="13.5546875" style="30" customWidth="1"/>
    <col min="3077" max="3077" width="17.109375" style="30" bestFit="1" customWidth="1"/>
    <col min="3078" max="3078" width="4" style="30" customWidth="1"/>
    <col min="3079" max="3079" width="13.5546875" style="30" customWidth="1"/>
    <col min="3080" max="3321" width="13.5546875" style="30"/>
    <col min="3322" max="3322" width="22.109375" style="30" customWidth="1"/>
    <col min="3323" max="3329" width="13.5546875" style="30" customWidth="1"/>
    <col min="3330" max="3330" width="15.88671875" style="30" customWidth="1"/>
    <col min="3331" max="3331" width="16.5546875" style="30" bestFit="1" customWidth="1"/>
    <col min="3332" max="3332" width="13.5546875" style="30" customWidth="1"/>
    <col min="3333" max="3333" width="17.109375" style="30" bestFit="1" customWidth="1"/>
    <col min="3334" max="3334" width="4" style="30" customWidth="1"/>
    <col min="3335" max="3335" width="13.5546875" style="30" customWidth="1"/>
    <col min="3336" max="3577" width="13.5546875" style="30"/>
    <col min="3578" max="3578" width="22.109375" style="30" customWidth="1"/>
    <col min="3579" max="3585" width="13.5546875" style="30" customWidth="1"/>
    <col min="3586" max="3586" width="15.88671875" style="30" customWidth="1"/>
    <col min="3587" max="3587" width="16.5546875" style="30" bestFit="1" customWidth="1"/>
    <col min="3588" max="3588" width="13.5546875" style="30" customWidth="1"/>
    <col min="3589" max="3589" width="17.109375" style="30" bestFit="1" customWidth="1"/>
    <col min="3590" max="3590" width="4" style="30" customWidth="1"/>
    <col min="3591" max="3591" width="13.5546875" style="30" customWidth="1"/>
    <col min="3592" max="3833" width="13.5546875" style="30"/>
    <col min="3834" max="3834" width="22.109375" style="30" customWidth="1"/>
    <col min="3835" max="3841" width="13.5546875" style="30" customWidth="1"/>
    <col min="3842" max="3842" width="15.88671875" style="30" customWidth="1"/>
    <col min="3843" max="3843" width="16.5546875" style="30" bestFit="1" customWidth="1"/>
    <col min="3844" max="3844" width="13.5546875" style="30" customWidth="1"/>
    <col min="3845" max="3845" width="17.109375" style="30" bestFit="1" customWidth="1"/>
    <col min="3846" max="3846" width="4" style="30" customWidth="1"/>
    <col min="3847" max="3847" width="13.5546875" style="30" customWidth="1"/>
    <col min="3848" max="4089" width="13.5546875" style="30"/>
    <col min="4090" max="4090" width="22.109375" style="30" customWidth="1"/>
    <col min="4091" max="4097" width="13.5546875" style="30" customWidth="1"/>
    <col min="4098" max="4098" width="15.88671875" style="30" customWidth="1"/>
    <col min="4099" max="4099" width="16.5546875" style="30" bestFit="1" customWidth="1"/>
    <col min="4100" max="4100" width="13.5546875" style="30" customWidth="1"/>
    <col min="4101" max="4101" width="17.109375" style="30" bestFit="1" customWidth="1"/>
    <col min="4102" max="4102" width="4" style="30" customWidth="1"/>
    <col min="4103" max="4103" width="13.5546875" style="30" customWidth="1"/>
    <col min="4104" max="4345" width="13.5546875" style="30"/>
    <col min="4346" max="4346" width="22.109375" style="30" customWidth="1"/>
    <col min="4347" max="4353" width="13.5546875" style="30" customWidth="1"/>
    <col min="4354" max="4354" width="15.88671875" style="30" customWidth="1"/>
    <col min="4355" max="4355" width="16.5546875" style="30" bestFit="1" customWidth="1"/>
    <col min="4356" max="4356" width="13.5546875" style="30" customWidth="1"/>
    <col min="4357" max="4357" width="17.109375" style="30" bestFit="1" customWidth="1"/>
    <col min="4358" max="4358" width="4" style="30" customWidth="1"/>
    <col min="4359" max="4359" width="13.5546875" style="30" customWidth="1"/>
    <col min="4360" max="4601" width="13.5546875" style="30"/>
    <col min="4602" max="4602" width="22.109375" style="30" customWidth="1"/>
    <col min="4603" max="4609" width="13.5546875" style="30" customWidth="1"/>
    <col min="4610" max="4610" width="15.88671875" style="30" customWidth="1"/>
    <col min="4611" max="4611" width="16.5546875" style="30" bestFit="1" customWidth="1"/>
    <col min="4612" max="4612" width="13.5546875" style="30" customWidth="1"/>
    <col min="4613" max="4613" width="17.109375" style="30" bestFit="1" customWidth="1"/>
    <col min="4614" max="4614" width="4" style="30" customWidth="1"/>
    <col min="4615" max="4615" width="13.5546875" style="30" customWidth="1"/>
    <col min="4616" max="4857" width="13.5546875" style="30"/>
    <col min="4858" max="4858" width="22.109375" style="30" customWidth="1"/>
    <col min="4859" max="4865" width="13.5546875" style="30" customWidth="1"/>
    <col min="4866" max="4866" width="15.88671875" style="30" customWidth="1"/>
    <col min="4867" max="4867" width="16.5546875" style="30" bestFit="1" customWidth="1"/>
    <col min="4868" max="4868" width="13.5546875" style="30" customWidth="1"/>
    <col min="4869" max="4869" width="17.109375" style="30" bestFit="1" customWidth="1"/>
    <col min="4870" max="4870" width="4" style="30" customWidth="1"/>
    <col min="4871" max="4871" width="13.5546875" style="30" customWidth="1"/>
    <col min="4872" max="5113" width="13.5546875" style="30"/>
    <col min="5114" max="5114" width="22.109375" style="30" customWidth="1"/>
    <col min="5115" max="5121" width="13.5546875" style="30" customWidth="1"/>
    <col min="5122" max="5122" width="15.88671875" style="30" customWidth="1"/>
    <col min="5123" max="5123" width="16.5546875" style="30" bestFit="1" customWidth="1"/>
    <col min="5124" max="5124" width="13.5546875" style="30" customWidth="1"/>
    <col min="5125" max="5125" width="17.109375" style="30" bestFit="1" customWidth="1"/>
    <col min="5126" max="5126" width="4" style="30" customWidth="1"/>
    <col min="5127" max="5127" width="13.5546875" style="30" customWidth="1"/>
    <col min="5128" max="5369" width="13.5546875" style="30"/>
    <col min="5370" max="5370" width="22.109375" style="30" customWidth="1"/>
    <col min="5371" max="5377" width="13.5546875" style="30" customWidth="1"/>
    <col min="5378" max="5378" width="15.88671875" style="30" customWidth="1"/>
    <col min="5379" max="5379" width="16.5546875" style="30" bestFit="1" customWidth="1"/>
    <col min="5380" max="5380" width="13.5546875" style="30" customWidth="1"/>
    <col min="5381" max="5381" width="17.109375" style="30" bestFit="1" customWidth="1"/>
    <col min="5382" max="5382" width="4" style="30" customWidth="1"/>
    <col min="5383" max="5383" width="13.5546875" style="30" customWidth="1"/>
    <col min="5384" max="5625" width="13.5546875" style="30"/>
    <col min="5626" max="5626" width="22.109375" style="30" customWidth="1"/>
    <col min="5627" max="5633" width="13.5546875" style="30" customWidth="1"/>
    <col min="5634" max="5634" width="15.88671875" style="30" customWidth="1"/>
    <col min="5635" max="5635" width="16.5546875" style="30" bestFit="1" customWidth="1"/>
    <col min="5636" max="5636" width="13.5546875" style="30" customWidth="1"/>
    <col min="5637" max="5637" width="17.109375" style="30" bestFit="1" customWidth="1"/>
    <col min="5638" max="5638" width="4" style="30" customWidth="1"/>
    <col min="5639" max="5639" width="13.5546875" style="30" customWidth="1"/>
    <col min="5640" max="5881" width="13.5546875" style="30"/>
    <col min="5882" max="5882" width="22.109375" style="30" customWidth="1"/>
    <col min="5883" max="5889" width="13.5546875" style="30" customWidth="1"/>
    <col min="5890" max="5890" width="15.88671875" style="30" customWidth="1"/>
    <col min="5891" max="5891" width="16.5546875" style="30" bestFit="1" customWidth="1"/>
    <col min="5892" max="5892" width="13.5546875" style="30" customWidth="1"/>
    <col min="5893" max="5893" width="17.109375" style="30" bestFit="1" customWidth="1"/>
    <col min="5894" max="5894" width="4" style="30" customWidth="1"/>
    <col min="5895" max="5895" width="13.5546875" style="30" customWidth="1"/>
    <col min="5896" max="6137" width="13.5546875" style="30"/>
    <col min="6138" max="6138" width="22.109375" style="30" customWidth="1"/>
    <col min="6139" max="6145" width="13.5546875" style="30" customWidth="1"/>
    <col min="6146" max="6146" width="15.88671875" style="30" customWidth="1"/>
    <col min="6147" max="6147" width="16.5546875" style="30" bestFit="1" customWidth="1"/>
    <col min="6148" max="6148" width="13.5546875" style="30" customWidth="1"/>
    <col min="6149" max="6149" width="17.109375" style="30" bestFit="1" customWidth="1"/>
    <col min="6150" max="6150" width="4" style="30" customWidth="1"/>
    <col min="6151" max="6151" width="13.5546875" style="30" customWidth="1"/>
    <col min="6152" max="6393" width="13.5546875" style="30"/>
    <col min="6394" max="6394" width="22.109375" style="30" customWidth="1"/>
    <col min="6395" max="6401" width="13.5546875" style="30" customWidth="1"/>
    <col min="6402" max="6402" width="15.88671875" style="30" customWidth="1"/>
    <col min="6403" max="6403" width="16.5546875" style="30" bestFit="1" customWidth="1"/>
    <col min="6404" max="6404" width="13.5546875" style="30" customWidth="1"/>
    <col min="6405" max="6405" width="17.109375" style="30" bestFit="1" customWidth="1"/>
    <col min="6406" max="6406" width="4" style="30" customWidth="1"/>
    <col min="6407" max="6407" width="13.5546875" style="30" customWidth="1"/>
    <col min="6408" max="6649" width="13.5546875" style="30"/>
    <col min="6650" max="6650" width="22.109375" style="30" customWidth="1"/>
    <col min="6651" max="6657" width="13.5546875" style="30" customWidth="1"/>
    <col min="6658" max="6658" width="15.88671875" style="30" customWidth="1"/>
    <col min="6659" max="6659" width="16.5546875" style="30" bestFit="1" customWidth="1"/>
    <col min="6660" max="6660" width="13.5546875" style="30" customWidth="1"/>
    <col min="6661" max="6661" width="17.109375" style="30" bestFit="1" customWidth="1"/>
    <col min="6662" max="6662" width="4" style="30" customWidth="1"/>
    <col min="6663" max="6663" width="13.5546875" style="30" customWidth="1"/>
    <col min="6664" max="6905" width="13.5546875" style="30"/>
    <col min="6906" max="6906" width="22.109375" style="30" customWidth="1"/>
    <col min="6907" max="6913" width="13.5546875" style="30" customWidth="1"/>
    <col min="6914" max="6914" width="15.88671875" style="30" customWidth="1"/>
    <col min="6915" max="6915" width="16.5546875" style="30" bestFit="1" customWidth="1"/>
    <col min="6916" max="6916" width="13.5546875" style="30" customWidth="1"/>
    <col min="6917" max="6917" width="17.109375" style="30" bestFit="1" customWidth="1"/>
    <col min="6918" max="6918" width="4" style="30" customWidth="1"/>
    <col min="6919" max="6919" width="13.5546875" style="30" customWidth="1"/>
    <col min="6920" max="7161" width="13.5546875" style="30"/>
    <col min="7162" max="7162" width="22.109375" style="30" customWidth="1"/>
    <col min="7163" max="7169" width="13.5546875" style="30" customWidth="1"/>
    <col min="7170" max="7170" width="15.88671875" style="30" customWidth="1"/>
    <col min="7171" max="7171" width="16.5546875" style="30" bestFit="1" customWidth="1"/>
    <col min="7172" max="7172" width="13.5546875" style="30" customWidth="1"/>
    <col min="7173" max="7173" width="17.109375" style="30" bestFit="1" customWidth="1"/>
    <col min="7174" max="7174" width="4" style="30" customWidth="1"/>
    <col min="7175" max="7175" width="13.5546875" style="30" customWidth="1"/>
    <col min="7176" max="7417" width="13.5546875" style="30"/>
    <col min="7418" max="7418" width="22.109375" style="30" customWidth="1"/>
    <col min="7419" max="7425" width="13.5546875" style="30" customWidth="1"/>
    <col min="7426" max="7426" width="15.88671875" style="30" customWidth="1"/>
    <col min="7427" max="7427" width="16.5546875" style="30" bestFit="1" customWidth="1"/>
    <col min="7428" max="7428" width="13.5546875" style="30" customWidth="1"/>
    <col min="7429" max="7429" width="17.109375" style="30" bestFit="1" customWidth="1"/>
    <col min="7430" max="7430" width="4" style="30" customWidth="1"/>
    <col min="7431" max="7431" width="13.5546875" style="30" customWidth="1"/>
    <col min="7432" max="7673" width="13.5546875" style="30"/>
    <col min="7674" max="7674" width="22.109375" style="30" customWidth="1"/>
    <col min="7675" max="7681" width="13.5546875" style="30" customWidth="1"/>
    <col min="7682" max="7682" width="15.88671875" style="30" customWidth="1"/>
    <col min="7683" max="7683" width="16.5546875" style="30" bestFit="1" customWidth="1"/>
    <col min="7684" max="7684" width="13.5546875" style="30" customWidth="1"/>
    <col min="7685" max="7685" width="17.109375" style="30" bestFit="1" customWidth="1"/>
    <col min="7686" max="7686" width="4" style="30" customWidth="1"/>
    <col min="7687" max="7687" width="13.5546875" style="30" customWidth="1"/>
    <col min="7688" max="7929" width="13.5546875" style="30"/>
    <col min="7930" max="7930" width="22.109375" style="30" customWidth="1"/>
    <col min="7931" max="7937" width="13.5546875" style="30" customWidth="1"/>
    <col min="7938" max="7938" width="15.88671875" style="30" customWidth="1"/>
    <col min="7939" max="7939" width="16.5546875" style="30" bestFit="1" customWidth="1"/>
    <col min="7940" max="7940" width="13.5546875" style="30" customWidth="1"/>
    <col min="7941" max="7941" width="17.109375" style="30" bestFit="1" customWidth="1"/>
    <col min="7942" max="7942" width="4" style="30" customWidth="1"/>
    <col min="7943" max="7943" width="13.5546875" style="30" customWidth="1"/>
    <col min="7944" max="8185" width="13.5546875" style="30"/>
    <col min="8186" max="8186" width="22.109375" style="30" customWidth="1"/>
    <col min="8187" max="8193" width="13.5546875" style="30" customWidth="1"/>
    <col min="8194" max="8194" width="15.88671875" style="30" customWidth="1"/>
    <col min="8195" max="8195" width="16.5546875" style="30" bestFit="1" customWidth="1"/>
    <col min="8196" max="8196" width="13.5546875" style="30" customWidth="1"/>
    <col min="8197" max="8197" width="17.109375" style="30" bestFit="1" customWidth="1"/>
    <col min="8198" max="8198" width="4" style="30" customWidth="1"/>
    <col min="8199" max="8199" width="13.5546875" style="30" customWidth="1"/>
    <col min="8200" max="8441" width="13.5546875" style="30"/>
    <col min="8442" max="8442" width="22.109375" style="30" customWidth="1"/>
    <col min="8443" max="8449" width="13.5546875" style="30" customWidth="1"/>
    <col min="8450" max="8450" width="15.88671875" style="30" customWidth="1"/>
    <col min="8451" max="8451" width="16.5546875" style="30" bestFit="1" customWidth="1"/>
    <col min="8452" max="8452" width="13.5546875" style="30" customWidth="1"/>
    <col min="8453" max="8453" width="17.109375" style="30" bestFit="1" customWidth="1"/>
    <col min="8454" max="8454" width="4" style="30" customWidth="1"/>
    <col min="8455" max="8455" width="13.5546875" style="30" customWidth="1"/>
    <col min="8456" max="8697" width="13.5546875" style="30"/>
    <col min="8698" max="8698" width="22.109375" style="30" customWidth="1"/>
    <col min="8699" max="8705" width="13.5546875" style="30" customWidth="1"/>
    <col min="8706" max="8706" width="15.88671875" style="30" customWidth="1"/>
    <col min="8707" max="8707" width="16.5546875" style="30" bestFit="1" customWidth="1"/>
    <col min="8708" max="8708" width="13.5546875" style="30" customWidth="1"/>
    <col min="8709" max="8709" width="17.109375" style="30" bestFit="1" customWidth="1"/>
    <col min="8710" max="8710" width="4" style="30" customWidth="1"/>
    <col min="8711" max="8711" width="13.5546875" style="30" customWidth="1"/>
    <col min="8712" max="8953" width="13.5546875" style="30"/>
    <col min="8954" max="8954" width="22.109375" style="30" customWidth="1"/>
    <col min="8955" max="8961" width="13.5546875" style="30" customWidth="1"/>
    <col min="8962" max="8962" width="15.88671875" style="30" customWidth="1"/>
    <col min="8963" max="8963" width="16.5546875" style="30" bestFit="1" customWidth="1"/>
    <col min="8964" max="8964" width="13.5546875" style="30" customWidth="1"/>
    <col min="8965" max="8965" width="17.109375" style="30" bestFit="1" customWidth="1"/>
    <col min="8966" max="8966" width="4" style="30" customWidth="1"/>
    <col min="8967" max="8967" width="13.5546875" style="30" customWidth="1"/>
    <col min="8968" max="9209" width="13.5546875" style="30"/>
    <col min="9210" max="9210" width="22.109375" style="30" customWidth="1"/>
    <col min="9211" max="9217" width="13.5546875" style="30" customWidth="1"/>
    <col min="9218" max="9218" width="15.88671875" style="30" customWidth="1"/>
    <col min="9219" max="9219" width="16.5546875" style="30" bestFit="1" customWidth="1"/>
    <col min="9220" max="9220" width="13.5546875" style="30" customWidth="1"/>
    <col min="9221" max="9221" width="17.109375" style="30" bestFit="1" customWidth="1"/>
    <col min="9222" max="9222" width="4" style="30" customWidth="1"/>
    <col min="9223" max="9223" width="13.5546875" style="30" customWidth="1"/>
    <col min="9224" max="9465" width="13.5546875" style="30"/>
    <col min="9466" max="9466" width="22.109375" style="30" customWidth="1"/>
    <col min="9467" max="9473" width="13.5546875" style="30" customWidth="1"/>
    <col min="9474" max="9474" width="15.88671875" style="30" customWidth="1"/>
    <col min="9475" max="9475" width="16.5546875" style="30" bestFit="1" customWidth="1"/>
    <col min="9476" max="9476" width="13.5546875" style="30" customWidth="1"/>
    <col min="9477" max="9477" width="17.109375" style="30" bestFit="1" customWidth="1"/>
    <col min="9478" max="9478" width="4" style="30" customWidth="1"/>
    <col min="9479" max="9479" width="13.5546875" style="30" customWidth="1"/>
    <col min="9480" max="9721" width="13.5546875" style="30"/>
    <col min="9722" max="9722" width="22.109375" style="30" customWidth="1"/>
    <col min="9723" max="9729" width="13.5546875" style="30" customWidth="1"/>
    <col min="9730" max="9730" width="15.88671875" style="30" customWidth="1"/>
    <col min="9731" max="9731" width="16.5546875" style="30" bestFit="1" customWidth="1"/>
    <col min="9732" max="9732" width="13.5546875" style="30" customWidth="1"/>
    <col min="9733" max="9733" width="17.109375" style="30" bestFit="1" customWidth="1"/>
    <col min="9734" max="9734" width="4" style="30" customWidth="1"/>
    <col min="9735" max="9735" width="13.5546875" style="30" customWidth="1"/>
    <col min="9736" max="9977" width="13.5546875" style="30"/>
    <col min="9978" max="9978" width="22.109375" style="30" customWidth="1"/>
    <col min="9979" max="9985" width="13.5546875" style="30" customWidth="1"/>
    <col min="9986" max="9986" width="15.88671875" style="30" customWidth="1"/>
    <col min="9987" max="9987" width="16.5546875" style="30" bestFit="1" customWidth="1"/>
    <col min="9988" max="9988" width="13.5546875" style="30" customWidth="1"/>
    <col min="9989" max="9989" width="17.109375" style="30" bestFit="1" customWidth="1"/>
    <col min="9990" max="9990" width="4" style="30" customWidth="1"/>
    <col min="9991" max="9991" width="13.5546875" style="30" customWidth="1"/>
    <col min="9992" max="10233" width="13.5546875" style="30"/>
    <col min="10234" max="10234" width="22.109375" style="30" customWidth="1"/>
    <col min="10235" max="10241" width="13.5546875" style="30" customWidth="1"/>
    <col min="10242" max="10242" width="15.88671875" style="30" customWidth="1"/>
    <col min="10243" max="10243" width="16.5546875" style="30" bestFit="1" customWidth="1"/>
    <col min="10244" max="10244" width="13.5546875" style="30" customWidth="1"/>
    <col min="10245" max="10245" width="17.109375" style="30" bestFit="1" customWidth="1"/>
    <col min="10246" max="10246" width="4" style="30" customWidth="1"/>
    <col min="10247" max="10247" width="13.5546875" style="30" customWidth="1"/>
    <col min="10248" max="10489" width="13.5546875" style="30"/>
    <col min="10490" max="10490" width="22.109375" style="30" customWidth="1"/>
    <col min="10491" max="10497" width="13.5546875" style="30" customWidth="1"/>
    <col min="10498" max="10498" width="15.88671875" style="30" customWidth="1"/>
    <col min="10499" max="10499" width="16.5546875" style="30" bestFit="1" customWidth="1"/>
    <col min="10500" max="10500" width="13.5546875" style="30" customWidth="1"/>
    <col min="10501" max="10501" width="17.109375" style="30" bestFit="1" customWidth="1"/>
    <col min="10502" max="10502" width="4" style="30" customWidth="1"/>
    <col min="10503" max="10503" width="13.5546875" style="30" customWidth="1"/>
    <col min="10504" max="10745" width="13.5546875" style="30"/>
    <col min="10746" max="10746" width="22.109375" style="30" customWidth="1"/>
    <col min="10747" max="10753" width="13.5546875" style="30" customWidth="1"/>
    <col min="10754" max="10754" width="15.88671875" style="30" customWidth="1"/>
    <col min="10755" max="10755" width="16.5546875" style="30" bestFit="1" customWidth="1"/>
    <col min="10756" max="10756" width="13.5546875" style="30" customWidth="1"/>
    <col min="10757" max="10757" width="17.109375" style="30" bestFit="1" customWidth="1"/>
    <col min="10758" max="10758" width="4" style="30" customWidth="1"/>
    <col min="10759" max="10759" width="13.5546875" style="30" customWidth="1"/>
    <col min="10760" max="11001" width="13.5546875" style="30"/>
    <col min="11002" max="11002" width="22.109375" style="30" customWidth="1"/>
    <col min="11003" max="11009" width="13.5546875" style="30" customWidth="1"/>
    <col min="11010" max="11010" width="15.88671875" style="30" customWidth="1"/>
    <col min="11011" max="11011" width="16.5546875" style="30" bestFit="1" customWidth="1"/>
    <col min="11012" max="11012" width="13.5546875" style="30" customWidth="1"/>
    <col min="11013" max="11013" width="17.109375" style="30" bestFit="1" customWidth="1"/>
    <col min="11014" max="11014" width="4" style="30" customWidth="1"/>
    <col min="11015" max="11015" width="13.5546875" style="30" customWidth="1"/>
    <col min="11016" max="11257" width="13.5546875" style="30"/>
    <col min="11258" max="11258" width="22.109375" style="30" customWidth="1"/>
    <col min="11259" max="11265" width="13.5546875" style="30" customWidth="1"/>
    <col min="11266" max="11266" width="15.88671875" style="30" customWidth="1"/>
    <col min="11267" max="11267" width="16.5546875" style="30" bestFit="1" customWidth="1"/>
    <col min="11268" max="11268" width="13.5546875" style="30" customWidth="1"/>
    <col min="11269" max="11269" width="17.109375" style="30" bestFit="1" customWidth="1"/>
    <col min="11270" max="11270" width="4" style="30" customWidth="1"/>
    <col min="11271" max="11271" width="13.5546875" style="30" customWidth="1"/>
    <col min="11272" max="11513" width="13.5546875" style="30"/>
    <col min="11514" max="11514" width="22.109375" style="30" customWidth="1"/>
    <col min="11515" max="11521" width="13.5546875" style="30" customWidth="1"/>
    <col min="11522" max="11522" width="15.88671875" style="30" customWidth="1"/>
    <col min="11523" max="11523" width="16.5546875" style="30" bestFit="1" customWidth="1"/>
    <col min="11524" max="11524" width="13.5546875" style="30" customWidth="1"/>
    <col min="11525" max="11525" width="17.109375" style="30" bestFit="1" customWidth="1"/>
    <col min="11526" max="11526" width="4" style="30" customWidth="1"/>
    <col min="11527" max="11527" width="13.5546875" style="30" customWidth="1"/>
    <col min="11528" max="11769" width="13.5546875" style="30"/>
    <col min="11770" max="11770" width="22.109375" style="30" customWidth="1"/>
    <col min="11771" max="11777" width="13.5546875" style="30" customWidth="1"/>
    <col min="11778" max="11778" width="15.88671875" style="30" customWidth="1"/>
    <col min="11779" max="11779" width="16.5546875" style="30" bestFit="1" customWidth="1"/>
    <col min="11780" max="11780" width="13.5546875" style="30" customWidth="1"/>
    <col min="11781" max="11781" width="17.109375" style="30" bestFit="1" customWidth="1"/>
    <col min="11782" max="11782" width="4" style="30" customWidth="1"/>
    <col min="11783" max="11783" width="13.5546875" style="30" customWidth="1"/>
    <col min="11784" max="12025" width="13.5546875" style="30"/>
    <col min="12026" max="12026" width="22.109375" style="30" customWidth="1"/>
    <col min="12027" max="12033" width="13.5546875" style="30" customWidth="1"/>
    <col min="12034" max="12034" width="15.88671875" style="30" customWidth="1"/>
    <col min="12035" max="12035" width="16.5546875" style="30" bestFit="1" customWidth="1"/>
    <col min="12036" max="12036" width="13.5546875" style="30" customWidth="1"/>
    <col min="12037" max="12037" width="17.109375" style="30" bestFit="1" customWidth="1"/>
    <col min="12038" max="12038" width="4" style="30" customWidth="1"/>
    <col min="12039" max="12039" width="13.5546875" style="30" customWidth="1"/>
    <col min="12040" max="12281" width="13.5546875" style="30"/>
    <col min="12282" max="12282" width="22.109375" style="30" customWidth="1"/>
    <col min="12283" max="12289" width="13.5546875" style="30" customWidth="1"/>
    <col min="12290" max="12290" width="15.88671875" style="30" customWidth="1"/>
    <col min="12291" max="12291" width="16.5546875" style="30" bestFit="1" customWidth="1"/>
    <col min="12292" max="12292" width="13.5546875" style="30" customWidth="1"/>
    <col min="12293" max="12293" width="17.109375" style="30" bestFit="1" customWidth="1"/>
    <col min="12294" max="12294" width="4" style="30" customWidth="1"/>
    <col min="12295" max="12295" width="13.5546875" style="30" customWidth="1"/>
    <col min="12296" max="12537" width="13.5546875" style="30"/>
    <col min="12538" max="12538" width="22.109375" style="30" customWidth="1"/>
    <col min="12539" max="12545" width="13.5546875" style="30" customWidth="1"/>
    <col min="12546" max="12546" width="15.88671875" style="30" customWidth="1"/>
    <col min="12547" max="12547" width="16.5546875" style="30" bestFit="1" customWidth="1"/>
    <col min="12548" max="12548" width="13.5546875" style="30" customWidth="1"/>
    <col min="12549" max="12549" width="17.109375" style="30" bestFit="1" customWidth="1"/>
    <col min="12550" max="12550" width="4" style="30" customWidth="1"/>
    <col min="12551" max="12551" width="13.5546875" style="30" customWidth="1"/>
    <col min="12552" max="12793" width="13.5546875" style="30"/>
    <col min="12794" max="12794" width="22.109375" style="30" customWidth="1"/>
    <col min="12795" max="12801" width="13.5546875" style="30" customWidth="1"/>
    <col min="12802" max="12802" width="15.88671875" style="30" customWidth="1"/>
    <col min="12803" max="12803" width="16.5546875" style="30" bestFit="1" customWidth="1"/>
    <col min="12804" max="12804" width="13.5546875" style="30" customWidth="1"/>
    <col min="12805" max="12805" width="17.109375" style="30" bestFit="1" customWidth="1"/>
    <col min="12806" max="12806" width="4" style="30" customWidth="1"/>
    <col min="12807" max="12807" width="13.5546875" style="30" customWidth="1"/>
    <col min="12808" max="13049" width="13.5546875" style="30"/>
    <col min="13050" max="13050" width="22.109375" style="30" customWidth="1"/>
    <col min="13051" max="13057" width="13.5546875" style="30" customWidth="1"/>
    <col min="13058" max="13058" width="15.88671875" style="30" customWidth="1"/>
    <col min="13059" max="13059" width="16.5546875" style="30" bestFit="1" customWidth="1"/>
    <col min="13060" max="13060" width="13.5546875" style="30" customWidth="1"/>
    <col min="13061" max="13061" width="17.109375" style="30" bestFit="1" customWidth="1"/>
    <col min="13062" max="13062" width="4" style="30" customWidth="1"/>
    <col min="13063" max="13063" width="13.5546875" style="30" customWidth="1"/>
    <col min="13064" max="13305" width="13.5546875" style="30"/>
    <col min="13306" max="13306" width="22.109375" style="30" customWidth="1"/>
    <col min="13307" max="13313" width="13.5546875" style="30" customWidth="1"/>
    <col min="13314" max="13314" width="15.88671875" style="30" customWidth="1"/>
    <col min="13315" max="13315" width="16.5546875" style="30" bestFit="1" customWidth="1"/>
    <col min="13316" max="13316" width="13.5546875" style="30" customWidth="1"/>
    <col min="13317" max="13317" width="17.109375" style="30" bestFit="1" customWidth="1"/>
    <col min="13318" max="13318" width="4" style="30" customWidth="1"/>
    <col min="13319" max="13319" width="13.5546875" style="30" customWidth="1"/>
    <col min="13320" max="13561" width="13.5546875" style="30"/>
    <col min="13562" max="13562" width="22.109375" style="30" customWidth="1"/>
    <col min="13563" max="13569" width="13.5546875" style="30" customWidth="1"/>
    <col min="13570" max="13570" width="15.88671875" style="30" customWidth="1"/>
    <col min="13571" max="13571" width="16.5546875" style="30" bestFit="1" customWidth="1"/>
    <col min="13572" max="13572" width="13.5546875" style="30" customWidth="1"/>
    <col min="13573" max="13573" width="17.109375" style="30" bestFit="1" customWidth="1"/>
    <col min="13574" max="13574" width="4" style="30" customWidth="1"/>
    <col min="13575" max="13575" width="13.5546875" style="30" customWidth="1"/>
    <col min="13576" max="13817" width="13.5546875" style="30"/>
    <col min="13818" max="13818" width="22.109375" style="30" customWidth="1"/>
    <col min="13819" max="13825" width="13.5546875" style="30" customWidth="1"/>
    <col min="13826" max="13826" width="15.88671875" style="30" customWidth="1"/>
    <col min="13827" max="13827" width="16.5546875" style="30" bestFit="1" customWidth="1"/>
    <col min="13828" max="13828" width="13.5546875" style="30" customWidth="1"/>
    <col min="13829" max="13829" width="17.109375" style="30" bestFit="1" customWidth="1"/>
    <col min="13830" max="13830" width="4" style="30" customWidth="1"/>
    <col min="13831" max="13831" width="13.5546875" style="30" customWidth="1"/>
    <col min="13832" max="14073" width="13.5546875" style="30"/>
    <col min="14074" max="14074" width="22.109375" style="30" customWidth="1"/>
    <col min="14075" max="14081" width="13.5546875" style="30" customWidth="1"/>
    <col min="14082" max="14082" width="15.88671875" style="30" customWidth="1"/>
    <col min="14083" max="14083" width="16.5546875" style="30" bestFit="1" customWidth="1"/>
    <col min="14084" max="14084" width="13.5546875" style="30" customWidth="1"/>
    <col min="14085" max="14085" width="17.109375" style="30" bestFit="1" customWidth="1"/>
    <col min="14086" max="14086" width="4" style="30" customWidth="1"/>
    <col min="14087" max="14087" width="13.5546875" style="30" customWidth="1"/>
    <col min="14088" max="14329" width="13.5546875" style="30"/>
    <col min="14330" max="14330" width="22.109375" style="30" customWidth="1"/>
    <col min="14331" max="14337" width="13.5546875" style="30" customWidth="1"/>
    <col min="14338" max="14338" width="15.88671875" style="30" customWidth="1"/>
    <col min="14339" max="14339" width="16.5546875" style="30" bestFit="1" customWidth="1"/>
    <col min="14340" max="14340" width="13.5546875" style="30" customWidth="1"/>
    <col min="14341" max="14341" width="17.109375" style="30" bestFit="1" customWidth="1"/>
    <col min="14342" max="14342" width="4" style="30" customWidth="1"/>
    <col min="14343" max="14343" width="13.5546875" style="30" customWidth="1"/>
    <col min="14344" max="14585" width="13.5546875" style="30"/>
    <col min="14586" max="14586" width="22.109375" style="30" customWidth="1"/>
    <col min="14587" max="14593" width="13.5546875" style="30" customWidth="1"/>
    <col min="14594" max="14594" width="15.88671875" style="30" customWidth="1"/>
    <col min="14595" max="14595" width="16.5546875" style="30" bestFit="1" customWidth="1"/>
    <col min="14596" max="14596" width="13.5546875" style="30" customWidth="1"/>
    <col min="14597" max="14597" width="17.109375" style="30" bestFit="1" customWidth="1"/>
    <col min="14598" max="14598" width="4" style="30" customWidth="1"/>
    <col min="14599" max="14599" width="13.5546875" style="30" customWidth="1"/>
    <col min="14600" max="14841" width="13.5546875" style="30"/>
    <col min="14842" max="14842" width="22.109375" style="30" customWidth="1"/>
    <col min="14843" max="14849" width="13.5546875" style="30" customWidth="1"/>
    <col min="14850" max="14850" width="15.88671875" style="30" customWidth="1"/>
    <col min="14851" max="14851" width="16.5546875" style="30" bestFit="1" customWidth="1"/>
    <col min="14852" max="14852" width="13.5546875" style="30" customWidth="1"/>
    <col min="14853" max="14853" width="17.109375" style="30" bestFit="1" customWidth="1"/>
    <col min="14854" max="14854" width="4" style="30" customWidth="1"/>
    <col min="14855" max="14855" width="13.5546875" style="30" customWidth="1"/>
    <col min="14856" max="15097" width="13.5546875" style="30"/>
    <col min="15098" max="15098" width="22.109375" style="30" customWidth="1"/>
    <col min="15099" max="15105" width="13.5546875" style="30" customWidth="1"/>
    <col min="15106" max="15106" width="15.88671875" style="30" customWidth="1"/>
    <col min="15107" max="15107" width="16.5546875" style="30" bestFit="1" customWidth="1"/>
    <col min="15108" max="15108" width="13.5546875" style="30" customWidth="1"/>
    <col min="15109" max="15109" width="17.109375" style="30" bestFit="1" customWidth="1"/>
    <col min="15110" max="15110" width="4" style="30" customWidth="1"/>
    <col min="15111" max="15111" width="13.5546875" style="30" customWidth="1"/>
    <col min="15112" max="15353" width="13.5546875" style="30"/>
    <col min="15354" max="15354" width="22.109375" style="30" customWidth="1"/>
    <col min="15355" max="15361" width="13.5546875" style="30" customWidth="1"/>
    <col min="15362" max="15362" width="15.88671875" style="30" customWidth="1"/>
    <col min="15363" max="15363" width="16.5546875" style="30" bestFit="1" customWidth="1"/>
    <col min="15364" max="15364" width="13.5546875" style="30" customWidth="1"/>
    <col min="15365" max="15365" width="17.109375" style="30" bestFit="1" customWidth="1"/>
    <col min="15366" max="15366" width="4" style="30" customWidth="1"/>
    <col min="15367" max="15367" width="13.5546875" style="30" customWidth="1"/>
    <col min="15368" max="15609" width="13.5546875" style="30"/>
    <col min="15610" max="15610" width="22.109375" style="30" customWidth="1"/>
    <col min="15611" max="15617" width="13.5546875" style="30" customWidth="1"/>
    <col min="15618" max="15618" width="15.88671875" style="30" customWidth="1"/>
    <col min="15619" max="15619" width="16.5546875" style="30" bestFit="1" customWidth="1"/>
    <col min="15620" max="15620" width="13.5546875" style="30" customWidth="1"/>
    <col min="15621" max="15621" width="17.109375" style="30" bestFit="1" customWidth="1"/>
    <col min="15622" max="15622" width="4" style="30" customWidth="1"/>
    <col min="15623" max="15623" width="13.5546875" style="30" customWidth="1"/>
    <col min="15624" max="15865" width="13.5546875" style="30"/>
    <col min="15866" max="15866" width="22.109375" style="30" customWidth="1"/>
    <col min="15867" max="15873" width="13.5546875" style="30" customWidth="1"/>
    <col min="15874" max="15874" width="15.88671875" style="30" customWidth="1"/>
    <col min="15875" max="15875" width="16.5546875" style="30" bestFit="1" customWidth="1"/>
    <col min="15876" max="15876" width="13.5546875" style="30" customWidth="1"/>
    <col min="15877" max="15877" width="17.109375" style="30" bestFit="1" customWidth="1"/>
    <col min="15878" max="15878" width="4" style="30" customWidth="1"/>
    <col min="15879" max="15879" width="13.5546875" style="30" customWidth="1"/>
    <col min="15880" max="16121" width="13.5546875" style="30"/>
    <col min="16122" max="16122" width="22.109375" style="30" customWidth="1"/>
    <col min="16123" max="16129" width="13.5546875" style="30" customWidth="1"/>
    <col min="16130" max="16130" width="15.88671875" style="30" customWidth="1"/>
    <col min="16131" max="16131" width="16.5546875" style="30" bestFit="1" customWidth="1"/>
    <col min="16132" max="16132" width="13.5546875" style="30" customWidth="1"/>
    <col min="16133" max="16133" width="17.109375" style="30" bestFit="1" customWidth="1"/>
    <col min="16134" max="16134" width="4" style="30" customWidth="1"/>
    <col min="16135" max="16135" width="13.5546875" style="30" customWidth="1"/>
    <col min="16136" max="16384" width="13.5546875" style="30"/>
  </cols>
  <sheetData>
    <row r="1" spans="1:28" s="24" customFormat="1">
      <c r="A1" s="424" t="s">
        <v>4</v>
      </c>
      <c r="B1" s="305"/>
      <c r="C1" s="305"/>
      <c r="D1" s="160"/>
      <c r="E1" s="160"/>
      <c r="F1" s="87"/>
      <c r="G1" s="87"/>
      <c r="H1" s="161"/>
      <c r="I1" s="87"/>
      <c r="J1" s="87"/>
    </row>
    <row r="2" spans="1:28" s="24" customFormat="1" ht="16.2">
      <c r="A2" s="87"/>
      <c r="B2" s="87"/>
      <c r="C2" s="87"/>
      <c r="D2" s="160"/>
      <c r="E2" s="160"/>
      <c r="F2" s="162"/>
      <c r="G2" s="346" t="s">
        <v>862</v>
      </c>
      <c r="H2" s="346" t="s">
        <v>863</v>
      </c>
      <c r="I2" s="162"/>
      <c r="J2" s="87"/>
    </row>
    <row r="3" spans="1:28" s="24" customFormat="1" ht="15.6">
      <c r="A3" s="38" t="str">
        <f>'2-Kosten per locatie'!A3</f>
        <v>Naam opdrachtgever</v>
      </c>
      <c r="B3" s="144" t="str">
        <f>'2-Kosten per locatie'!B3</f>
        <v>Gemeente Zoetermeer</v>
      </c>
      <c r="C3" s="38"/>
      <c r="E3" s="144"/>
      <c r="F3" s="162"/>
      <c r="G3" s="485" t="s">
        <v>864</v>
      </c>
      <c r="H3" s="486"/>
      <c r="I3" s="162"/>
      <c r="J3" s="87"/>
    </row>
    <row r="4" spans="1:28" s="24" customFormat="1" ht="15.6">
      <c r="A4" s="38" t="str">
        <f>'2-Kosten per locatie'!A4</f>
        <v>Calculatie onderdeel</v>
      </c>
      <c r="B4" s="144" t="str">
        <f ca="1">MID(CELL("bestandsnaam",$E$9),SEARCH("]",CELL("bestandsnaam",$E$9),1)+1,256)</f>
        <v>10-Glasbewassing</v>
      </c>
      <c r="C4" s="38"/>
      <c r="E4" s="144"/>
      <c r="F4" s="162"/>
      <c r="G4" s="485" t="s">
        <v>865</v>
      </c>
      <c r="H4" s="486"/>
      <c r="I4" s="162"/>
      <c r="J4" s="87"/>
    </row>
    <row r="5" spans="1:28" s="24" customFormat="1" ht="15.6">
      <c r="A5" s="38" t="str">
        <f>'2-Kosten per locatie'!A5</f>
        <v>Gebouw/plaats</v>
      </c>
      <c r="B5" s="144" t="str">
        <f>'2-Kosten per locatie'!B5</f>
        <v>Diversen Zoetermeer</v>
      </c>
      <c r="C5" s="38"/>
      <c r="E5" s="144"/>
      <c r="F5" s="162"/>
      <c r="G5" s="487" t="s">
        <v>866</v>
      </c>
      <c r="H5" s="486"/>
      <c r="I5" s="162"/>
      <c r="J5" s="163"/>
      <c r="L5" s="26"/>
      <c r="M5" s="25"/>
      <c r="N5" s="26"/>
      <c r="O5" s="26"/>
      <c r="P5" s="25"/>
      <c r="Q5" s="27"/>
      <c r="R5" s="26"/>
      <c r="S5" s="25"/>
      <c r="T5" s="26"/>
      <c r="U5" s="26"/>
      <c r="V5" s="25"/>
      <c r="W5" s="26"/>
      <c r="X5" s="26"/>
      <c r="Y5" s="25"/>
      <c r="Z5" s="26"/>
      <c r="AA5" s="26"/>
      <c r="AB5" s="25"/>
    </row>
    <row r="6" spans="1:28" s="24" customFormat="1" ht="17.25" customHeight="1">
      <c r="A6" s="38" t="str">
        <f>'2-Kosten per locatie'!A6</f>
        <v>Referentie nummer</v>
      </c>
      <c r="B6" s="144" t="str">
        <f>'2-Kosten per locatie'!B6</f>
        <v>2025-045275 </v>
      </c>
      <c r="C6" s="38"/>
      <c r="E6" s="144"/>
      <c r="F6" s="162"/>
      <c r="G6" s="485" t="s">
        <v>867</v>
      </c>
      <c r="H6" s="486"/>
      <c r="I6" s="162"/>
      <c r="J6" s="319"/>
      <c r="L6" s="28"/>
      <c r="M6" s="29"/>
      <c r="N6" s="26"/>
      <c r="O6" s="28"/>
      <c r="P6" s="29"/>
      <c r="Q6" s="27"/>
      <c r="R6" s="28"/>
      <c r="S6" s="29"/>
      <c r="T6" s="26"/>
      <c r="U6" s="28"/>
      <c r="V6" s="29"/>
      <c r="W6" s="26"/>
      <c r="X6" s="28"/>
      <c r="Y6" s="29"/>
      <c r="Z6" s="26"/>
      <c r="AA6" s="28"/>
      <c r="AB6" s="29"/>
    </row>
    <row r="7" spans="1:28" s="24" customFormat="1" ht="17.25" customHeight="1">
      <c r="A7" s="38" t="str">
        <f>'2-Kosten per locatie'!A7</f>
        <v>Naam dienstverlener</v>
      </c>
      <c r="B7" s="144">
        <f>'2-Kosten per locatie'!B7</f>
        <v>0</v>
      </c>
      <c r="C7" s="38"/>
      <c r="E7" s="109"/>
      <c r="F7" s="162"/>
      <c r="G7" s="487" t="s">
        <v>868</v>
      </c>
      <c r="H7" s="486"/>
      <c r="I7" s="162"/>
      <c r="J7" s="319"/>
    </row>
    <row r="8" spans="1:28" s="24" customFormat="1" ht="17.25" customHeight="1">
      <c r="A8" s="38" t="str">
        <f>'2-Kosten per locatie'!A8</f>
        <v>Prijspeil</v>
      </c>
      <c r="B8" s="320">
        <f>'2-Kosten per locatie'!B8</f>
        <v>2026</v>
      </c>
      <c r="C8" s="38"/>
      <c r="E8" s="48"/>
      <c r="F8" s="162"/>
      <c r="G8" s="485" t="s">
        <v>869</v>
      </c>
      <c r="H8" s="486"/>
      <c r="I8" s="162"/>
      <c r="J8" s="163"/>
    </row>
    <row r="9" spans="1:28" s="24" customFormat="1" ht="17.25" customHeight="1">
      <c r="A9" s="162"/>
      <c r="B9" s="162"/>
      <c r="C9" s="162"/>
      <c r="D9" s="162"/>
      <c r="E9" s="162"/>
      <c r="F9" s="162"/>
      <c r="G9" s="485" t="s">
        <v>870</v>
      </c>
      <c r="H9" s="486"/>
      <c r="I9" s="162"/>
      <c r="J9" s="163"/>
    </row>
    <row r="10" spans="1:28" s="24" customFormat="1" ht="17.25" customHeight="1">
      <c r="A10" s="162"/>
      <c r="B10" s="162"/>
      <c r="C10" s="162"/>
      <c r="D10" s="162"/>
      <c r="E10" s="162"/>
      <c r="F10" s="162"/>
      <c r="G10" s="485" t="s">
        <v>871</v>
      </c>
      <c r="H10" s="486"/>
      <c r="I10" s="162"/>
      <c r="J10" s="163"/>
    </row>
    <row r="11" spans="1:28" s="24" customFormat="1" ht="17.25" customHeight="1">
      <c r="A11" s="162"/>
      <c r="B11" s="162"/>
      <c r="C11" s="162"/>
      <c r="D11" s="162"/>
      <c r="E11" s="162"/>
      <c r="F11" s="162"/>
      <c r="G11" s="485" t="s">
        <v>872</v>
      </c>
      <c r="H11" s="486"/>
      <c r="I11" s="162"/>
      <c r="J11" s="163"/>
    </row>
    <row r="12" spans="1:28" s="24" customFormat="1" ht="15.6">
      <c r="A12" s="164"/>
      <c r="B12" s="164"/>
      <c r="C12" s="164"/>
      <c r="D12" s="162"/>
      <c r="E12" s="162"/>
      <c r="F12" s="165"/>
      <c r="G12" s="162"/>
      <c r="H12" s="166"/>
      <c r="I12" s="165"/>
      <c r="J12" s="163"/>
    </row>
    <row r="13" spans="1:28" s="31" customFormat="1" ht="43.5" customHeight="1">
      <c r="A13" s="325" t="s">
        <v>145</v>
      </c>
      <c r="B13" s="325" t="s">
        <v>21</v>
      </c>
      <c r="C13" s="325" t="s">
        <v>873</v>
      </c>
      <c r="D13" s="324" t="s">
        <v>862</v>
      </c>
      <c r="E13" s="324" t="s">
        <v>874</v>
      </c>
      <c r="F13" s="346" t="s">
        <v>875</v>
      </c>
      <c r="G13" s="324" t="s">
        <v>876</v>
      </c>
      <c r="H13" s="324" t="s">
        <v>877</v>
      </c>
      <c r="I13" s="324" t="s">
        <v>878</v>
      </c>
      <c r="J13" s="324" t="s">
        <v>879</v>
      </c>
    </row>
    <row r="14" spans="1:28">
      <c r="A14" s="354" t="s">
        <v>880</v>
      </c>
      <c r="B14" s="488"/>
      <c r="C14" s="489"/>
      <c r="D14" s="485" t="s">
        <v>864</v>
      </c>
      <c r="E14" s="485"/>
      <c r="F14" s="490">
        <v>28</v>
      </c>
      <c r="G14" s="491">
        <f t="shared" ref="G14:G47" si="0">VLOOKUP(D14,$G$3:$H$11,2,FALSE)</f>
        <v>0</v>
      </c>
      <c r="H14" s="492">
        <f t="shared" ref="H14:H16" si="1">(F14*G14)</f>
        <v>0</v>
      </c>
      <c r="I14" s="493" t="s">
        <v>881</v>
      </c>
      <c r="J14" s="492">
        <f>H14*I14</f>
        <v>0</v>
      </c>
    </row>
    <row r="15" spans="1:28">
      <c r="A15" s="354" t="s">
        <v>880</v>
      </c>
      <c r="B15" s="488"/>
      <c r="C15" s="489"/>
      <c r="D15" s="485" t="s">
        <v>865</v>
      </c>
      <c r="E15" s="485"/>
      <c r="F15" s="490">
        <v>28</v>
      </c>
      <c r="G15" s="491">
        <f t="shared" si="0"/>
        <v>0</v>
      </c>
      <c r="H15" s="492">
        <f t="shared" si="1"/>
        <v>0</v>
      </c>
      <c r="I15" s="493" t="s">
        <v>881</v>
      </c>
      <c r="J15" s="492">
        <f t="shared" ref="J15:J16" si="2">H15*I15</f>
        <v>0</v>
      </c>
    </row>
    <row r="16" spans="1:28">
      <c r="A16" s="354" t="s">
        <v>880</v>
      </c>
      <c r="B16" s="488"/>
      <c r="C16" s="489"/>
      <c r="D16" s="485" t="s">
        <v>866</v>
      </c>
      <c r="E16" s="485"/>
      <c r="F16" s="490">
        <v>16</v>
      </c>
      <c r="G16" s="491">
        <f t="shared" si="0"/>
        <v>0</v>
      </c>
      <c r="H16" s="492">
        <f t="shared" si="1"/>
        <v>0</v>
      </c>
      <c r="I16" s="493" t="s">
        <v>881</v>
      </c>
      <c r="J16" s="492">
        <f t="shared" si="2"/>
        <v>0</v>
      </c>
    </row>
    <row r="17" spans="1:10">
      <c r="A17" s="354" t="s">
        <v>36</v>
      </c>
      <c r="B17" s="488"/>
      <c r="C17" s="489"/>
      <c r="D17" s="485" t="s">
        <v>864</v>
      </c>
      <c r="E17" s="485"/>
      <c r="F17" s="490">
        <v>124</v>
      </c>
      <c r="G17" s="491">
        <f t="shared" si="0"/>
        <v>0</v>
      </c>
      <c r="H17" s="492">
        <f t="shared" ref="H17:H44" si="3">(F17*G17)</f>
        <v>0</v>
      </c>
      <c r="I17" s="493" t="s">
        <v>881</v>
      </c>
      <c r="J17" s="492">
        <f t="shared" ref="J17:J44" si="4">H17*I17</f>
        <v>0</v>
      </c>
    </row>
    <row r="18" spans="1:10">
      <c r="A18" s="354" t="s">
        <v>36</v>
      </c>
      <c r="B18" s="488"/>
      <c r="C18" s="489"/>
      <c r="D18" s="485" t="s">
        <v>865</v>
      </c>
      <c r="E18" s="485"/>
      <c r="F18" s="490">
        <v>124</v>
      </c>
      <c r="G18" s="491">
        <f t="shared" si="0"/>
        <v>0</v>
      </c>
      <c r="H18" s="492">
        <f t="shared" si="3"/>
        <v>0</v>
      </c>
      <c r="I18" s="493" t="s">
        <v>881</v>
      </c>
      <c r="J18" s="492">
        <f t="shared" si="4"/>
        <v>0</v>
      </c>
    </row>
    <row r="19" spans="1:10">
      <c r="A19" s="354" t="s">
        <v>37</v>
      </c>
      <c r="B19" s="488"/>
      <c r="C19" s="489"/>
      <c r="D19" s="485" t="s">
        <v>864</v>
      </c>
      <c r="E19" s="485"/>
      <c r="F19" s="490">
        <v>6</v>
      </c>
      <c r="G19" s="491">
        <f t="shared" si="0"/>
        <v>0</v>
      </c>
      <c r="H19" s="492">
        <f t="shared" si="3"/>
        <v>0</v>
      </c>
      <c r="I19" s="493" t="s">
        <v>881</v>
      </c>
      <c r="J19" s="492">
        <f t="shared" si="4"/>
        <v>0</v>
      </c>
    </row>
    <row r="20" spans="1:10">
      <c r="A20" s="354" t="s">
        <v>37</v>
      </c>
      <c r="B20" s="488"/>
      <c r="C20" s="489"/>
      <c r="D20" s="485" t="s">
        <v>865</v>
      </c>
      <c r="E20" s="485"/>
      <c r="F20" s="490">
        <v>6</v>
      </c>
      <c r="G20" s="491">
        <f t="shared" si="0"/>
        <v>0</v>
      </c>
      <c r="H20" s="492">
        <f t="shared" si="3"/>
        <v>0</v>
      </c>
      <c r="I20" s="493" t="s">
        <v>881</v>
      </c>
      <c r="J20" s="492">
        <f t="shared" si="4"/>
        <v>0</v>
      </c>
    </row>
    <row r="21" spans="1:10">
      <c r="A21" s="354" t="s">
        <v>882</v>
      </c>
      <c r="B21" s="488"/>
      <c r="C21" s="489"/>
      <c r="D21" s="485" t="s">
        <v>864</v>
      </c>
      <c r="E21" s="485"/>
      <c r="F21" s="490">
        <v>57</v>
      </c>
      <c r="G21" s="491">
        <f t="shared" si="0"/>
        <v>0</v>
      </c>
      <c r="H21" s="492">
        <f t="shared" si="3"/>
        <v>0</v>
      </c>
      <c r="I21" s="493" t="s">
        <v>881</v>
      </c>
      <c r="J21" s="492">
        <f t="shared" si="4"/>
        <v>0</v>
      </c>
    </row>
    <row r="22" spans="1:10">
      <c r="A22" s="354" t="s">
        <v>882</v>
      </c>
      <c r="B22" s="488"/>
      <c r="C22" s="489"/>
      <c r="D22" s="485" t="s">
        <v>865</v>
      </c>
      <c r="E22" s="485"/>
      <c r="F22" s="490">
        <v>57</v>
      </c>
      <c r="G22" s="491">
        <f t="shared" si="0"/>
        <v>0</v>
      </c>
      <c r="H22" s="492">
        <f t="shared" si="3"/>
        <v>0</v>
      </c>
      <c r="I22" s="493" t="s">
        <v>881</v>
      </c>
      <c r="J22" s="492">
        <f t="shared" si="4"/>
        <v>0</v>
      </c>
    </row>
    <row r="23" spans="1:10">
      <c r="A23" s="354" t="s">
        <v>882</v>
      </c>
      <c r="B23" s="488"/>
      <c r="C23" s="489"/>
      <c r="D23" s="485" t="s">
        <v>866</v>
      </c>
      <c r="E23" s="485"/>
      <c r="F23" s="490">
        <v>12</v>
      </c>
      <c r="G23" s="491">
        <f t="shared" si="0"/>
        <v>0</v>
      </c>
      <c r="H23" s="492">
        <f t="shared" si="3"/>
        <v>0</v>
      </c>
      <c r="I23" s="493" t="s">
        <v>881</v>
      </c>
      <c r="J23" s="492">
        <f t="shared" si="4"/>
        <v>0</v>
      </c>
    </row>
    <row r="24" spans="1:10">
      <c r="A24" s="354" t="s">
        <v>882</v>
      </c>
      <c r="B24" s="488"/>
      <c r="C24" s="489"/>
      <c r="D24" s="485" t="s">
        <v>871</v>
      </c>
      <c r="E24" s="485"/>
      <c r="F24" s="490">
        <v>4</v>
      </c>
      <c r="G24" s="491">
        <f t="shared" si="0"/>
        <v>0</v>
      </c>
      <c r="H24" s="492">
        <f t="shared" si="3"/>
        <v>0</v>
      </c>
      <c r="I24" s="493" t="s">
        <v>883</v>
      </c>
      <c r="J24" s="492">
        <f t="shared" si="4"/>
        <v>0</v>
      </c>
    </row>
    <row r="25" spans="1:10">
      <c r="A25" s="354" t="s">
        <v>38</v>
      </c>
      <c r="B25" s="488"/>
      <c r="C25" s="489"/>
      <c r="D25" s="485" t="s">
        <v>864</v>
      </c>
      <c r="E25" s="485"/>
      <c r="F25" s="490">
        <v>4</v>
      </c>
      <c r="G25" s="491">
        <f t="shared" si="0"/>
        <v>0</v>
      </c>
      <c r="H25" s="492">
        <f t="shared" si="3"/>
        <v>0</v>
      </c>
      <c r="I25" s="493" t="s">
        <v>881</v>
      </c>
      <c r="J25" s="492">
        <f t="shared" si="4"/>
        <v>0</v>
      </c>
    </row>
    <row r="26" spans="1:10">
      <c r="A26" s="354" t="s">
        <v>38</v>
      </c>
      <c r="B26" s="488"/>
      <c r="C26" s="489"/>
      <c r="D26" s="485" t="s">
        <v>865</v>
      </c>
      <c r="E26" s="485"/>
      <c r="F26" s="490">
        <v>4</v>
      </c>
      <c r="G26" s="491">
        <f t="shared" si="0"/>
        <v>0</v>
      </c>
      <c r="H26" s="492">
        <f t="shared" si="3"/>
        <v>0</v>
      </c>
      <c r="I26" s="493" t="s">
        <v>881</v>
      </c>
      <c r="J26" s="492">
        <f t="shared" si="4"/>
        <v>0</v>
      </c>
    </row>
    <row r="27" spans="1:10">
      <c r="A27" s="354" t="s">
        <v>40</v>
      </c>
      <c r="B27" s="488"/>
      <c r="C27" s="489"/>
      <c r="D27" s="485" t="s">
        <v>864</v>
      </c>
      <c r="E27" s="485"/>
      <c r="F27" s="490">
        <v>82</v>
      </c>
      <c r="G27" s="491">
        <f t="shared" si="0"/>
        <v>0</v>
      </c>
      <c r="H27" s="492">
        <f t="shared" si="3"/>
        <v>0</v>
      </c>
      <c r="I27" s="493" t="s">
        <v>881</v>
      </c>
      <c r="J27" s="492">
        <f t="shared" si="4"/>
        <v>0</v>
      </c>
    </row>
    <row r="28" spans="1:10">
      <c r="A28" s="354" t="s">
        <v>40</v>
      </c>
      <c r="B28" s="488"/>
      <c r="C28" s="489"/>
      <c r="D28" s="485" t="s">
        <v>865</v>
      </c>
      <c r="E28" s="485"/>
      <c r="F28" s="490">
        <v>82</v>
      </c>
      <c r="G28" s="491">
        <f t="shared" si="0"/>
        <v>0</v>
      </c>
      <c r="H28" s="492">
        <f t="shared" si="3"/>
        <v>0</v>
      </c>
      <c r="I28" s="493" t="s">
        <v>881</v>
      </c>
      <c r="J28" s="492">
        <f t="shared" si="4"/>
        <v>0</v>
      </c>
    </row>
    <row r="29" spans="1:10">
      <c r="A29" s="354" t="s">
        <v>40</v>
      </c>
      <c r="B29" s="488"/>
      <c r="C29" s="489"/>
      <c r="D29" s="485" t="s">
        <v>866</v>
      </c>
      <c r="E29" s="485"/>
      <c r="F29" s="490">
        <v>14</v>
      </c>
      <c r="G29" s="491">
        <f t="shared" si="0"/>
        <v>0</v>
      </c>
      <c r="H29" s="492">
        <f t="shared" si="3"/>
        <v>0</v>
      </c>
      <c r="I29" s="493" t="s">
        <v>881</v>
      </c>
      <c r="J29" s="492">
        <f t="shared" si="4"/>
        <v>0</v>
      </c>
    </row>
    <row r="30" spans="1:10">
      <c r="A30" s="354" t="s">
        <v>39</v>
      </c>
      <c r="B30" s="488"/>
      <c r="C30" s="489"/>
      <c r="D30" s="485" t="s">
        <v>864</v>
      </c>
      <c r="E30" s="485"/>
      <c r="F30" s="490">
        <v>130</v>
      </c>
      <c r="G30" s="491">
        <f t="shared" si="0"/>
        <v>0</v>
      </c>
      <c r="H30" s="492">
        <f t="shared" si="3"/>
        <v>0</v>
      </c>
      <c r="I30" s="493" t="s">
        <v>881</v>
      </c>
      <c r="J30" s="492">
        <f t="shared" si="4"/>
        <v>0</v>
      </c>
    </row>
    <row r="31" spans="1:10">
      <c r="A31" s="354" t="s">
        <v>39</v>
      </c>
      <c r="B31" s="488"/>
      <c r="C31" s="489"/>
      <c r="D31" s="485" t="s">
        <v>865</v>
      </c>
      <c r="E31" s="485"/>
      <c r="F31" s="490">
        <v>130</v>
      </c>
      <c r="G31" s="491">
        <f t="shared" si="0"/>
        <v>0</v>
      </c>
      <c r="H31" s="492">
        <f t="shared" si="3"/>
        <v>0</v>
      </c>
      <c r="I31" s="493" t="s">
        <v>881</v>
      </c>
      <c r="J31" s="492">
        <f t="shared" si="4"/>
        <v>0</v>
      </c>
    </row>
    <row r="32" spans="1:10">
      <c r="A32" s="354" t="s">
        <v>39</v>
      </c>
      <c r="B32" s="488"/>
      <c r="C32" s="489"/>
      <c r="D32" s="485" t="s">
        <v>866</v>
      </c>
      <c r="E32" s="485"/>
      <c r="F32" s="490">
        <v>53</v>
      </c>
      <c r="G32" s="491">
        <f t="shared" si="0"/>
        <v>0</v>
      </c>
      <c r="H32" s="492">
        <f t="shared" si="3"/>
        <v>0</v>
      </c>
      <c r="I32" s="493" t="s">
        <v>881</v>
      </c>
      <c r="J32" s="492">
        <f t="shared" si="4"/>
        <v>0</v>
      </c>
    </row>
    <row r="33" spans="1:10">
      <c r="A33" s="354" t="s">
        <v>884</v>
      </c>
      <c r="B33" s="488"/>
      <c r="C33" s="489"/>
      <c r="D33" s="485" t="s">
        <v>864</v>
      </c>
      <c r="E33" s="485"/>
      <c r="F33" s="490">
        <v>97</v>
      </c>
      <c r="G33" s="491">
        <f t="shared" si="0"/>
        <v>0</v>
      </c>
      <c r="H33" s="492">
        <f t="shared" si="3"/>
        <v>0</v>
      </c>
      <c r="I33" s="493" t="s">
        <v>881</v>
      </c>
      <c r="J33" s="492">
        <f t="shared" si="4"/>
        <v>0</v>
      </c>
    </row>
    <row r="34" spans="1:10">
      <c r="A34" s="354" t="s">
        <v>884</v>
      </c>
      <c r="B34" s="488"/>
      <c r="C34" s="489"/>
      <c r="D34" s="485" t="s">
        <v>865</v>
      </c>
      <c r="E34" s="485"/>
      <c r="F34" s="490">
        <v>148</v>
      </c>
      <c r="G34" s="491">
        <f t="shared" si="0"/>
        <v>0</v>
      </c>
      <c r="H34" s="492">
        <f t="shared" si="3"/>
        <v>0</v>
      </c>
      <c r="I34" s="493" t="s">
        <v>881</v>
      </c>
      <c r="J34" s="492">
        <f t="shared" si="4"/>
        <v>0</v>
      </c>
    </row>
    <row r="35" spans="1:10">
      <c r="A35" s="354" t="s">
        <v>42</v>
      </c>
      <c r="B35" s="488"/>
      <c r="C35" s="489"/>
      <c r="D35" s="485" t="s">
        <v>864</v>
      </c>
      <c r="E35" s="485"/>
      <c r="F35" s="490">
        <v>61</v>
      </c>
      <c r="G35" s="491">
        <f t="shared" si="0"/>
        <v>0</v>
      </c>
      <c r="H35" s="492">
        <f t="shared" si="3"/>
        <v>0</v>
      </c>
      <c r="I35" s="493" t="s">
        <v>881</v>
      </c>
      <c r="J35" s="492">
        <f t="shared" si="4"/>
        <v>0</v>
      </c>
    </row>
    <row r="36" spans="1:10">
      <c r="A36" s="354" t="s">
        <v>42</v>
      </c>
      <c r="B36" s="488"/>
      <c r="C36" s="489"/>
      <c r="D36" s="485" t="s">
        <v>865</v>
      </c>
      <c r="E36" s="485"/>
      <c r="F36" s="490">
        <v>61</v>
      </c>
      <c r="G36" s="491">
        <f t="shared" si="0"/>
        <v>0</v>
      </c>
      <c r="H36" s="492">
        <f t="shared" si="3"/>
        <v>0</v>
      </c>
      <c r="I36" s="493" t="s">
        <v>881</v>
      </c>
      <c r="J36" s="492">
        <f t="shared" si="4"/>
        <v>0</v>
      </c>
    </row>
    <row r="37" spans="1:10">
      <c r="A37" s="354" t="s">
        <v>42</v>
      </c>
      <c r="B37" s="488"/>
      <c r="C37" s="489"/>
      <c r="D37" s="485" t="s">
        <v>866</v>
      </c>
      <c r="E37" s="485"/>
      <c r="F37" s="490">
        <v>5</v>
      </c>
      <c r="G37" s="491">
        <f t="shared" si="0"/>
        <v>0</v>
      </c>
      <c r="H37" s="492">
        <f t="shared" si="3"/>
        <v>0</v>
      </c>
      <c r="I37" s="493" t="s">
        <v>881</v>
      </c>
      <c r="J37" s="492">
        <f t="shared" si="4"/>
        <v>0</v>
      </c>
    </row>
    <row r="38" spans="1:10">
      <c r="A38" s="354" t="s">
        <v>44</v>
      </c>
      <c r="B38" s="488"/>
      <c r="C38" s="489"/>
      <c r="D38" s="485" t="s">
        <v>864</v>
      </c>
      <c r="E38" s="485"/>
      <c r="F38" s="490">
        <v>775</v>
      </c>
      <c r="G38" s="491">
        <f t="shared" si="0"/>
        <v>0</v>
      </c>
      <c r="H38" s="492">
        <f t="shared" si="3"/>
        <v>0</v>
      </c>
      <c r="I38" s="493" t="s">
        <v>881</v>
      </c>
      <c r="J38" s="492">
        <f t="shared" si="4"/>
        <v>0</v>
      </c>
    </row>
    <row r="39" spans="1:10">
      <c r="A39" s="354" t="s">
        <v>44</v>
      </c>
      <c r="B39" s="488"/>
      <c r="C39" s="489"/>
      <c r="D39" s="485" t="s">
        <v>865</v>
      </c>
      <c r="E39" s="485"/>
      <c r="F39" s="490">
        <v>637</v>
      </c>
      <c r="G39" s="491">
        <f t="shared" si="0"/>
        <v>0</v>
      </c>
      <c r="H39" s="492">
        <f t="shared" si="3"/>
        <v>0</v>
      </c>
      <c r="I39" s="493" t="s">
        <v>881</v>
      </c>
      <c r="J39" s="492">
        <f t="shared" si="4"/>
        <v>0</v>
      </c>
    </row>
    <row r="40" spans="1:10">
      <c r="A40" s="354" t="s">
        <v>44</v>
      </c>
      <c r="B40" s="488"/>
      <c r="C40" s="489"/>
      <c r="D40" s="485" t="s">
        <v>866</v>
      </c>
      <c r="E40" s="485"/>
      <c r="F40" s="490">
        <v>666</v>
      </c>
      <c r="G40" s="491">
        <f t="shared" si="0"/>
        <v>0</v>
      </c>
      <c r="H40" s="492">
        <f t="shared" si="3"/>
        <v>0</v>
      </c>
      <c r="I40" s="493" t="s">
        <v>881</v>
      </c>
      <c r="J40" s="492">
        <f t="shared" si="4"/>
        <v>0</v>
      </c>
    </row>
    <row r="41" spans="1:10">
      <c r="A41" s="354" t="s">
        <v>43</v>
      </c>
      <c r="B41" s="488"/>
      <c r="C41" s="489"/>
      <c r="D41" s="485" t="s">
        <v>864</v>
      </c>
      <c r="E41" s="485"/>
      <c r="F41" s="490">
        <v>4</v>
      </c>
      <c r="G41" s="491">
        <f t="shared" si="0"/>
        <v>0</v>
      </c>
      <c r="H41" s="492">
        <f t="shared" si="3"/>
        <v>0</v>
      </c>
      <c r="I41" s="493" t="s">
        <v>881</v>
      </c>
      <c r="J41" s="492">
        <f t="shared" si="4"/>
        <v>0</v>
      </c>
    </row>
    <row r="42" spans="1:10">
      <c r="A42" s="354" t="s">
        <v>43</v>
      </c>
      <c r="B42" s="488"/>
      <c r="C42" s="489"/>
      <c r="D42" s="485" t="s">
        <v>865</v>
      </c>
      <c r="E42" s="485"/>
      <c r="F42" s="490">
        <v>4</v>
      </c>
      <c r="G42" s="491">
        <f t="shared" si="0"/>
        <v>0</v>
      </c>
      <c r="H42" s="492">
        <f t="shared" si="3"/>
        <v>0</v>
      </c>
      <c r="I42" s="493" t="s">
        <v>881</v>
      </c>
      <c r="J42" s="492">
        <f t="shared" si="4"/>
        <v>0</v>
      </c>
    </row>
    <row r="43" spans="1:10">
      <c r="A43" s="354" t="s">
        <v>43</v>
      </c>
      <c r="B43" s="488"/>
      <c r="C43" s="489"/>
      <c r="D43" s="485" t="s">
        <v>866</v>
      </c>
      <c r="E43" s="485"/>
      <c r="F43" s="490">
        <v>3</v>
      </c>
      <c r="G43" s="491">
        <f t="shared" si="0"/>
        <v>0</v>
      </c>
      <c r="H43" s="492">
        <f t="shared" si="3"/>
        <v>0</v>
      </c>
      <c r="I43" s="493" t="s">
        <v>881</v>
      </c>
      <c r="J43" s="492">
        <f t="shared" si="4"/>
        <v>0</v>
      </c>
    </row>
    <row r="44" spans="1:10">
      <c r="A44" s="354" t="s">
        <v>43</v>
      </c>
      <c r="B44" s="488"/>
      <c r="C44" s="489"/>
      <c r="D44" s="485" t="s">
        <v>867</v>
      </c>
      <c r="E44" s="485"/>
      <c r="F44" s="490">
        <v>14</v>
      </c>
      <c r="G44" s="491">
        <f t="shared" si="0"/>
        <v>0</v>
      </c>
      <c r="H44" s="492">
        <f t="shared" si="3"/>
        <v>0</v>
      </c>
      <c r="I44" s="493" t="s">
        <v>883</v>
      </c>
      <c r="J44" s="492">
        <f t="shared" si="4"/>
        <v>0</v>
      </c>
    </row>
    <row r="45" spans="1:10">
      <c r="A45" s="354" t="s">
        <v>47</v>
      </c>
      <c r="B45" s="488"/>
      <c r="C45" s="489">
        <v>4</v>
      </c>
      <c r="D45" s="485" t="s">
        <v>864</v>
      </c>
      <c r="E45" s="485"/>
      <c r="F45" s="490">
        <v>59</v>
      </c>
      <c r="G45" s="491">
        <f t="shared" si="0"/>
        <v>0</v>
      </c>
      <c r="H45" s="492">
        <f>(F45*G45)</f>
        <v>0</v>
      </c>
      <c r="I45" s="493" t="s">
        <v>881</v>
      </c>
      <c r="J45" s="492">
        <f t="shared" ref="J45" si="5">I45*H45</f>
        <v>0</v>
      </c>
    </row>
    <row r="46" spans="1:10">
      <c r="A46" s="354" t="s">
        <v>47</v>
      </c>
      <c r="B46" s="488"/>
      <c r="C46" s="489">
        <v>4</v>
      </c>
      <c r="D46" s="485" t="s">
        <v>865</v>
      </c>
      <c r="E46" s="485"/>
      <c r="F46" s="490">
        <v>59</v>
      </c>
      <c r="G46" s="491">
        <f t="shared" si="0"/>
        <v>0</v>
      </c>
      <c r="H46" s="492">
        <f t="shared" ref="H46:H47" si="6">(F46*G46)</f>
        <v>0</v>
      </c>
      <c r="I46" s="493" t="s">
        <v>881</v>
      </c>
      <c r="J46" s="492">
        <f t="shared" ref="J46:J135" si="7">I46*H46</f>
        <v>0</v>
      </c>
    </row>
    <row r="47" spans="1:10">
      <c r="A47" s="354" t="s">
        <v>48</v>
      </c>
      <c r="B47" s="494"/>
      <c r="C47" s="489">
        <v>4</v>
      </c>
      <c r="D47" s="487" t="s">
        <v>864</v>
      </c>
      <c r="E47" s="487"/>
      <c r="F47" s="490">
        <v>47</v>
      </c>
      <c r="G47" s="491">
        <f t="shared" si="0"/>
        <v>0</v>
      </c>
      <c r="H47" s="492">
        <f t="shared" si="6"/>
        <v>0</v>
      </c>
      <c r="I47" s="493" t="s">
        <v>881</v>
      </c>
      <c r="J47" s="492">
        <f t="shared" si="7"/>
        <v>0</v>
      </c>
    </row>
    <row r="48" spans="1:10">
      <c r="A48" s="354" t="s">
        <v>48</v>
      </c>
      <c r="B48" s="494"/>
      <c r="C48" s="489">
        <v>4</v>
      </c>
      <c r="D48" s="487" t="s">
        <v>865</v>
      </c>
      <c r="E48" s="487"/>
      <c r="F48" s="490">
        <v>47</v>
      </c>
      <c r="G48" s="491">
        <f t="shared" ref="G48" si="8">VLOOKUP(D48,$G$3:$H$11,2,FALSE)</f>
        <v>0</v>
      </c>
      <c r="H48" s="492">
        <f t="shared" ref="H48" si="9">(F48*G48)</f>
        <v>0</v>
      </c>
      <c r="I48" s="493" t="s">
        <v>881</v>
      </c>
      <c r="J48" s="492">
        <f t="shared" si="7"/>
        <v>0</v>
      </c>
    </row>
    <row r="49" spans="1:10">
      <c r="A49" s="354" t="s">
        <v>49</v>
      </c>
      <c r="B49" s="494"/>
      <c r="C49" s="489">
        <v>4</v>
      </c>
      <c r="D49" s="485" t="s">
        <v>864</v>
      </c>
      <c r="E49" s="485"/>
      <c r="F49" s="490">
        <v>138</v>
      </c>
      <c r="G49" s="491">
        <f>VLOOKUP(D49,$G$3:$H$11,2,FALSE)</f>
        <v>0</v>
      </c>
      <c r="H49" s="492">
        <f>(F49*G49)</f>
        <v>0</v>
      </c>
      <c r="I49" s="493" t="s">
        <v>881</v>
      </c>
      <c r="J49" s="492">
        <f t="shared" si="7"/>
        <v>0</v>
      </c>
    </row>
    <row r="50" spans="1:10">
      <c r="A50" s="354" t="s">
        <v>49</v>
      </c>
      <c r="B50" s="494"/>
      <c r="C50" s="489">
        <v>4</v>
      </c>
      <c r="D50" s="485" t="s">
        <v>865</v>
      </c>
      <c r="E50" s="485"/>
      <c r="F50" s="490">
        <v>138</v>
      </c>
      <c r="G50" s="491">
        <f t="shared" ref="G50:G111" si="10">VLOOKUP(D50,$G$3:$H$11,2,FALSE)</f>
        <v>0</v>
      </c>
      <c r="H50" s="492">
        <f t="shared" ref="H50:H111" si="11">(F50*G50)</f>
        <v>0</v>
      </c>
      <c r="I50" s="493" t="s">
        <v>881</v>
      </c>
      <c r="J50" s="492">
        <f t="shared" ref="J50:J111" si="12">I50*H50</f>
        <v>0</v>
      </c>
    </row>
    <row r="51" spans="1:10">
      <c r="A51" s="354" t="s">
        <v>49</v>
      </c>
      <c r="B51" s="494"/>
      <c r="C51" s="489">
        <v>4</v>
      </c>
      <c r="D51" s="485" t="s">
        <v>866</v>
      </c>
      <c r="E51" s="485"/>
      <c r="F51" s="490">
        <v>3</v>
      </c>
      <c r="G51" s="491">
        <f t="shared" si="10"/>
        <v>0</v>
      </c>
      <c r="H51" s="492">
        <f t="shared" si="11"/>
        <v>0</v>
      </c>
      <c r="I51" s="493" t="s">
        <v>881</v>
      </c>
      <c r="J51" s="492">
        <f t="shared" si="12"/>
        <v>0</v>
      </c>
    </row>
    <row r="52" spans="1:10">
      <c r="A52" s="354" t="s">
        <v>50</v>
      </c>
      <c r="B52" s="494"/>
      <c r="C52" s="489">
        <v>4</v>
      </c>
      <c r="D52" s="485" t="s">
        <v>864</v>
      </c>
      <c r="E52" s="485"/>
      <c r="F52" s="490">
        <v>94</v>
      </c>
      <c r="G52" s="491">
        <f t="shared" si="10"/>
        <v>0</v>
      </c>
      <c r="H52" s="492">
        <f t="shared" si="11"/>
        <v>0</v>
      </c>
      <c r="I52" s="493" t="s">
        <v>881</v>
      </c>
      <c r="J52" s="492">
        <f t="shared" si="12"/>
        <v>0</v>
      </c>
    </row>
    <row r="53" spans="1:10">
      <c r="A53" s="354" t="s">
        <v>50</v>
      </c>
      <c r="B53" s="494"/>
      <c r="C53" s="489">
        <v>4</v>
      </c>
      <c r="D53" s="485" t="s">
        <v>865</v>
      </c>
      <c r="E53" s="485"/>
      <c r="F53" s="490">
        <v>94</v>
      </c>
      <c r="G53" s="491">
        <f t="shared" si="10"/>
        <v>0</v>
      </c>
      <c r="H53" s="492">
        <f t="shared" si="11"/>
        <v>0</v>
      </c>
      <c r="I53" s="493" t="s">
        <v>881</v>
      </c>
      <c r="J53" s="492">
        <f t="shared" si="12"/>
        <v>0</v>
      </c>
    </row>
    <row r="54" spans="1:10">
      <c r="A54" s="354" t="s">
        <v>51</v>
      </c>
      <c r="B54" s="494"/>
      <c r="C54" s="489">
        <v>4</v>
      </c>
      <c r="D54" s="485" t="s">
        <v>864</v>
      </c>
      <c r="E54" s="485"/>
      <c r="F54" s="490">
        <v>121</v>
      </c>
      <c r="G54" s="491">
        <f t="shared" si="10"/>
        <v>0</v>
      </c>
      <c r="H54" s="492">
        <f t="shared" si="11"/>
        <v>0</v>
      </c>
      <c r="I54" s="493" t="s">
        <v>881</v>
      </c>
      <c r="J54" s="492">
        <f t="shared" si="12"/>
        <v>0</v>
      </c>
    </row>
    <row r="55" spans="1:10">
      <c r="A55" s="354" t="s">
        <v>51</v>
      </c>
      <c r="B55" s="494"/>
      <c r="C55" s="489">
        <v>4</v>
      </c>
      <c r="D55" s="485" t="s">
        <v>865</v>
      </c>
      <c r="E55" s="485"/>
      <c r="F55" s="490">
        <v>121</v>
      </c>
      <c r="G55" s="491">
        <f t="shared" si="10"/>
        <v>0</v>
      </c>
      <c r="H55" s="492">
        <f t="shared" si="11"/>
        <v>0</v>
      </c>
      <c r="I55" s="493" t="s">
        <v>881</v>
      </c>
      <c r="J55" s="492">
        <f t="shared" si="12"/>
        <v>0</v>
      </c>
    </row>
    <row r="56" spans="1:10">
      <c r="A56" s="354" t="s">
        <v>51</v>
      </c>
      <c r="B56" s="494"/>
      <c r="C56" s="489">
        <v>4</v>
      </c>
      <c r="D56" s="485" t="s">
        <v>867</v>
      </c>
      <c r="E56" s="485"/>
      <c r="F56" s="490">
        <v>28</v>
      </c>
      <c r="G56" s="491">
        <f t="shared" si="10"/>
        <v>0</v>
      </c>
      <c r="H56" s="492">
        <f t="shared" si="11"/>
        <v>0</v>
      </c>
      <c r="I56" s="493" t="s">
        <v>883</v>
      </c>
      <c r="J56" s="492">
        <f t="shared" si="12"/>
        <v>0</v>
      </c>
    </row>
    <row r="57" spans="1:10">
      <c r="A57" s="354" t="s">
        <v>52</v>
      </c>
      <c r="B57" s="494"/>
      <c r="C57" s="489">
        <v>4</v>
      </c>
      <c r="D57" s="485" t="s">
        <v>864</v>
      </c>
      <c r="E57" s="485"/>
      <c r="F57" s="490">
        <v>51</v>
      </c>
      <c r="G57" s="491">
        <f t="shared" si="10"/>
        <v>0</v>
      </c>
      <c r="H57" s="492">
        <f t="shared" si="11"/>
        <v>0</v>
      </c>
      <c r="I57" s="493" t="s">
        <v>881</v>
      </c>
      <c r="J57" s="492">
        <f t="shared" si="12"/>
        <v>0</v>
      </c>
    </row>
    <row r="58" spans="1:10">
      <c r="A58" s="354" t="s">
        <v>52</v>
      </c>
      <c r="B58" s="494"/>
      <c r="C58" s="489">
        <v>4</v>
      </c>
      <c r="D58" s="485" t="s">
        <v>865</v>
      </c>
      <c r="E58" s="485"/>
      <c r="F58" s="490">
        <v>51</v>
      </c>
      <c r="G58" s="491">
        <f t="shared" si="10"/>
        <v>0</v>
      </c>
      <c r="H58" s="492">
        <f t="shared" si="11"/>
        <v>0</v>
      </c>
      <c r="I58" s="493" t="s">
        <v>881</v>
      </c>
      <c r="J58" s="492">
        <f t="shared" si="12"/>
        <v>0</v>
      </c>
    </row>
    <row r="59" spans="1:10">
      <c r="A59" s="354" t="s">
        <v>52</v>
      </c>
      <c r="B59" s="494"/>
      <c r="C59" s="489">
        <v>4</v>
      </c>
      <c r="D59" s="485" t="s">
        <v>866</v>
      </c>
      <c r="E59" s="485"/>
      <c r="F59" s="490">
        <v>25</v>
      </c>
      <c r="G59" s="491">
        <f t="shared" si="10"/>
        <v>0</v>
      </c>
      <c r="H59" s="492">
        <f t="shared" si="11"/>
        <v>0</v>
      </c>
      <c r="I59" s="493" t="s">
        <v>881</v>
      </c>
      <c r="J59" s="492">
        <f t="shared" si="12"/>
        <v>0</v>
      </c>
    </row>
    <row r="60" spans="1:10">
      <c r="A60" s="354" t="s">
        <v>53</v>
      </c>
      <c r="B60" s="494"/>
      <c r="C60" s="489">
        <v>4</v>
      </c>
      <c r="D60" s="485" t="s">
        <v>864</v>
      </c>
      <c r="E60" s="485"/>
      <c r="F60" s="490">
        <v>12</v>
      </c>
      <c r="G60" s="491">
        <f t="shared" si="10"/>
        <v>0</v>
      </c>
      <c r="H60" s="492">
        <f t="shared" si="11"/>
        <v>0</v>
      </c>
      <c r="I60" s="493" t="s">
        <v>881</v>
      </c>
      <c r="J60" s="492">
        <f t="shared" si="12"/>
        <v>0</v>
      </c>
    </row>
    <row r="61" spans="1:10">
      <c r="A61" s="354" t="s">
        <v>53</v>
      </c>
      <c r="B61" s="494"/>
      <c r="C61" s="489">
        <v>4</v>
      </c>
      <c r="D61" s="485" t="s">
        <v>865</v>
      </c>
      <c r="E61" s="485"/>
      <c r="F61" s="490">
        <v>20</v>
      </c>
      <c r="G61" s="491">
        <f t="shared" si="10"/>
        <v>0</v>
      </c>
      <c r="H61" s="492">
        <f t="shared" si="11"/>
        <v>0</v>
      </c>
      <c r="I61" s="493" t="s">
        <v>881</v>
      </c>
      <c r="J61" s="492">
        <f t="shared" si="12"/>
        <v>0</v>
      </c>
    </row>
    <row r="62" spans="1:10">
      <c r="A62" s="354" t="s">
        <v>53</v>
      </c>
      <c r="B62" s="494"/>
      <c r="C62" s="489">
        <v>4</v>
      </c>
      <c r="D62" s="485" t="s">
        <v>866</v>
      </c>
      <c r="E62" s="485"/>
      <c r="F62" s="490">
        <v>125</v>
      </c>
      <c r="G62" s="491">
        <f t="shared" si="10"/>
        <v>0</v>
      </c>
      <c r="H62" s="492">
        <f t="shared" si="11"/>
        <v>0</v>
      </c>
      <c r="I62" s="493" t="s">
        <v>881</v>
      </c>
      <c r="J62" s="492">
        <f t="shared" si="12"/>
        <v>0</v>
      </c>
    </row>
    <row r="63" spans="1:10">
      <c r="A63" s="354" t="s">
        <v>54</v>
      </c>
      <c r="B63" s="494"/>
      <c r="C63" s="489">
        <v>4</v>
      </c>
      <c r="D63" s="485" t="s">
        <v>864</v>
      </c>
      <c r="E63" s="485"/>
      <c r="F63" s="490">
        <v>60</v>
      </c>
      <c r="G63" s="491">
        <f t="shared" si="10"/>
        <v>0</v>
      </c>
      <c r="H63" s="492">
        <f t="shared" si="11"/>
        <v>0</v>
      </c>
      <c r="I63" s="493" t="s">
        <v>881</v>
      </c>
      <c r="J63" s="492">
        <f t="shared" si="12"/>
        <v>0</v>
      </c>
    </row>
    <row r="64" spans="1:10">
      <c r="A64" s="354" t="s">
        <v>54</v>
      </c>
      <c r="B64" s="494"/>
      <c r="C64" s="489">
        <v>4</v>
      </c>
      <c r="D64" s="485" t="s">
        <v>865</v>
      </c>
      <c r="E64" s="485"/>
      <c r="F64" s="490">
        <v>60</v>
      </c>
      <c r="G64" s="491">
        <f t="shared" si="10"/>
        <v>0</v>
      </c>
      <c r="H64" s="492">
        <f t="shared" si="11"/>
        <v>0</v>
      </c>
      <c r="I64" s="493" t="s">
        <v>881</v>
      </c>
      <c r="J64" s="492">
        <f t="shared" si="12"/>
        <v>0</v>
      </c>
    </row>
    <row r="65" spans="1:10">
      <c r="A65" s="354" t="s">
        <v>54</v>
      </c>
      <c r="B65" s="494"/>
      <c r="C65" s="489">
        <v>4</v>
      </c>
      <c r="D65" s="485" t="s">
        <v>867</v>
      </c>
      <c r="E65" s="485"/>
      <c r="F65" s="490">
        <v>4</v>
      </c>
      <c r="G65" s="491">
        <f t="shared" si="10"/>
        <v>0</v>
      </c>
      <c r="H65" s="492">
        <f t="shared" si="11"/>
        <v>0</v>
      </c>
      <c r="I65" s="493" t="s">
        <v>883</v>
      </c>
      <c r="J65" s="492">
        <f t="shared" si="12"/>
        <v>0</v>
      </c>
    </row>
    <row r="66" spans="1:10">
      <c r="A66" s="354" t="s">
        <v>55</v>
      </c>
      <c r="B66" s="494"/>
      <c r="C66" s="489">
        <v>4</v>
      </c>
      <c r="D66" s="485" t="s">
        <v>864</v>
      </c>
      <c r="E66" s="485"/>
      <c r="F66" s="490">
        <v>53</v>
      </c>
      <c r="G66" s="491">
        <f t="shared" si="10"/>
        <v>0</v>
      </c>
      <c r="H66" s="492">
        <f t="shared" si="11"/>
        <v>0</v>
      </c>
      <c r="I66" s="493" t="s">
        <v>881</v>
      </c>
      <c r="J66" s="492">
        <f t="shared" si="12"/>
        <v>0</v>
      </c>
    </row>
    <row r="67" spans="1:10">
      <c r="A67" s="354" t="s">
        <v>55</v>
      </c>
      <c r="B67" s="494"/>
      <c r="C67" s="489">
        <v>4</v>
      </c>
      <c r="D67" s="485" t="s">
        <v>865</v>
      </c>
      <c r="E67" s="485"/>
      <c r="F67" s="490">
        <v>53</v>
      </c>
      <c r="G67" s="491">
        <f t="shared" si="10"/>
        <v>0</v>
      </c>
      <c r="H67" s="492">
        <f t="shared" si="11"/>
        <v>0</v>
      </c>
      <c r="I67" s="493" t="s">
        <v>881</v>
      </c>
      <c r="J67" s="492">
        <f t="shared" si="12"/>
        <v>0</v>
      </c>
    </row>
    <row r="68" spans="1:10">
      <c r="A68" s="354" t="s">
        <v>56</v>
      </c>
      <c r="B68" s="494"/>
      <c r="C68" s="489">
        <v>4</v>
      </c>
      <c r="D68" s="485" t="s">
        <v>864</v>
      </c>
      <c r="E68" s="485"/>
      <c r="F68" s="490">
        <v>26</v>
      </c>
      <c r="G68" s="491">
        <f t="shared" si="10"/>
        <v>0</v>
      </c>
      <c r="H68" s="492">
        <f t="shared" si="11"/>
        <v>0</v>
      </c>
      <c r="I68" s="493" t="s">
        <v>881</v>
      </c>
      <c r="J68" s="492">
        <f t="shared" si="12"/>
        <v>0</v>
      </c>
    </row>
    <row r="69" spans="1:10">
      <c r="A69" s="354" t="s">
        <v>56</v>
      </c>
      <c r="B69" s="494"/>
      <c r="C69" s="489">
        <v>4</v>
      </c>
      <c r="D69" s="485" t="s">
        <v>865</v>
      </c>
      <c r="E69" s="485"/>
      <c r="F69" s="490">
        <v>26</v>
      </c>
      <c r="G69" s="491">
        <f t="shared" si="10"/>
        <v>0</v>
      </c>
      <c r="H69" s="492">
        <f t="shared" si="11"/>
        <v>0</v>
      </c>
      <c r="I69" s="493" t="s">
        <v>881</v>
      </c>
      <c r="J69" s="492">
        <f t="shared" si="12"/>
        <v>0</v>
      </c>
    </row>
    <row r="70" spans="1:10">
      <c r="A70" s="354" t="s">
        <v>58</v>
      </c>
      <c r="B70" s="494"/>
      <c r="C70" s="489">
        <v>4</v>
      </c>
      <c r="D70" s="485" t="s">
        <v>864</v>
      </c>
      <c r="E70" s="485"/>
      <c r="F70" s="490">
        <v>104</v>
      </c>
      <c r="G70" s="491">
        <f t="shared" si="10"/>
        <v>0</v>
      </c>
      <c r="H70" s="492">
        <f t="shared" si="11"/>
        <v>0</v>
      </c>
      <c r="I70" s="493" t="s">
        <v>881</v>
      </c>
      <c r="J70" s="492">
        <f t="shared" si="12"/>
        <v>0</v>
      </c>
    </row>
    <row r="71" spans="1:10">
      <c r="A71" s="354" t="s">
        <v>58</v>
      </c>
      <c r="B71" s="494"/>
      <c r="C71" s="489">
        <v>4</v>
      </c>
      <c r="D71" s="485" t="s">
        <v>865</v>
      </c>
      <c r="E71" s="485"/>
      <c r="F71" s="490">
        <v>104</v>
      </c>
      <c r="G71" s="491">
        <f t="shared" si="10"/>
        <v>0</v>
      </c>
      <c r="H71" s="492">
        <f t="shared" si="11"/>
        <v>0</v>
      </c>
      <c r="I71" s="493" t="s">
        <v>881</v>
      </c>
      <c r="J71" s="492">
        <f t="shared" si="12"/>
        <v>0</v>
      </c>
    </row>
    <row r="72" spans="1:10">
      <c r="A72" s="354" t="s">
        <v>59</v>
      </c>
      <c r="B72" s="494"/>
      <c r="C72" s="489">
        <v>4</v>
      </c>
      <c r="D72" s="485" t="s">
        <v>864</v>
      </c>
      <c r="E72" s="485"/>
      <c r="F72" s="490">
        <v>83</v>
      </c>
      <c r="G72" s="491">
        <f t="shared" si="10"/>
        <v>0</v>
      </c>
      <c r="H72" s="492">
        <f t="shared" si="11"/>
        <v>0</v>
      </c>
      <c r="I72" s="493" t="s">
        <v>881</v>
      </c>
      <c r="J72" s="492">
        <f t="shared" si="12"/>
        <v>0</v>
      </c>
    </row>
    <row r="73" spans="1:10">
      <c r="A73" s="354" t="s">
        <v>59</v>
      </c>
      <c r="B73" s="494"/>
      <c r="C73" s="489">
        <v>4</v>
      </c>
      <c r="D73" s="485" t="s">
        <v>865</v>
      </c>
      <c r="E73" s="485"/>
      <c r="F73" s="490">
        <v>83</v>
      </c>
      <c r="G73" s="491">
        <f t="shared" si="10"/>
        <v>0</v>
      </c>
      <c r="H73" s="492">
        <f t="shared" si="11"/>
        <v>0</v>
      </c>
      <c r="I73" s="493" t="s">
        <v>881</v>
      </c>
      <c r="J73" s="492">
        <f t="shared" si="12"/>
        <v>0</v>
      </c>
    </row>
    <row r="74" spans="1:10">
      <c r="A74" s="354" t="s">
        <v>59</v>
      </c>
      <c r="B74" s="494"/>
      <c r="C74" s="489">
        <v>4</v>
      </c>
      <c r="D74" s="485" t="s">
        <v>866</v>
      </c>
      <c r="E74" s="485"/>
      <c r="F74" s="490">
        <v>10</v>
      </c>
      <c r="G74" s="491">
        <f t="shared" si="10"/>
        <v>0</v>
      </c>
      <c r="H74" s="492">
        <f t="shared" si="11"/>
        <v>0</v>
      </c>
      <c r="I74" s="493" t="s">
        <v>881</v>
      </c>
      <c r="J74" s="492">
        <f t="shared" si="12"/>
        <v>0</v>
      </c>
    </row>
    <row r="75" spans="1:10">
      <c r="A75" s="354" t="s">
        <v>59</v>
      </c>
      <c r="B75" s="494"/>
      <c r="C75" s="489"/>
      <c r="D75" s="485" t="s">
        <v>885</v>
      </c>
      <c r="E75" s="485"/>
      <c r="F75" s="496"/>
      <c r="G75" s="491"/>
      <c r="H75" s="497"/>
      <c r="I75" s="493" t="s">
        <v>886</v>
      </c>
      <c r="J75" s="492">
        <f>F75*H75*I75</f>
        <v>0</v>
      </c>
    </row>
    <row r="76" spans="1:10">
      <c r="A76" s="354" t="s">
        <v>60</v>
      </c>
      <c r="B76" s="494"/>
      <c r="C76" s="489">
        <v>4</v>
      </c>
      <c r="D76" s="485" t="s">
        <v>864</v>
      </c>
      <c r="E76" s="485"/>
      <c r="F76" s="490">
        <v>249.70000000000002</v>
      </c>
      <c r="G76" s="491">
        <f t="shared" si="10"/>
        <v>0</v>
      </c>
      <c r="H76" s="492">
        <f t="shared" si="11"/>
        <v>0</v>
      </c>
      <c r="I76" s="493" t="s">
        <v>881</v>
      </c>
      <c r="J76" s="492">
        <f t="shared" si="12"/>
        <v>0</v>
      </c>
    </row>
    <row r="77" spans="1:10">
      <c r="A77" s="354" t="s">
        <v>60</v>
      </c>
      <c r="B77" s="494"/>
      <c r="C77" s="489">
        <v>4</v>
      </c>
      <c r="D77" s="485" t="s">
        <v>865</v>
      </c>
      <c r="E77" s="485"/>
      <c r="F77" s="490">
        <v>249.70000000000002</v>
      </c>
      <c r="G77" s="491">
        <f t="shared" si="10"/>
        <v>0</v>
      </c>
      <c r="H77" s="492">
        <f t="shared" si="11"/>
        <v>0</v>
      </c>
      <c r="I77" s="493" t="s">
        <v>881</v>
      </c>
      <c r="J77" s="492">
        <f t="shared" si="12"/>
        <v>0</v>
      </c>
    </row>
    <row r="78" spans="1:10">
      <c r="A78" s="354" t="s">
        <v>60</v>
      </c>
      <c r="B78" s="494"/>
      <c r="C78" s="489">
        <v>4</v>
      </c>
      <c r="D78" s="485" t="s">
        <v>866</v>
      </c>
      <c r="E78" s="485"/>
      <c r="F78" s="490">
        <v>244.8</v>
      </c>
      <c r="G78" s="491">
        <f t="shared" si="10"/>
        <v>0</v>
      </c>
      <c r="H78" s="492">
        <f t="shared" si="11"/>
        <v>0</v>
      </c>
      <c r="I78" s="493" t="s">
        <v>881</v>
      </c>
      <c r="J78" s="492">
        <f t="shared" si="12"/>
        <v>0</v>
      </c>
    </row>
    <row r="79" spans="1:10">
      <c r="A79" s="354" t="s">
        <v>61</v>
      </c>
      <c r="B79" s="494"/>
      <c r="C79" s="489">
        <v>4</v>
      </c>
      <c r="D79" s="485" t="s">
        <v>864</v>
      </c>
      <c r="E79" s="485"/>
      <c r="F79" s="490">
        <v>66</v>
      </c>
      <c r="G79" s="491">
        <f t="shared" si="10"/>
        <v>0</v>
      </c>
      <c r="H79" s="492">
        <f t="shared" si="11"/>
        <v>0</v>
      </c>
      <c r="I79" s="493" t="s">
        <v>881</v>
      </c>
      <c r="J79" s="492">
        <f t="shared" si="12"/>
        <v>0</v>
      </c>
    </row>
    <row r="80" spans="1:10">
      <c r="A80" s="354" t="s">
        <v>61</v>
      </c>
      <c r="B80" s="494"/>
      <c r="C80" s="489">
        <v>4</v>
      </c>
      <c r="D80" s="485" t="s">
        <v>865</v>
      </c>
      <c r="E80" s="485"/>
      <c r="F80" s="490">
        <v>66</v>
      </c>
      <c r="G80" s="491">
        <f t="shared" si="10"/>
        <v>0</v>
      </c>
      <c r="H80" s="492">
        <f t="shared" si="11"/>
        <v>0</v>
      </c>
      <c r="I80" s="493" t="s">
        <v>881</v>
      </c>
      <c r="J80" s="492">
        <f t="shared" si="12"/>
        <v>0</v>
      </c>
    </row>
    <row r="81" spans="1:10">
      <c r="A81" s="354" t="s">
        <v>62</v>
      </c>
      <c r="B81" s="494"/>
      <c r="C81" s="489">
        <v>4</v>
      </c>
      <c r="D81" s="485" t="s">
        <v>864</v>
      </c>
      <c r="E81" s="485"/>
      <c r="F81" s="490">
        <v>38</v>
      </c>
      <c r="G81" s="491">
        <f t="shared" si="10"/>
        <v>0</v>
      </c>
      <c r="H81" s="492">
        <f t="shared" si="11"/>
        <v>0</v>
      </c>
      <c r="I81" s="493" t="s">
        <v>881</v>
      </c>
      <c r="J81" s="492">
        <f t="shared" si="12"/>
        <v>0</v>
      </c>
    </row>
    <row r="82" spans="1:10">
      <c r="A82" s="354" t="s">
        <v>62</v>
      </c>
      <c r="B82" s="494"/>
      <c r="C82" s="489">
        <v>4</v>
      </c>
      <c r="D82" s="485" t="s">
        <v>865</v>
      </c>
      <c r="E82" s="485"/>
      <c r="F82" s="490">
        <v>38</v>
      </c>
      <c r="G82" s="491">
        <f t="shared" si="10"/>
        <v>0</v>
      </c>
      <c r="H82" s="492">
        <f t="shared" si="11"/>
        <v>0</v>
      </c>
      <c r="I82" s="493" t="s">
        <v>881</v>
      </c>
      <c r="J82" s="492">
        <f t="shared" si="12"/>
        <v>0</v>
      </c>
    </row>
    <row r="83" spans="1:10">
      <c r="A83" s="354" t="s">
        <v>62</v>
      </c>
      <c r="B83" s="494"/>
      <c r="C83" s="489">
        <v>4</v>
      </c>
      <c r="D83" s="485" t="s">
        <v>866</v>
      </c>
      <c r="E83" s="485"/>
      <c r="F83" s="490">
        <v>3</v>
      </c>
      <c r="G83" s="491">
        <f t="shared" si="10"/>
        <v>0</v>
      </c>
      <c r="H83" s="492">
        <f t="shared" si="11"/>
        <v>0</v>
      </c>
      <c r="I83" s="493" t="s">
        <v>881</v>
      </c>
      <c r="J83" s="492">
        <f t="shared" si="12"/>
        <v>0</v>
      </c>
    </row>
    <row r="84" spans="1:10">
      <c r="A84" s="354" t="s">
        <v>63</v>
      </c>
      <c r="B84" s="494"/>
      <c r="C84" s="489">
        <v>4</v>
      </c>
      <c r="D84" s="485" t="s">
        <v>867</v>
      </c>
      <c r="E84" s="485"/>
      <c r="F84" s="490">
        <v>10</v>
      </c>
      <c r="G84" s="491">
        <f t="shared" si="10"/>
        <v>0</v>
      </c>
      <c r="H84" s="492">
        <f t="shared" si="11"/>
        <v>0</v>
      </c>
      <c r="I84" s="493" t="s">
        <v>883</v>
      </c>
      <c r="J84" s="492">
        <f t="shared" si="12"/>
        <v>0</v>
      </c>
    </row>
    <row r="85" spans="1:10">
      <c r="A85" s="354" t="s">
        <v>64</v>
      </c>
      <c r="B85" s="494"/>
      <c r="C85" s="489">
        <v>4</v>
      </c>
      <c r="D85" s="485" t="s">
        <v>864</v>
      </c>
      <c r="E85" s="485"/>
      <c r="F85" s="490">
        <v>41</v>
      </c>
      <c r="G85" s="491">
        <f t="shared" si="10"/>
        <v>0</v>
      </c>
      <c r="H85" s="492">
        <f t="shared" si="11"/>
        <v>0</v>
      </c>
      <c r="I85" s="493" t="s">
        <v>881</v>
      </c>
      <c r="J85" s="492">
        <f t="shared" si="12"/>
        <v>0</v>
      </c>
    </row>
    <row r="86" spans="1:10">
      <c r="A86" s="354" t="s">
        <v>64</v>
      </c>
      <c r="B86" s="494"/>
      <c r="C86" s="489">
        <v>4</v>
      </c>
      <c r="D86" s="485" t="s">
        <v>865</v>
      </c>
      <c r="E86" s="485"/>
      <c r="F86" s="490">
        <v>41</v>
      </c>
      <c r="G86" s="491">
        <f t="shared" si="10"/>
        <v>0</v>
      </c>
      <c r="H86" s="492">
        <f t="shared" si="11"/>
        <v>0</v>
      </c>
      <c r="I86" s="493" t="s">
        <v>881</v>
      </c>
      <c r="J86" s="492">
        <f t="shared" si="12"/>
        <v>0</v>
      </c>
    </row>
    <row r="87" spans="1:10">
      <c r="A87" s="354" t="s">
        <v>64</v>
      </c>
      <c r="B87" s="494"/>
      <c r="C87" s="489">
        <v>4</v>
      </c>
      <c r="D87" s="485" t="s">
        <v>866</v>
      </c>
      <c r="E87" s="485"/>
      <c r="F87" s="490">
        <v>10</v>
      </c>
      <c r="G87" s="491">
        <f t="shared" si="10"/>
        <v>0</v>
      </c>
      <c r="H87" s="492">
        <f t="shared" si="11"/>
        <v>0</v>
      </c>
      <c r="I87" s="493" t="s">
        <v>881</v>
      </c>
      <c r="J87" s="492">
        <f t="shared" si="12"/>
        <v>0</v>
      </c>
    </row>
    <row r="88" spans="1:10">
      <c r="A88" s="354" t="s">
        <v>64</v>
      </c>
      <c r="B88" s="494"/>
      <c r="C88" s="489">
        <v>4</v>
      </c>
      <c r="D88" s="485" t="s">
        <v>867</v>
      </c>
      <c r="E88" s="485"/>
      <c r="F88" s="490">
        <v>4</v>
      </c>
      <c r="G88" s="491">
        <f t="shared" si="10"/>
        <v>0</v>
      </c>
      <c r="H88" s="492">
        <f t="shared" si="11"/>
        <v>0</v>
      </c>
      <c r="I88" s="493" t="s">
        <v>883</v>
      </c>
      <c r="J88" s="492">
        <f t="shared" si="12"/>
        <v>0</v>
      </c>
    </row>
    <row r="89" spans="1:10">
      <c r="A89" s="354" t="s">
        <v>65</v>
      </c>
      <c r="B89" s="494"/>
      <c r="C89" s="489">
        <v>4</v>
      </c>
      <c r="D89" s="485" t="s">
        <v>864</v>
      </c>
      <c r="E89" s="485"/>
      <c r="F89" s="490">
        <v>86</v>
      </c>
      <c r="G89" s="491">
        <f t="shared" si="10"/>
        <v>0</v>
      </c>
      <c r="H89" s="492">
        <f t="shared" si="11"/>
        <v>0</v>
      </c>
      <c r="I89" s="493" t="s">
        <v>881</v>
      </c>
      <c r="J89" s="492">
        <f t="shared" si="12"/>
        <v>0</v>
      </c>
    </row>
    <row r="90" spans="1:10">
      <c r="A90" s="354" t="s">
        <v>65</v>
      </c>
      <c r="B90" s="494"/>
      <c r="C90" s="489">
        <v>4</v>
      </c>
      <c r="D90" s="485" t="s">
        <v>865</v>
      </c>
      <c r="E90" s="485"/>
      <c r="F90" s="490">
        <v>86</v>
      </c>
      <c r="G90" s="491">
        <f t="shared" si="10"/>
        <v>0</v>
      </c>
      <c r="H90" s="492">
        <f t="shared" si="11"/>
        <v>0</v>
      </c>
      <c r="I90" s="493" t="s">
        <v>881</v>
      </c>
      <c r="J90" s="492">
        <f t="shared" si="12"/>
        <v>0</v>
      </c>
    </row>
    <row r="91" spans="1:10">
      <c r="A91" s="354" t="s">
        <v>65</v>
      </c>
      <c r="B91" s="494"/>
      <c r="C91" s="489">
        <v>4</v>
      </c>
      <c r="D91" s="485" t="s">
        <v>867</v>
      </c>
      <c r="E91" s="485"/>
      <c r="F91" s="490">
        <v>12</v>
      </c>
      <c r="G91" s="491">
        <f t="shared" si="10"/>
        <v>0</v>
      </c>
      <c r="H91" s="492">
        <f t="shared" si="11"/>
        <v>0</v>
      </c>
      <c r="I91" s="493" t="s">
        <v>883</v>
      </c>
      <c r="J91" s="492">
        <f t="shared" si="12"/>
        <v>0</v>
      </c>
    </row>
    <row r="92" spans="1:10">
      <c r="A92" s="354" t="s">
        <v>66</v>
      </c>
      <c r="B92" s="494"/>
      <c r="C92" s="489">
        <v>4</v>
      </c>
      <c r="D92" s="485" t="s">
        <v>864</v>
      </c>
      <c r="E92" s="485"/>
      <c r="F92" s="490">
        <v>550</v>
      </c>
      <c r="G92" s="491">
        <f t="shared" si="10"/>
        <v>0</v>
      </c>
      <c r="H92" s="492">
        <f t="shared" si="11"/>
        <v>0</v>
      </c>
      <c r="I92" s="493" t="s">
        <v>881</v>
      </c>
      <c r="J92" s="492">
        <f t="shared" si="12"/>
        <v>0</v>
      </c>
    </row>
    <row r="93" spans="1:10">
      <c r="A93" s="354" t="s">
        <v>66</v>
      </c>
      <c r="B93" s="494"/>
      <c r="C93" s="489">
        <v>4</v>
      </c>
      <c r="D93" s="485" t="s">
        <v>865</v>
      </c>
      <c r="E93" s="485"/>
      <c r="F93" s="490">
        <v>550</v>
      </c>
      <c r="G93" s="491">
        <f t="shared" si="10"/>
        <v>0</v>
      </c>
      <c r="H93" s="492">
        <f t="shared" si="11"/>
        <v>0</v>
      </c>
      <c r="I93" s="493" t="s">
        <v>881</v>
      </c>
      <c r="J93" s="492">
        <f t="shared" si="12"/>
        <v>0</v>
      </c>
    </row>
    <row r="94" spans="1:10">
      <c r="A94" s="494" t="s">
        <v>67</v>
      </c>
      <c r="B94" s="494"/>
      <c r="C94" s="489">
        <v>4</v>
      </c>
      <c r="D94" s="485" t="s">
        <v>864</v>
      </c>
      <c r="E94" s="485"/>
      <c r="F94" s="490">
        <v>176.5</v>
      </c>
      <c r="G94" s="491">
        <f t="shared" si="10"/>
        <v>0</v>
      </c>
      <c r="H94" s="492">
        <f t="shared" si="11"/>
        <v>0</v>
      </c>
      <c r="I94" s="493" t="s">
        <v>886</v>
      </c>
      <c r="J94" s="492">
        <f t="shared" si="12"/>
        <v>0</v>
      </c>
    </row>
    <row r="95" spans="1:10">
      <c r="A95" s="494" t="s">
        <v>67</v>
      </c>
      <c r="B95" s="494"/>
      <c r="C95" s="489">
        <v>4</v>
      </c>
      <c r="D95" s="485" t="s">
        <v>865</v>
      </c>
      <c r="E95" s="485"/>
      <c r="F95" s="490">
        <v>177</v>
      </c>
      <c r="G95" s="491">
        <f t="shared" si="10"/>
        <v>0</v>
      </c>
      <c r="H95" s="492">
        <f t="shared" si="11"/>
        <v>0</v>
      </c>
      <c r="I95" s="493" t="s">
        <v>886</v>
      </c>
      <c r="J95" s="492">
        <f t="shared" si="12"/>
        <v>0</v>
      </c>
    </row>
    <row r="96" spans="1:10">
      <c r="A96" s="494" t="s">
        <v>67</v>
      </c>
      <c r="B96" s="494"/>
      <c r="C96" s="489">
        <v>4</v>
      </c>
      <c r="D96" s="485" t="s">
        <v>866</v>
      </c>
      <c r="E96" s="485"/>
      <c r="F96" s="490">
        <v>72</v>
      </c>
      <c r="G96" s="491">
        <f t="shared" si="10"/>
        <v>0</v>
      </c>
      <c r="H96" s="492">
        <f t="shared" si="11"/>
        <v>0</v>
      </c>
      <c r="I96" s="493" t="s">
        <v>886</v>
      </c>
      <c r="J96" s="492">
        <f t="shared" si="12"/>
        <v>0</v>
      </c>
    </row>
    <row r="97" spans="1:10">
      <c r="A97" s="494" t="s">
        <v>67</v>
      </c>
      <c r="B97" s="494"/>
      <c r="C97" s="489"/>
      <c r="D97" s="485" t="s">
        <v>885</v>
      </c>
      <c r="E97" s="485"/>
      <c r="F97" s="496"/>
      <c r="G97" s="491"/>
      <c r="H97" s="497"/>
      <c r="I97" s="493" t="s">
        <v>886</v>
      </c>
      <c r="J97" s="492">
        <f>F97*H97*I97</f>
        <v>0</v>
      </c>
    </row>
    <row r="98" spans="1:10">
      <c r="A98" s="494" t="s">
        <v>68</v>
      </c>
      <c r="B98" s="494"/>
      <c r="C98" s="489">
        <v>4</v>
      </c>
      <c r="D98" s="485" t="s">
        <v>864</v>
      </c>
      <c r="E98" s="485"/>
      <c r="F98" s="490">
        <v>66</v>
      </c>
      <c r="G98" s="491">
        <f t="shared" si="10"/>
        <v>0</v>
      </c>
      <c r="H98" s="492">
        <f t="shared" si="11"/>
        <v>0</v>
      </c>
      <c r="I98" s="493" t="s">
        <v>886</v>
      </c>
      <c r="J98" s="492">
        <f t="shared" si="12"/>
        <v>0</v>
      </c>
    </row>
    <row r="99" spans="1:10">
      <c r="A99" s="494" t="s">
        <v>68</v>
      </c>
      <c r="B99" s="494"/>
      <c r="C99" s="489">
        <v>4</v>
      </c>
      <c r="D99" s="485" t="s">
        <v>865</v>
      </c>
      <c r="E99" s="485"/>
      <c r="F99" s="490">
        <v>66</v>
      </c>
      <c r="G99" s="491">
        <f t="shared" si="10"/>
        <v>0</v>
      </c>
      <c r="H99" s="492">
        <f t="shared" si="11"/>
        <v>0</v>
      </c>
      <c r="I99" s="493" t="s">
        <v>886</v>
      </c>
      <c r="J99" s="492">
        <f t="shared" si="12"/>
        <v>0</v>
      </c>
    </row>
    <row r="100" spans="1:10">
      <c r="A100" s="494" t="s">
        <v>68</v>
      </c>
      <c r="B100" s="494"/>
      <c r="C100" s="489">
        <v>4</v>
      </c>
      <c r="D100" s="485" t="s">
        <v>866</v>
      </c>
      <c r="E100" s="485"/>
      <c r="F100" s="490">
        <v>19</v>
      </c>
      <c r="G100" s="491">
        <f t="shared" si="10"/>
        <v>0</v>
      </c>
      <c r="H100" s="492">
        <f t="shared" si="11"/>
        <v>0</v>
      </c>
      <c r="I100" s="493" t="s">
        <v>886</v>
      </c>
      <c r="J100" s="492">
        <f t="shared" si="12"/>
        <v>0</v>
      </c>
    </row>
    <row r="101" spans="1:10">
      <c r="A101" s="494" t="s">
        <v>68</v>
      </c>
      <c r="B101" s="494"/>
      <c r="C101" s="489"/>
      <c r="D101" s="485" t="s">
        <v>885</v>
      </c>
      <c r="E101" s="485"/>
      <c r="F101" s="496"/>
      <c r="G101" s="491"/>
      <c r="H101" s="497"/>
      <c r="I101" s="493" t="s">
        <v>886</v>
      </c>
      <c r="J101" s="492">
        <f>F101*H101*I101</f>
        <v>0</v>
      </c>
    </row>
    <row r="102" spans="1:10">
      <c r="A102" s="494" t="s">
        <v>69</v>
      </c>
      <c r="B102" s="494"/>
      <c r="C102" s="489">
        <v>4</v>
      </c>
      <c r="D102" s="485" t="s">
        <v>864</v>
      </c>
      <c r="E102" s="485"/>
      <c r="F102" s="490">
        <v>54</v>
      </c>
      <c r="G102" s="491">
        <f t="shared" si="10"/>
        <v>0</v>
      </c>
      <c r="H102" s="492">
        <f t="shared" si="11"/>
        <v>0</v>
      </c>
      <c r="I102" s="493" t="s">
        <v>886</v>
      </c>
      <c r="J102" s="492">
        <f t="shared" si="12"/>
        <v>0</v>
      </c>
    </row>
    <row r="103" spans="1:10">
      <c r="A103" s="494" t="s">
        <v>69</v>
      </c>
      <c r="B103" s="494"/>
      <c r="C103" s="489">
        <v>4</v>
      </c>
      <c r="D103" s="485" t="s">
        <v>865</v>
      </c>
      <c r="E103" s="485"/>
      <c r="F103" s="490">
        <v>54</v>
      </c>
      <c r="G103" s="491">
        <f t="shared" si="10"/>
        <v>0</v>
      </c>
      <c r="H103" s="492">
        <f t="shared" si="11"/>
        <v>0</v>
      </c>
      <c r="I103" s="493" t="s">
        <v>886</v>
      </c>
      <c r="J103" s="492">
        <f t="shared" si="12"/>
        <v>0</v>
      </c>
    </row>
    <row r="104" spans="1:10">
      <c r="A104" s="494" t="s">
        <v>69</v>
      </c>
      <c r="B104" s="494"/>
      <c r="C104" s="489">
        <v>4</v>
      </c>
      <c r="D104" s="485" t="s">
        <v>866</v>
      </c>
      <c r="E104" s="485"/>
      <c r="F104" s="490">
        <v>15</v>
      </c>
      <c r="G104" s="491">
        <f t="shared" si="10"/>
        <v>0</v>
      </c>
      <c r="H104" s="492">
        <f t="shared" si="11"/>
        <v>0</v>
      </c>
      <c r="I104" s="493" t="s">
        <v>886</v>
      </c>
      <c r="J104" s="492">
        <f t="shared" si="12"/>
        <v>0</v>
      </c>
    </row>
    <row r="105" spans="1:10">
      <c r="A105" s="494" t="s">
        <v>69</v>
      </c>
      <c r="B105" s="494"/>
      <c r="C105" s="489"/>
      <c r="D105" s="485" t="s">
        <v>885</v>
      </c>
      <c r="E105" s="485"/>
      <c r="F105" s="496"/>
      <c r="G105" s="491"/>
      <c r="H105" s="497"/>
      <c r="I105" s="493" t="s">
        <v>886</v>
      </c>
      <c r="J105" s="492">
        <f>F105*H105*I105</f>
        <v>0</v>
      </c>
    </row>
    <row r="106" spans="1:10">
      <c r="A106" s="494" t="s">
        <v>70</v>
      </c>
      <c r="B106" s="494"/>
      <c r="C106" s="489">
        <v>4</v>
      </c>
      <c r="D106" s="485" t="s">
        <v>864</v>
      </c>
      <c r="E106" s="485"/>
      <c r="F106" s="490">
        <v>55</v>
      </c>
      <c r="G106" s="491">
        <f t="shared" si="10"/>
        <v>0</v>
      </c>
      <c r="H106" s="492">
        <f t="shared" si="11"/>
        <v>0</v>
      </c>
      <c r="I106" s="493" t="s">
        <v>886</v>
      </c>
      <c r="J106" s="492">
        <f t="shared" si="12"/>
        <v>0</v>
      </c>
    </row>
    <row r="107" spans="1:10">
      <c r="A107" s="494" t="s">
        <v>70</v>
      </c>
      <c r="B107" s="494"/>
      <c r="C107" s="489">
        <v>4</v>
      </c>
      <c r="D107" s="485" t="s">
        <v>865</v>
      </c>
      <c r="E107" s="485"/>
      <c r="F107" s="490">
        <v>55</v>
      </c>
      <c r="G107" s="491">
        <f t="shared" si="10"/>
        <v>0</v>
      </c>
      <c r="H107" s="492">
        <f t="shared" si="11"/>
        <v>0</v>
      </c>
      <c r="I107" s="493" t="s">
        <v>886</v>
      </c>
      <c r="J107" s="492">
        <f t="shared" si="12"/>
        <v>0</v>
      </c>
    </row>
    <row r="108" spans="1:10">
      <c r="A108" s="494" t="s">
        <v>70</v>
      </c>
      <c r="B108" s="494"/>
      <c r="C108" s="489">
        <v>4</v>
      </c>
      <c r="D108" s="485" t="s">
        <v>866</v>
      </c>
      <c r="E108" s="485"/>
      <c r="F108" s="490">
        <v>52</v>
      </c>
      <c r="G108" s="491">
        <f t="shared" si="10"/>
        <v>0</v>
      </c>
      <c r="H108" s="492">
        <f t="shared" si="11"/>
        <v>0</v>
      </c>
      <c r="I108" s="493" t="s">
        <v>887</v>
      </c>
      <c r="J108" s="492">
        <f t="shared" si="12"/>
        <v>0</v>
      </c>
    </row>
    <row r="109" spans="1:10">
      <c r="A109" s="494" t="s">
        <v>70</v>
      </c>
      <c r="B109" s="494"/>
      <c r="C109" s="489"/>
      <c r="D109" s="485" t="s">
        <v>885</v>
      </c>
      <c r="E109" s="485"/>
      <c r="F109" s="496"/>
      <c r="G109" s="491"/>
      <c r="H109" s="497"/>
      <c r="I109" s="493" t="s">
        <v>886</v>
      </c>
      <c r="J109" s="492">
        <f>F109*H109*I109</f>
        <v>0</v>
      </c>
    </row>
    <row r="110" spans="1:10">
      <c r="A110" s="494" t="s">
        <v>71</v>
      </c>
      <c r="B110" s="494"/>
      <c r="C110" s="489">
        <v>4</v>
      </c>
      <c r="D110" s="485" t="s">
        <v>864</v>
      </c>
      <c r="E110" s="485"/>
      <c r="F110" s="490">
        <v>170</v>
      </c>
      <c r="G110" s="491">
        <f t="shared" si="10"/>
        <v>0</v>
      </c>
      <c r="H110" s="492">
        <f t="shared" si="11"/>
        <v>0</v>
      </c>
      <c r="I110" s="493" t="s">
        <v>886</v>
      </c>
      <c r="J110" s="492">
        <f t="shared" si="12"/>
        <v>0</v>
      </c>
    </row>
    <row r="111" spans="1:10">
      <c r="A111" s="494" t="s">
        <v>71</v>
      </c>
      <c r="B111" s="494"/>
      <c r="C111" s="489">
        <v>4</v>
      </c>
      <c r="D111" s="485" t="s">
        <v>865</v>
      </c>
      <c r="E111" s="485"/>
      <c r="F111" s="490">
        <v>170</v>
      </c>
      <c r="G111" s="491">
        <f t="shared" si="10"/>
        <v>0</v>
      </c>
      <c r="H111" s="492">
        <f t="shared" si="11"/>
        <v>0</v>
      </c>
      <c r="I111" s="493" t="s">
        <v>886</v>
      </c>
      <c r="J111" s="492">
        <f t="shared" si="12"/>
        <v>0</v>
      </c>
    </row>
    <row r="112" spans="1:10">
      <c r="A112" s="494" t="s">
        <v>71</v>
      </c>
      <c r="B112" s="494"/>
      <c r="C112" s="489"/>
      <c r="D112" s="485" t="s">
        <v>885</v>
      </c>
      <c r="E112" s="485"/>
      <c r="F112" s="496"/>
      <c r="G112" s="491"/>
      <c r="H112" s="497"/>
      <c r="I112" s="493" t="s">
        <v>886</v>
      </c>
      <c r="J112" s="492">
        <f>F112*H112*I112</f>
        <v>0</v>
      </c>
    </row>
    <row r="113" spans="1:10">
      <c r="A113" s="494" t="s">
        <v>72</v>
      </c>
      <c r="B113" s="494"/>
      <c r="C113" s="489">
        <v>4</v>
      </c>
      <c r="D113" s="485" t="s">
        <v>864</v>
      </c>
      <c r="E113" s="485"/>
      <c r="F113" s="490">
        <v>57</v>
      </c>
      <c r="G113" s="491">
        <f t="shared" ref="G113:G135" si="13">VLOOKUP(D113,$G$3:$H$11,2,FALSE)</f>
        <v>0</v>
      </c>
      <c r="H113" s="492">
        <f t="shared" ref="H113:H135" si="14">(F113*G113)</f>
        <v>0</v>
      </c>
      <c r="I113" s="493" t="s">
        <v>886</v>
      </c>
      <c r="J113" s="492">
        <f t="shared" ref="J113:J124" si="15">I113*H113</f>
        <v>0</v>
      </c>
    </row>
    <row r="114" spans="1:10">
      <c r="A114" s="494" t="s">
        <v>72</v>
      </c>
      <c r="B114" s="494"/>
      <c r="C114" s="489">
        <v>4</v>
      </c>
      <c r="D114" s="485" t="s">
        <v>865</v>
      </c>
      <c r="E114" s="485"/>
      <c r="F114" s="490">
        <v>57</v>
      </c>
      <c r="G114" s="491">
        <f t="shared" si="13"/>
        <v>0</v>
      </c>
      <c r="H114" s="492">
        <f t="shared" si="14"/>
        <v>0</v>
      </c>
      <c r="I114" s="493" t="s">
        <v>886</v>
      </c>
      <c r="J114" s="492">
        <f t="shared" si="15"/>
        <v>0</v>
      </c>
    </row>
    <row r="115" spans="1:10">
      <c r="A115" s="494" t="s">
        <v>73</v>
      </c>
      <c r="B115" s="494"/>
      <c r="C115" s="489">
        <v>4</v>
      </c>
      <c r="D115" s="485" t="s">
        <v>864</v>
      </c>
      <c r="E115" s="485"/>
      <c r="F115" s="490">
        <v>214</v>
      </c>
      <c r="G115" s="491">
        <f t="shared" si="13"/>
        <v>0</v>
      </c>
      <c r="H115" s="492">
        <f t="shared" si="14"/>
        <v>0</v>
      </c>
      <c r="I115" s="493" t="s">
        <v>886</v>
      </c>
      <c r="J115" s="492">
        <f t="shared" si="15"/>
        <v>0</v>
      </c>
    </row>
    <row r="116" spans="1:10">
      <c r="A116" s="494" t="s">
        <v>73</v>
      </c>
      <c r="B116" s="494"/>
      <c r="C116" s="489">
        <v>4</v>
      </c>
      <c r="D116" s="485" t="s">
        <v>865</v>
      </c>
      <c r="E116" s="485"/>
      <c r="F116" s="490">
        <v>214</v>
      </c>
      <c r="G116" s="491">
        <f t="shared" si="13"/>
        <v>0</v>
      </c>
      <c r="H116" s="492">
        <f t="shared" si="14"/>
        <v>0</v>
      </c>
      <c r="I116" s="493" t="s">
        <v>886</v>
      </c>
      <c r="J116" s="492">
        <f t="shared" si="15"/>
        <v>0</v>
      </c>
    </row>
    <row r="117" spans="1:10">
      <c r="A117" s="494" t="s">
        <v>73</v>
      </c>
      <c r="B117" s="494"/>
      <c r="C117" s="489">
        <v>4</v>
      </c>
      <c r="D117" s="485" t="s">
        <v>866</v>
      </c>
      <c r="E117" s="485"/>
      <c r="F117" s="490">
        <v>19</v>
      </c>
      <c r="G117" s="491">
        <f t="shared" si="13"/>
        <v>0</v>
      </c>
      <c r="H117" s="492">
        <f t="shared" si="14"/>
        <v>0</v>
      </c>
      <c r="I117" s="493" t="s">
        <v>886</v>
      </c>
      <c r="J117" s="492">
        <f t="shared" si="15"/>
        <v>0</v>
      </c>
    </row>
    <row r="118" spans="1:10">
      <c r="A118" s="494" t="s">
        <v>73</v>
      </c>
      <c r="B118" s="494"/>
      <c r="C118" s="489"/>
      <c r="D118" s="485" t="s">
        <v>885</v>
      </c>
      <c r="E118" s="485"/>
      <c r="F118" s="496"/>
      <c r="G118" s="491"/>
      <c r="H118" s="497"/>
      <c r="I118" s="493" t="s">
        <v>886</v>
      </c>
      <c r="J118" s="492">
        <f>F118*H118*I118</f>
        <v>0</v>
      </c>
    </row>
    <row r="119" spans="1:10">
      <c r="A119" s="494" t="s">
        <v>74</v>
      </c>
      <c r="B119" s="494"/>
      <c r="C119" s="489">
        <v>4</v>
      </c>
      <c r="D119" s="485" t="s">
        <v>864</v>
      </c>
      <c r="E119" s="485"/>
      <c r="F119" s="490">
        <v>697</v>
      </c>
      <c r="G119" s="491">
        <f t="shared" si="13"/>
        <v>0</v>
      </c>
      <c r="H119" s="492">
        <f t="shared" si="14"/>
        <v>0</v>
      </c>
      <c r="I119" s="493" t="s">
        <v>886</v>
      </c>
      <c r="J119" s="492">
        <f t="shared" si="15"/>
        <v>0</v>
      </c>
    </row>
    <row r="120" spans="1:10">
      <c r="A120" s="494" t="s">
        <v>74</v>
      </c>
      <c r="B120" s="494"/>
      <c r="C120" s="489">
        <v>4</v>
      </c>
      <c r="D120" s="485" t="s">
        <v>865</v>
      </c>
      <c r="E120" s="485"/>
      <c r="F120" s="490">
        <v>697</v>
      </c>
      <c r="G120" s="491">
        <f t="shared" si="13"/>
        <v>0</v>
      </c>
      <c r="H120" s="492">
        <f t="shared" si="14"/>
        <v>0</v>
      </c>
      <c r="I120" s="493" t="s">
        <v>886</v>
      </c>
      <c r="J120" s="492">
        <f t="shared" si="15"/>
        <v>0</v>
      </c>
    </row>
    <row r="121" spans="1:10">
      <c r="A121" s="494" t="s">
        <v>76</v>
      </c>
      <c r="B121" s="494"/>
      <c r="C121" s="489">
        <v>4</v>
      </c>
      <c r="D121" s="485" t="s">
        <v>864</v>
      </c>
      <c r="E121" s="485"/>
      <c r="F121" s="490">
        <v>23</v>
      </c>
      <c r="G121" s="491">
        <f t="shared" si="13"/>
        <v>0</v>
      </c>
      <c r="H121" s="492">
        <f t="shared" si="14"/>
        <v>0</v>
      </c>
      <c r="I121" s="493" t="s">
        <v>886</v>
      </c>
      <c r="J121" s="492">
        <f t="shared" si="15"/>
        <v>0</v>
      </c>
    </row>
    <row r="122" spans="1:10">
      <c r="A122" s="494" t="s">
        <v>76</v>
      </c>
      <c r="B122" s="494"/>
      <c r="C122" s="489">
        <v>4</v>
      </c>
      <c r="D122" s="485" t="s">
        <v>865</v>
      </c>
      <c r="E122" s="485"/>
      <c r="F122" s="490">
        <v>23</v>
      </c>
      <c r="G122" s="491">
        <f t="shared" si="13"/>
        <v>0</v>
      </c>
      <c r="H122" s="492">
        <f t="shared" si="14"/>
        <v>0</v>
      </c>
      <c r="I122" s="493" t="s">
        <v>886</v>
      </c>
      <c r="J122" s="492">
        <f t="shared" si="15"/>
        <v>0</v>
      </c>
    </row>
    <row r="123" spans="1:10">
      <c r="A123" s="494" t="s">
        <v>76</v>
      </c>
      <c r="B123" s="494"/>
      <c r="C123" s="489">
        <v>4</v>
      </c>
      <c r="D123" s="485" t="s">
        <v>866</v>
      </c>
      <c r="E123" s="485"/>
      <c r="F123" s="490">
        <v>64</v>
      </c>
      <c r="G123" s="491">
        <f t="shared" si="13"/>
        <v>0</v>
      </c>
      <c r="H123" s="492">
        <f t="shared" si="14"/>
        <v>0</v>
      </c>
      <c r="I123" s="493" t="s">
        <v>886</v>
      </c>
      <c r="J123" s="492">
        <f t="shared" si="15"/>
        <v>0</v>
      </c>
    </row>
    <row r="124" spans="1:10">
      <c r="A124" s="494" t="s">
        <v>77</v>
      </c>
      <c r="B124" s="494"/>
      <c r="C124" s="489">
        <v>4</v>
      </c>
      <c r="D124" s="485" t="s">
        <v>864</v>
      </c>
      <c r="E124" s="485"/>
      <c r="F124" s="490">
        <v>209.8</v>
      </c>
      <c r="G124" s="491">
        <f t="shared" si="13"/>
        <v>0</v>
      </c>
      <c r="H124" s="492">
        <f t="shared" si="14"/>
        <v>0</v>
      </c>
      <c r="I124" s="493" t="s">
        <v>886</v>
      </c>
      <c r="J124" s="492">
        <f t="shared" si="15"/>
        <v>0</v>
      </c>
    </row>
    <row r="125" spans="1:10">
      <c r="A125" s="494" t="s">
        <v>77</v>
      </c>
      <c r="B125" s="494"/>
      <c r="C125" s="489">
        <v>4</v>
      </c>
      <c r="D125" s="485" t="s">
        <v>865</v>
      </c>
      <c r="E125" s="485"/>
      <c r="F125" s="490">
        <v>195.4</v>
      </c>
      <c r="G125" s="491">
        <f t="shared" si="13"/>
        <v>0</v>
      </c>
      <c r="H125" s="492">
        <f t="shared" si="14"/>
        <v>0</v>
      </c>
      <c r="I125" s="493" t="s">
        <v>886</v>
      </c>
      <c r="J125" s="492">
        <f t="shared" si="7"/>
        <v>0</v>
      </c>
    </row>
    <row r="126" spans="1:10">
      <c r="A126" s="494" t="s">
        <v>77</v>
      </c>
      <c r="B126" s="494"/>
      <c r="C126" s="489">
        <v>4</v>
      </c>
      <c r="D126" s="487" t="s">
        <v>866</v>
      </c>
      <c r="E126" s="487"/>
      <c r="F126" s="490">
        <v>297</v>
      </c>
      <c r="G126" s="491">
        <f t="shared" si="13"/>
        <v>0</v>
      </c>
      <c r="H126" s="492">
        <f t="shared" si="14"/>
        <v>0</v>
      </c>
      <c r="I126" s="493" t="s">
        <v>886</v>
      </c>
      <c r="J126" s="492">
        <f t="shared" si="7"/>
        <v>0</v>
      </c>
    </row>
    <row r="127" spans="1:10">
      <c r="A127" s="494" t="s">
        <v>77</v>
      </c>
      <c r="B127" s="494"/>
      <c r="C127" s="489">
        <v>4</v>
      </c>
      <c r="D127" s="487" t="s">
        <v>868</v>
      </c>
      <c r="E127" s="487"/>
      <c r="F127" s="490">
        <v>174</v>
      </c>
      <c r="G127" s="491">
        <f t="shared" si="13"/>
        <v>0</v>
      </c>
      <c r="H127" s="492">
        <f t="shared" si="14"/>
        <v>0</v>
      </c>
      <c r="I127" s="493" t="s">
        <v>886</v>
      </c>
      <c r="J127" s="492">
        <f t="shared" si="7"/>
        <v>0</v>
      </c>
    </row>
    <row r="128" spans="1:10">
      <c r="A128" s="494" t="s">
        <v>77</v>
      </c>
      <c r="B128" s="494"/>
      <c r="C128" s="489">
        <v>4</v>
      </c>
      <c r="D128" s="485" t="s">
        <v>869</v>
      </c>
      <c r="E128" s="485"/>
      <c r="F128" s="490">
        <v>87</v>
      </c>
      <c r="G128" s="491">
        <f t="shared" si="13"/>
        <v>0</v>
      </c>
      <c r="H128" s="492">
        <f t="shared" si="14"/>
        <v>0</v>
      </c>
      <c r="I128" s="493" t="s">
        <v>886</v>
      </c>
      <c r="J128" s="492">
        <f t="shared" si="7"/>
        <v>0</v>
      </c>
    </row>
    <row r="129" spans="1:10">
      <c r="A129" s="494" t="s">
        <v>77</v>
      </c>
      <c r="B129" s="494"/>
      <c r="C129" s="489">
        <v>4</v>
      </c>
      <c r="D129" s="485" t="s">
        <v>870</v>
      </c>
      <c r="E129" s="485"/>
      <c r="F129" s="490">
        <v>22.5</v>
      </c>
      <c r="G129" s="491">
        <f t="shared" si="13"/>
        <v>0</v>
      </c>
      <c r="H129" s="492">
        <f t="shared" si="14"/>
        <v>0</v>
      </c>
      <c r="I129" s="493" t="s">
        <v>886</v>
      </c>
      <c r="J129" s="492">
        <f t="shared" si="7"/>
        <v>0</v>
      </c>
    </row>
    <row r="130" spans="1:10">
      <c r="A130" s="494" t="s">
        <v>77</v>
      </c>
      <c r="B130" s="494"/>
      <c r="C130" s="489"/>
      <c r="D130" s="485" t="s">
        <v>885</v>
      </c>
      <c r="E130" s="485"/>
      <c r="F130" s="496"/>
      <c r="G130" s="491"/>
      <c r="H130" s="497"/>
      <c r="I130" s="493" t="s">
        <v>886</v>
      </c>
      <c r="J130" s="492">
        <f>F130*H130*I130</f>
        <v>0</v>
      </c>
    </row>
    <row r="131" spans="1:10" ht="39.6">
      <c r="A131" s="494" t="s">
        <v>78</v>
      </c>
      <c r="B131" s="494"/>
      <c r="C131" s="489">
        <v>4</v>
      </c>
      <c r="D131" s="487" t="s">
        <v>888</v>
      </c>
      <c r="E131" s="485" t="s">
        <v>889</v>
      </c>
      <c r="F131" s="490">
        <v>45.72</v>
      </c>
      <c r="G131" s="491">
        <f t="shared" si="13"/>
        <v>0</v>
      </c>
      <c r="H131" s="492">
        <f t="shared" si="14"/>
        <v>0</v>
      </c>
      <c r="I131" s="493" t="s">
        <v>886</v>
      </c>
      <c r="J131" s="492">
        <f t="shared" si="7"/>
        <v>0</v>
      </c>
    </row>
    <row r="132" spans="1:10" ht="39.6">
      <c r="A132" s="494" t="s">
        <v>78</v>
      </c>
      <c r="B132" s="494"/>
      <c r="C132" s="489">
        <v>4</v>
      </c>
      <c r="D132" s="485" t="s">
        <v>890</v>
      </c>
      <c r="E132" s="485" t="s">
        <v>891</v>
      </c>
      <c r="F132" s="490">
        <v>45.72</v>
      </c>
      <c r="G132" s="491">
        <f t="shared" si="13"/>
        <v>0</v>
      </c>
      <c r="H132" s="492">
        <f t="shared" si="14"/>
        <v>0</v>
      </c>
      <c r="I132" s="493" t="s">
        <v>886</v>
      </c>
      <c r="J132" s="492">
        <f t="shared" si="7"/>
        <v>0</v>
      </c>
    </row>
    <row r="133" spans="1:10" ht="39.6">
      <c r="A133" s="494" t="s">
        <v>78</v>
      </c>
      <c r="B133" s="494"/>
      <c r="C133" s="489">
        <v>4</v>
      </c>
      <c r="D133" s="485" t="s">
        <v>866</v>
      </c>
      <c r="E133" s="485" t="s">
        <v>892</v>
      </c>
      <c r="F133" s="490">
        <v>146.93</v>
      </c>
      <c r="G133" s="491">
        <f t="shared" si="13"/>
        <v>0</v>
      </c>
      <c r="H133" s="492">
        <f t="shared" si="14"/>
        <v>0</v>
      </c>
      <c r="I133" s="493" t="s">
        <v>886</v>
      </c>
      <c r="J133" s="492">
        <f t="shared" si="7"/>
        <v>0</v>
      </c>
    </row>
    <row r="134" spans="1:10" ht="26.4">
      <c r="A134" s="494" t="s">
        <v>78</v>
      </c>
      <c r="B134" s="494"/>
      <c r="C134" s="489">
        <v>4</v>
      </c>
      <c r="D134" s="487" t="s">
        <v>868</v>
      </c>
      <c r="E134" s="485" t="s">
        <v>893</v>
      </c>
      <c r="F134" s="490">
        <v>101.98</v>
      </c>
      <c r="G134" s="491">
        <f t="shared" si="13"/>
        <v>0</v>
      </c>
      <c r="H134" s="492">
        <f t="shared" si="14"/>
        <v>0</v>
      </c>
      <c r="I134" s="493" t="s">
        <v>886</v>
      </c>
      <c r="J134" s="492">
        <f t="shared" si="7"/>
        <v>0</v>
      </c>
    </row>
    <row r="135" spans="1:10" ht="52.8">
      <c r="A135" s="494" t="s">
        <v>78</v>
      </c>
      <c r="B135" s="494"/>
      <c r="C135" s="489">
        <v>4</v>
      </c>
      <c r="D135" s="485" t="s">
        <v>872</v>
      </c>
      <c r="E135" s="485" t="s">
        <v>894</v>
      </c>
      <c r="F135" s="495">
        <v>0</v>
      </c>
      <c r="G135" s="491">
        <f t="shared" si="13"/>
        <v>0</v>
      </c>
      <c r="H135" s="492">
        <f t="shared" si="14"/>
        <v>0</v>
      </c>
      <c r="I135" s="493" t="s">
        <v>895</v>
      </c>
      <c r="J135" s="492">
        <f t="shared" si="7"/>
        <v>0</v>
      </c>
    </row>
    <row r="136" spans="1:10">
      <c r="A136" s="494" t="s">
        <v>79</v>
      </c>
      <c r="B136" s="494"/>
      <c r="C136" s="489"/>
      <c r="D136" s="485" t="s">
        <v>864</v>
      </c>
      <c r="E136" s="485"/>
      <c r="F136" s="490">
        <v>283.17</v>
      </c>
      <c r="G136" s="491">
        <f t="shared" ref="G136:G145" si="16">VLOOKUP(D136,$G$3:$H$11,2,FALSE)</f>
        <v>0</v>
      </c>
      <c r="H136" s="492">
        <f t="shared" ref="H136:H145" si="17">(F136*G136)</f>
        <v>0</v>
      </c>
      <c r="I136" s="493" t="s">
        <v>886</v>
      </c>
      <c r="J136" s="492">
        <f t="shared" ref="J136:J145" si="18">I136*H136</f>
        <v>0</v>
      </c>
    </row>
    <row r="137" spans="1:10">
      <c r="A137" s="494" t="s">
        <v>79</v>
      </c>
      <c r="B137" s="494"/>
      <c r="C137" s="489"/>
      <c r="D137" s="485" t="s">
        <v>865</v>
      </c>
      <c r="E137" s="485"/>
      <c r="F137" s="490">
        <v>283.17</v>
      </c>
      <c r="G137" s="491">
        <f t="shared" si="16"/>
        <v>0</v>
      </c>
      <c r="H137" s="492">
        <f t="shared" si="17"/>
        <v>0</v>
      </c>
      <c r="I137" s="493" t="s">
        <v>886</v>
      </c>
      <c r="J137" s="492">
        <f t="shared" si="18"/>
        <v>0</v>
      </c>
    </row>
    <row r="138" spans="1:10">
      <c r="A138" s="494" t="s">
        <v>79</v>
      </c>
      <c r="B138" s="494"/>
      <c r="C138" s="489"/>
      <c r="D138" s="487" t="s">
        <v>866</v>
      </c>
      <c r="E138" s="485"/>
      <c r="F138" s="490">
        <v>30.2</v>
      </c>
      <c r="G138" s="491">
        <f t="shared" si="16"/>
        <v>0</v>
      </c>
      <c r="H138" s="492">
        <f t="shared" si="17"/>
        <v>0</v>
      </c>
      <c r="I138" s="493" t="s">
        <v>886</v>
      </c>
      <c r="J138" s="492">
        <f t="shared" si="18"/>
        <v>0</v>
      </c>
    </row>
    <row r="139" spans="1:10">
      <c r="A139" s="494" t="s">
        <v>79</v>
      </c>
      <c r="B139" s="494"/>
      <c r="C139" s="489"/>
      <c r="D139" s="485" t="s">
        <v>864</v>
      </c>
      <c r="E139" s="485"/>
      <c r="F139" s="490">
        <v>29.5</v>
      </c>
      <c r="G139" s="491">
        <f t="shared" si="16"/>
        <v>0</v>
      </c>
      <c r="H139" s="492">
        <f t="shared" si="17"/>
        <v>0</v>
      </c>
      <c r="I139" s="493" t="s">
        <v>886</v>
      </c>
      <c r="J139" s="492">
        <f t="shared" si="18"/>
        <v>0</v>
      </c>
    </row>
    <row r="140" spans="1:10">
      <c r="A140" s="494" t="s">
        <v>79</v>
      </c>
      <c r="B140" s="494"/>
      <c r="C140" s="489"/>
      <c r="D140" s="485" t="s">
        <v>865</v>
      </c>
      <c r="E140" s="485"/>
      <c r="F140" s="490">
        <v>29.5</v>
      </c>
      <c r="G140" s="491">
        <f t="shared" si="16"/>
        <v>0</v>
      </c>
      <c r="H140" s="492">
        <f t="shared" si="17"/>
        <v>0</v>
      </c>
      <c r="I140" s="493" t="s">
        <v>886</v>
      </c>
      <c r="J140" s="492">
        <f t="shared" si="18"/>
        <v>0</v>
      </c>
    </row>
    <row r="141" spans="1:10">
      <c r="A141" s="494" t="s">
        <v>79</v>
      </c>
      <c r="B141" s="494"/>
      <c r="C141" s="489"/>
      <c r="D141" s="487" t="s">
        <v>866</v>
      </c>
      <c r="E141" s="485"/>
      <c r="F141" s="490">
        <v>77</v>
      </c>
      <c r="G141" s="491">
        <f t="shared" si="16"/>
        <v>0</v>
      </c>
      <c r="H141" s="492">
        <f t="shared" si="17"/>
        <v>0</v>
      </c>
      <c r="I141" s="493" t="s">
        <v>886</v>
      </c>
      <c r="J141" s="492">
        <f t="shared" si="18"/>
        <v>0</v>
      </c>
    </row>
    <row r="142" spans="1:10">
      <c r="A142" s="494" t="s">
        <v>79</v>
      </c>
      <c r="B142" s="494"/>
      <c r="C142" s="489"/>
      <c r="D142" s="485" t="s">
        <v>865</v>
      </c>
      <c r="E142" s="485"/>
      <c r="F142" s="490">
        <v>52.2</v>
      </c>
      <c r="G142" s="491">
        <f t="shared" si="16"/>
        <v>0</v>
      </c>
      <c r="H142" s="492">
        <f t="shared" si="17"/>
        <v>0</v>
      </c>
      <c r="I142" s="493" t="s">
        <v>886</v>
      </c>
      <c r="J142" s="492">
        <f t="shared" si="18"/>
        <v>0</v>
      </c>
    </row>
    <row r="143" spans="1:10">
      <c r="A143" s="494" t="s">
        <v>79</v>
      </c>
      <c r="B143" s="494"/>
      <c r="C143" s="489"/>
      <c r="D143" s="485" t="s">
        <v>864</v>
      </c>
      <c r="E143" s="485"/>
      <c r="F143" s="490">
        <v>11.52</v>
      </c>
      <c r="G143" s="491">
        <f t="shared" si="16"/>
        <v>0</v>
      </c>
      <c r="H143" s="492">
        <f t="shared" si="17"/>
        <v>0</v>
      </c>
      <c r="I143" s="493" t="s">
        <v>886</v>
      </c>
      <c r="J143" s="492">
        <f t="shared" si="18"/>
        <v>0</v>
      </c>
    </row>
    <row r="144" spans="1:10">
      <c r="A144" s="494" t="s">
        <v>79</v>
      </c>
      <c r="B144" s="494"/>
      <c r="C144" s="489"/>
      <c r="D144" s="485" t="s">
        <v>865</v>
      </c>
      <c r="E144" s="485"/>
      <c r="F144" s="490">
        <v>11.52</v>
      </c>
      <c r="G144" s="491">
        <f t="shared" si="16"/>
        <v>0</v>
      </c>
      <c r="H144" s="492">
        <f t="shared" si="17"/>
        <v>0</v>
      </c>
      <c r="I144" s="493" t="s">
        <v>886</v>
      </c>
      <c r="J144" s="492">
        <f t="shared" si="18"/>
        <v>0</v>
      </c>
    </row>
    <row r="145" spans="1:15">
      <c r="A145" s="494" t="s">
        <v>79</v>
      </c>
      <c r="B145" s="494"/>
      <c r="C145" s="489"/>
      <c r="D145" s="487" t="s">
        <v>866</v>
      </c>
      <c r="E145" s="485"/>
      <c r="F145" s="490">
        <v>96.98</v>
      </c>
      <c r="G145" s="491">
        <f t="shared" si="16"/>
        <v>0</v>
      </c>
      <c r="H145" s="492">
        <f t="shared" si="17"/>
        <v>0</v>
      </c>
      <c r="I145" s="493" t="s">
        <v>886</v>
      </c>
      <c r="J145" s="492">
        <f t="shared" si="18"/>
        <v>0</v>
      </c>
    </row>
    <row r="146" spans="1:15">
      <c r="A146" s="494" t="s">
        <v>79</v>
      </c>
      <c r="B146" s="494"/>
      <c r="C146" s="489"/>
      <c r="D146" s="485" t="s">
        <v>885</v>
      </c>
      <c r="E146" s="485"/>
      <c r="F146" s="496"/>
      <c r="G146" s="491"/>
      <c r="H146" s="497"/>
      <c r="I146" s="493" t="s">
        <v>886</v>
      </c>
      <c r="J146" s="492">
        <f>F146*H146*I146</f>
        <v>0</v>
      </c>
    </row>
    <row r="147" spans="1:15">
      <c r="D147" s="167"/>
      <c r="E147" s="167"/>
      <c r="F147" s="223"/>
      <c r="G147" s="223"/>
      <c r="H147" s="223"/>
      <c r="I147" s="223"/>
      <c r="J147" s="223"/>
      <c r="N147" s="309"/>
      <c r="O147" s="309"/>
    </row>
    <row r="148" spans="1:15">
      <c r="A148" s="294" t="s">
        <v>83</v>
      </c>
      <c r="B148" s="296"/>
      <c r="C148" s="296"/>
      <c r="D148" s="295"/>
      <c r="E148" s="296"/>
      <c r="F148" s="297">
        <f>SUM(F14:F135)</f>
        <v>12272.749999999998</v>
      </c>
      <c r="G148" s="298"/>
      <c r="H148" s="299"/>
      <c r="I148" s="300"/>
      <c r="J148" s="301">
        <f>SUM(J14:J147)</f>
        <v>0</v>
      </c>
      <c r="N148" s="309"/>
      <c r="O148" s="309"/>
    </row>
    <row r="149" spans="1:15">
      <c r="N149" s="309"/>
      <c r="O149" s="309"/>
    </row>
    <row r="150" spans="1:15">
      <c r="N150" s="309"/>
      <c r="O150" s="309"/>
    </row>
    <row r="151" spans="1:15">
      <c r="N151" s="309"/>
      <c r="O151" s="309"/>
    </row>
    <row r="152" spans="1:15">
      <c r="N152" s="309"/>
      <c r="O152" s="309"/>
    </row>
    <row r="153" spans="1:15">
      <c r="N153" s="309"/>
      <c r="O153" s="309"/>
    </row>
    <row r="154" spans="1:15">
      <c r="N154" s="309"/>
      <c r="O154" s="309"/>
    </row>
    <row r="155" spans="1:15">
      <c r="N155" s="309"/>
      <c r="O155" s="309"/>
    </row>
    <row r="156" spans="1:15">
      <c r="N156" s="309"/>
      <c r="O156" s="309"/>
    </row>
    <row r="157" spans="1:15">
      <c r="N157" s="309"/>
      <c r="O157" s="309"/>
    </row>
    <row r="158" spans="1:15">
      <c r="N158" s="309"/>
      <c r="O158" s="309"/>
    </row>
    <row r="159" spans="1:15">
      <c r="N159" s="309"/>
      <c r="O159" s="309"/>
    </row>
    <row r="160" spans="1:15">
      <c r="N160" s="310"/>
      <c r="O160" s="310"/>
    </row>
    <row r="161" spans="5:15">
      <c r="E161" s="30"/>
      <c r="N161" s="310"/>
      <c r="O161" s="310"/>
    </row>
    <row r="162" spans="5:15">
      <c r="H162" s="168"/>
      <c r="N162" s="310"/>
      <c r="O162" s="310"/>
    </row>
    <row r="163" spans="5:15">
      <c r="N163" s="310"/>
      <c r="O163" s="310"/>
    </row>
    <row r="164" spans="5:15">
      <c r="N164" s="310"/>
      <c r="O164" s="310"/>
    </row>
    <row r="165" spans="5:15">
      <c r="N165" s="310"/>
      <c r="O165" s="310"/>
    </row>
    <row r="166" spans="5:15">
      <c r="N166" s="310"/>
      <c r="O166" s="310"/>
    </row>
    <row r="167" spans="5:15">
      <c r="N167" s="310"/>
      <c r="O167" s="310"/>
    </row>
    <row r="168" spans="5:15">
      <c r="N168" s="310"/>
      <c r="O168" s="310"/>
    </row>
    <row r="169" spans="5:15">
      <c r="N169" s="310"/>
      <c r="O169" s="310"/>
    </row>
    <row r="170" spans="5:15">
      <c r="N170" s="310"/>
      <c r="O170" s="310"/>
    </row>
    <row r="171" spans="5:15">
      <c r="N171" s="310"/>
      <c r="O171" s="310"/>
    </row>
    <row r="172" spans="5:15">
      <c r="N172" s="310"/>
      <c r="O172" s="310"/>
    </row>
    <row r="173" spans="5:15">
      <c r="N173" s="310"/>
      <c r="O173" s="310"/>
    </row>
    <row r="174" spans="5:15">
      <c r="N174" s="310"/>
      <c r="O174" s="310"/>
    </row>
    <row r="175" spans="5:15">
      <c r="N175" s="310"/>
      <c r="O175" s="310"/>
    </row>
    <row r="176" spans="5:15">
      <c r="N176" s="310"/>
      <c r="O176" s="310"/>
    </row>
    <row r="177" spans="14:15">
      <c r="N177" s="310"/>
      <c r="O177" s="310"/>
    </row>
    <row r="178" spans="14:15">
      <c r="N178" s="310"/>
      <c r="O178" s="310"/>
    </row>
    <row r="179" spans="14:15">
      <c r="N179" s="310"/>
      <c r="O179" s="310"/>
    </row>
    <row r="180" spans="14:15">
      <c r="N180" s="310"/>
      <c r="O180" s="310"/>
    </row>
    <row r="181" spans="14:15">
      <c r="N181" s="310"/>
      <c r="O181" s="310"/>
    </row>
    <row r="182" spans="14:15">
      <c r="N182" s="310"/>
      <c r="O182" s="310"/>
    </row>
    <row r="183" spans="14:15">
      <c r="N183" s="310"/>
      <c r="O183" s="310"/>
    </row>
    <row r="184" spans="14:15">
      <c r="N184" s="310"/>
      <c r="O184" s="310"/>
    </row>
    <row r="185" spans="14:15">
      <c r="N185" s="310"/>
      <c r="O185" s="310"/>
    </row>
    <row r="186" spans="14:15">
      <c r="N186" s="310"/>
      <c r="O186" s="310"/>
    </row>
    <row r="187" spans="14:15">
      <c r="N187" s="310"/>
      <c r="O187" s="310"/>
    </row>
    <row r="188" spans="14:15">
      <c r="N188" s="310"/>
      <c r="O188" s="310"/>
    </row>
    <row r="189" spans="14:15">
      <c r="N189" s="310"/>
      <c r="O189" s="310"/>
    </row>
    <row r="190" spans="14:15">
      <c r="N190" s="310"/>
      <c r="O190" s="310"/>
    </row>
    <row r="191" spans="14:15">
      <c r="N191" s="310"/>
      <c r="O191" s="310"/>
    </row>
    <row r="192" spans="14:15">
      <c r="N192" s="310"/>
      <c r="O192" s="310"/>
    </row>
    <row r="193" spans="14:15">
      <c r="N193" s="310"/>
      <c r="O193" s="310"/>
    </row>
    <row r="194" spans="14:15">
      <c r="N194" s="310"/>
      <c r="O194" s="310"/>
    </row>
    <row r="195" spans="14:15">
      <c r="N195" s="310"/>
      <c r="O195" s="310"/>
    </row>
    <row r="196" spans="14:15">
      <c r="N196" s="310"/>
      <c r="O196" s="310"/>
    </row>
    <row r="197" spans="14:15">
      <c r="N197" s="310"/>
      <c r="O197" s="310"/>
    </row>
    <row r="198" spans="14:15">
      <c r="N198" s="310"/>
      <c r="O198" s="310"/>
    </row>
    <row r="199" spans="14:15">
      <c r="N199" s="310"/>
      <c r="O199" s="310"/>
    </row>
    <row r="200" spans="14:15">
      <c r="N200" s="310"/>
      <c r="O200" s="310"/>
    </row>
    <row r="201" spans="14:15">
      <c r="N201" s="310"/>
      <c r="O201" s="310"/>
    </row>
    <row r="202" spans="14:15">
      <c r="N202" s="310"/>
      <c r="O202" s="310"/>
    </row>
    <row r="203" spans="14:15">
      <c r="N203" s="310"/>
      <c r="O203" s="310"/>
    </row>
    <row r="204" spans="14:15">
      <c r="N204" s="310"/>
      <c r="O204" s="310"/>
    </row>
    <row r="205" spans="14:15">
      <c r="N205" s="310"/>
      <c r="O205" s="310"/>
    </row>
    <row r="206" spans="14:15">
      <c r="N206" s="310"/>
      <c r="O206" s="310"/>
    </row>
    <row r="207" spans="14:15">
      <c r="N207" s="310"/>
      <c r="O207" s="310"/>
    </row>
    <row r="208" spans="14:15">
      <c r="N208" s="310"/>
      <c r="O208" s="310"/>
    </row>
    <row r="209" spans="14:15">
      <c r="N209" s="310"/>
      <c r="O209" s="310"/>
    </row>
    <row r="210" spans="14:15">
      <c r="N210" s="310"/>
      <c r="O210" s="310"/>
    </row>
    <row r="211" spans="14:15">
      <c r="N211" s="309"/>
      <c r="O211" s="309"/>
    </row>
    <row r="212" spans="14:15">
      <c r="N212" s="309"/>
      <c r="O212" s="309"/>
    </row>
    <row r="213" spans="14:15">
      <c r="N213" s="309"/>
      <c r="O213" s="309"/>
    </row>
    <row r="214" spans="14:15">
      <c r="N214" s="309"/>
      <c r="O214" s="309"/>
    </row>
    <row r="215" spans="14:15">
      <c r="N215" s="309"/>
      <c r="O215" s="309"/>
    </row>
    <row r="216" spans="14:15">
      <c r="N216" s="309"/>
      <c r="O216" s="309"/>
    </row>
    <row r="217" spans="14:15">
      <c r="N217" s="309"/>
      <c r="O217" s="309"/>
    </row>
    <row r="218" spans="14:15">
      <c r="N218" s="309"/>
      <c r="O218" s="309"/>
    </row>
    <row r="219" spans="14:15">
      <c r="N219" s="309"/>
      <c r="O219" s="309"/>
    </row>
    <row r="220" spans="14:15">
      <c r="N220" s="309"/>
      <c r="O220" s="309"/>
    </row>
    <row r="221" spans="14:15">
      <c r="N221" s="309"/>
      <c r="O221" s="309"/>
    </row>
    <row r="222" spans="14:15">
      <c r="N222" s="309"/>
      <c r="O222" s="309"/>
    </row>
    <row r="223" spans="14:15">
      <c r="N223" s="309"/>
      <c r="O223" s="309"/>
    </row>
    <row r="224" spans="14:15">
      <c r="N224" s="309"/>
      <c r="O224" s="309"/>
    </row>
    <row r="225" spans="14:15">
      <c r="N225" s="309"/>
      <c r="O225" s="309"/>
    </row>
    <row r="226" spans="14:15">
      <c r="N226" s="309"/>
      <c r="O226" s="309"/>
    </row>
    <row r="227" spans="14:15">
      <c r="N227" s="309"/>
      <c r="O227" s="309"/>
    </row>
    <row r="228" spans="14:15">
      <c r="N228" s="309"/>
      <c r="O228" s="311"/>
    </row>
    <row r="229" spans="14:15">
      <c r="N229" s="309"/>
      <c r="O229" s="311"/>
    </row>
    <row r="230" spans="14:15">
      <c r="N230" s="309"/>
      <c r="O230" s="311"/>
    </row>
    <row r="231" spans="14:15">
      <c r="N231" s="309"/>
      <c r="O231" s="311"/>
    </row>
    <row r="232" spans="14:15">
      <c r="N232" s="309"/>
      <c r="O232" s="311"/>
    </row>
    <row r="233" spans="14:15">
      <c r="N233" s="309"/>
      <c r="O233" s="311"/>
    </row>
    <row r="234" spans="14:15">
      <c r="N234" s="309"/>
      <c r="O234" s="311"/>
    </row>
    <row r="235" spans="14:15">
      <c r="N235" s="309"/>
      <c r="O235" s="311"/>
    </row>
    <row r="236" spans="14:15">
      <c r="N236" s="310"/>
      <c r="O236" s="310"/>
    </row>
    <row r="237" spans="14:15">
      <c r="N237" s="310"/>
      <c r="O237" s="310"/>
    </row>
    <row r="238" spans="14:15">
      <c r="N238" s="310"/>
      <c r="O238" s="310"/>
    </row>
    <row r="239" spans="14:15">
      <c r="N239" s="310"/>
      <c r="O239" s="310"/>
    </row>
    <row r="240" spans="14:15">
      <c r="N240" s="310"/>
      <c r="O240" s="310"/>
    </row>
    <row r="241" spans="14:15">
      <c r="N241" s="310"/>
      <c r="O241" s="310"/>
    </row>
    <row r="242" spans="14:15">
      <c r="N242" s="310"/>
      <c r="O242" s="310"/>
    </row>
    <row r="243" spans="14:15">
      <c r="N243" s="310"/>
      <c r="O243" s="310"/>
    </row>
  </sheetData>
  <autoFilter ref="A13:AB148" xr:uid="{00000000-0009-0000-0000-00000A000000}"/>
  <phoneticPr fontId="77"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AA39"/>
  <sheetViews>
    <sheetView showGridLines="0" zoomScale="85" zoomScaleNormal="85" zoomScaleSheetLayoutView="50" zoomScalePageLayoutView="50" workbookViewId="0">
      <pane ySplit="10" topLeftCell="A11" activePane="bottomLeft" state="frozen"/>
      <selection activeCell="B1" sqref="B1"/>
      <selection pane="bottomLeft" activeCell="F8" sqref="F8"/>
    </sheetView>
  </sheetViews>
  <sheetFormatPr defaultColWidth="13.5546875" defaultRowHeight="13.2"/>
  <cols>
    <col min="1" max="1" width="46.109375" style="167" customWidth="1"/>
    <col min="2" max="2" width="36.44140625" style="168" bestFit="1" customWidth="1"/>
    <col min="3" max="3" width="17.44140625" style="168" customWidth="1"/>
    <col min="4" max="4" width="27.5546875" style="168" customWidth="1"/>
    <col min="5" max="5" width="12.109375" style="167" customWidth="1"/>
    <col min="6" max="6" width="24.44140625" style="169" customWidth="1"/>
    <col min="7" max="7" width="18.88671875" style="170" customWidth="1"/>
    <col min="8" max="8" width="13.5546875" style="169" customWidth="1"/>
    <col min="9" max="9" width="15.88671875" style="169" customWidth="1"/>
    <col min="10" max="248" width="13.5546875" style="30"/>
    <col min="249" max="249" width="22.109375" style="30" customWidth="1"/>
    <col min="250" max="256" width="13.5546875" style="30" customWidth="1"/>
    <col min="257" max="257" width="15.88671875" style="30" customWidth="1"/>
    <col min="258" max="258" width="16.5546875" style="30" bestFit="1" customWidth="1"/>
    <col min="259" max="259" width="13.5546875" style="30" customWidth="1"/>
    <col min="260" max="260" width="17.109375" style="30" bestFit="1" customWidth="1"/>
    <col min="261" max="261" width="4" style="30" customWidth="1"/>
    <col min="262" max="262" width="13.5546875" style="30" customWidth="1"/>
    <col min="263" max="504" width="13.5546875" style="30"/>
    <col min="505" max="505" width="22.109375" style="30" customWidth="1"/>
    <col min="506" max="512" width="13.5546875" style="30" customWidth="1"/>
    <col min="513" max="513" width="15.88671875" style="30" customWidth="1"/>
    <col min="514" max="514" width="16.5546875" style="30" bestFit="1" customWidth="1"/>
    <col min="515" max="515" width="13.5546875" style="30" customWidth="1"/>
    <col min="516" max="516" width="17.109375" style="30" bestFit="1" customWidth="1"/>
    <col min="517" max="517" width="4" style="30" customWidth="1"/>
    <col min="518" max="518" width="13.5546875" style="30" customWidth="1"/>
    <col min="519" max="760" width="13.5546875" style="30"/>
    <col min="761" max="761" width="22.109375" style="30" customWidth="1"/>
    <col min="762" max="768" width="13.5546875" style="30" customWidth="1"/>
    <col min="769" max="769" width="15.88671875" style="30" customWidth="1"/>
    <col min="770" max="770" width="16.5546875" style="30" bestFit="1" customWidth="1"/>
    <col min="771" max="771" width="13.5546875" style="30" customWidth="1"/>
    <col min="772" max="772" width="17.109375" style="30" bestFit="1" customWidth="1"/>
    <col min="773" max="773" width="4" style="30" customWidth="1"/>
    <col min="774" max="774" width="13.5546875" style="30" customWidth="1"/>
    <col min="775" max="1016" width="13.5546875" style="30"/>
    <col min="1017" max="1017" width="22.109375" style="30" customWidth="1"/>
    <col min="1018" max="1024" width="13.5546875" style="30" customWidth="1"/>
    <col min="1025" max="1025" width="15.88671875" style="30" customWidth="1"/>
    <col min="1026" max="1026" width="16.5546875" style="30" bestFit="1" customWidth="1"/>
    <col min="1027" max="1027" width="13.5546875" style="30" customWidth="1"/>
    <col min="1028" max="1028" width="17.109375" style="30" bestFit="1" customWidth="1"/>
    <col min="1029" max="1029" width="4" style="30" customWidth="1"/>
    <col min="1030" max="1030" width="13.5546875" style="30" customWidth="1"/>
    <col min="1031" max="1272" width="13.5546875" style="30"/>
    <col min="1273" max="1273" width="22.109375" style="30" customWidth="1"/>
    <col min="1274" max="1280" width="13.5546875" style="30" customWidth="1"/>
    <col min="1281" max="1281" width="15.88671875" style="30" customWidth="1"/>
    <col min="1282" max="1282" width="16.5546875" style="30" bestFit="1" customWidth="1"/>
    <col min="1283" max="1283" width="13.5546875" style="30" customWidth="1"/>
    <col min="1284" max="1284" width="17.109375" style="30" bestFit="1" customWidth="1"/>
    <col min="1285" max="1285" width="4" style="30" customWidth="1"/>
    <col min="1286" max="1286" width="13.5546875" style="30" customWidth="1"/>
    <col min="1287" max="1528" width="13.5546875" style="30"/>
    <col min="1529" max="1529" width="22.109375" style="30" customWidth="1"/>
    <col min="1530" max="1536" width="13.5546875" style="30" customWidth="1"/>
    <col min="1537" max="1537" width="15.88671875" style="30" customWidth="1"/>
    <col min="1538" max="1538" width="16.5546875" style="30" bestFit="1" customWidth="1"/>
    <col min="1539" max="1539" width="13.5546875" style="30" customWidth="1"/>
    <col min="1540" max="1540" width="17.109375" style="30" bestFit="1" customWidth="1"/>
    <col min="1541" max="1541" width="4" style="30" customWidth="1"/>
    <col min="1542" max="1542" width="13.5546875" style="30" customWidth="1"/>
    <col min="1543" max="1784" width="13.5546875" style="30"/>
    <col min="1785" max="1785" width="22.109375" style="30" customWidth="1"/>
    <col min="1786" max="1792" width="13.5546875" style="30" customWidth="1"/>
    <col min="1793" max="1793" width="15.88671875" style="30" customWidth="1"/>
    <col min="1794" max="1794" width="16.5546875" style="30" bestFit="1" customWidth="1"/>
    <col min="1795" max="1795" width="13.5546875" style="30" customWidth="1"/>
    <col min="1796" max="1796" width="17.109375" style="30" bestFit="1" customWidth="1"/>
    <col min="1797" max="1797" width="4" style="30" customWidth="1"/>
    <col min="1798" max="1798" width="13.5546875" style="30" customWidth="1"/>
    <col min="1799" max="2040" width="13.5546875" style="30"/>
    <col min="2041" max="2041" width="22.109375" style="30" customWidth="1"/>
    <col min="2042" max="2048" width="13.5546875" style="30" customWidth="1"/>
    <col min="2049" max="2049" width="15.88671875" style="30" customWidth="1"/>
    <col min="2050" max="2050" width="16.5546875" style="30" bestFit="1" customWidth="1"/>
    <col min="2051" max="2051" width="13.5546875" style="30" customWidth="1"/>
    <col min="2052" max="2052" width="17.109375" style="30" bestFit="1" customWidth="1"/>
    <col min="2053" max="2053" width="4" style="30" customWidth="1"/>
    <col min="2054" max="2054" width="13.5546875" style="30" customWidth="1"/>
    <col min="2055" max="2296" width="13.5546875" style="30"/>
    <col min="2297" max="2297" width="22.109375" style="30" customWidth="1"/>
    <col min="2298" max="2304" width="13.5546875" style="30" customWidth="1"/>
    <col min="2305" max="2305" width="15.88671875" style="30" customWidth="1"/>
    <col min="2306" max="2306" width="16.5546875" style="30" bestFit="1" customWidth="1"/>
    <col min="2307" max="2307" width="13.5546875" style="30" customWidth="1"/>
    <col min="2308" max="2308" width="17.109375" style="30" bestFit="1" customWidth="1"/>
    <col min="2309" max="2309" width="4" style="30" customWidth="1"/>
    <col min="2310" max="2310" width="13.5546875" style="30" customWidth="1"/>
    <col min="2311" max="2552" width="13.5546875" style="30"/>
    <col min="2553" max="2553" width="22.109375" style="30" customWidth="1"/>
    <col min="2554" max="2560" width="13.5546875" style="30" customWidth="1"/>
    <col min="2561" max="2561" width="15.88671875" style="30" customWidth="1"/>
    <col min="2562" max="2562" width="16.5546875" style="30" bestFit="1" customWidth="1"/>
    <col min="2563" max="2563" width="13.5546875" style="30" customWidth="1"/>
    <col min="2564" max="2564" width="17.109375" style="30" bestFit="1" customWidth="1"/>
    <col min="2565" max="2565" width="4" style="30" customWidth="1"/>
    <col min="2566" max="2566" width="13.5546875" style="30" customWidth="1"/>
    <col min="2567" max="2808" width="13.5546875" style="30"/>
    <col min="2809" max="2809" width="22.109375" style="30" customWidth="1"/>
    <col min="2810" max="2816" width="13.5546875" style="30" customWidth="1"/>
    <col min="2817" max="2817" width="15.88671875" style="30" customWidth="1"/>
    <col min="2818" max="2818" width="16.5546875" style="30" bestFit="1" customWidth="1"/>
    <col min="2819" max="2819" width="13.5546875" style="30" customWidth="1"/>
    <col min="2820" max="2820" width="17.109375" style="30" bestFit="1" customWidth="1"/>
    <col min="2821" max="2821" width="4" style="30" customWidth="1"/>
    <col min="2822" max="2822" width="13.5546875" style="30" customWidth="1"/>
    <col min="2823" max="3064" width="13.5546875" style="30"/>
    <col min="3065" max="3065" width="22.109375" style="30" customWidth="1"/>
    <col min="3066" max="3072" width="13.5546875" style="30" customWidth="1"/>
    <col min="3073" max="3073" width="15.88671875" style="30" customWidth="1"/>
    <col min="3074" max="3074" width="16.5546875" style="30" bestFit="1" customWidth="1"/>
    <col min="3075" max="3075" width="13.5546875" style="30" customWidth="1"/>
    <col min="3076" max="3076" width="17.109375" style="30" bestFit="1" customWidth="1"/>
    <col min="3077" max="3077" width="4" style="30" customWidth="1"/>
    <col min="3078" max="3078" width="13.5546875" style="30" customWidth="1"/>
    <col min="3079" max="3320" width="13.5546875" style="30"/>
    <col min="3321" max="3321" width="22.109375" style="30" customWidth="1"/>
    <col min="3322" max="3328" width="13.5546875" style="30" customWidth="1"/>
    <col min="3329" max="3329" width="15.88671875" style="30" customWidth="1"/>
    <col min="3330" max="3330" width="16.5546875" style="30" bestFit="1" customWidth="1"/>
    <col min="3331" max="3331" width="13.5546875" style="30" customWidth="1"/>
    <col min="3332" max="3332" width="17.109375" style="30" bestFit="1" customWidth="1"/>
    <col min="3333" max="3333" width="4" style="30" customWidth="1"/>
    <col min="3334" max="3334" width="13.5546875" style="30" customWidth="1"/>
    <col min="3335" max="3576" width="13.5546875" style="30"/>
    <col min="3577" max="3577" width="22.109375" style="30" customWidth="1"/>
    <col min="3578" max="3584" width="13.5546875" style="30" customWidth="1"/>
    <col min="3585" max="3585" width="15.88671875" style="30" customWidth="1"/>
    <col min="3586" max="3586" width="16.5546875" style="30" bestFit="1" customWidth="1"/>
    <col min="3587" max="3587" width="13.5546875" style="30" customWidth="1"/>
    <col min="3588" max="3588" width="17.109375" style="30" bestFit="1" customWidth="1"/>
    <col min="3589" max="3589" width="4" style="30" customWidth="1"/>
    <col min="3590" max="3590" width="13.5546875" style="30" customWidth="1"/>
    <col min="3591" max="3832" width="13.5546875" style="30"/>
    <col min="3833" max="3833" width="22.109375" style="30" customWidth="1"/>
    <col min="3834" max="3840" width="13.5546875" style="30" customWidth="1"/>
    <col min="3841" max="3841" width="15.88671875" style="30" customWidth="1"/>
    <col min="3842" max="3842" width="16.5546875" style="30" bestFit="1" customWidth="1"/>
    <col min="3843" max="3843" width="13.5546875" style="30" customWidth="1"/>
    <col min="3844" max="3844" width="17.109375" style="30" bestFit="1" customWidth="1"/>
    <col min="3845" max="3845" width="4" style="30" customWidth="1"/>
    <col min="3846" max="3846" width="13.5546875" style="30" customWidth="1"/>
    <col min="3847" max="4088" width="13.5546875" style="30"/>
    <col min="4089" max="4089" width="22.109375" style="30" customWidth="1"/>
    <col min="4090" max="4096" width="13.5546875" style="30" customWidth="1"/>
    <col min="4097" max="4097" width="15.88671875" style="30" customWidth="1"/>
    <col min="4098" max="4098" width="16.5546875" style="30" bestFit="1" customWidth="1"/>
    <col min="4099" max="4099" width="13.5546875" style="30" customWidth="1"/>
    <col min="4100" max="4100" width="17.109375" style="30" bestFit="1" customWidth="1"/>
    <col min="4101" max="4101" width="4" style="30" customWidth="1"/>
    <col min="4102" max="4102" width="13.5546875" style="30" customWidth="1"/>
    <col min="4103" max="4344" width="13.5546875" style="30"/>
    <col min="4345" max="4345" width="22.109375" style="30" customWidth="1"/>
    <col min="4346" max="4352" width="13.5546875" style="30" customWidth="1"/>
    <col min="4353" max="4353" width="15.88671875" style="30" customWidth="1"/>
    <col min="4354" max="4354" width="16.5546875" style="30" bestFit="1" customWidth="1"/>
    <col min="4355" max="4355" width="13.5546875" style="30" customWidth="1"/>
    <col min="4356" max="4356" width="17.109375" style="30" bestFit="1" customWidth="1"/>
    <col min="4357" max="4357" width="4" style="30" customWidth="1"/>
    <col min="4358" max="4358" width="13.5546875" style="30" customWidth="1"/>
    <col min="4359" max="4600" width="13.5546875" style="30"/>
    <col min="4601" max="4601" width="22.109375" style="30" customWidth="1"/>
    <col min="4602" max="4608" width="13.5546875" style="30" customWidth="1"/>
    <col min="4609" max="4609" width="15.88671875" style="30" customWidth="1"/>
    <col min="4610" max="4610" width="16.5546875" style="30" bestFit="1" customWidth="1"/>
    <col min="4611" max="4611" width="13.5546875" style="30" customWidth="1"/>
    <col min="4612" max="4612" width="17.109375" style="30" bestFit="1" customWidth="1"/>
    <col min="4613" max="4613" width="4" style="30" customWidth="1"/>
    <col min="4614" max="4614" width="13.5546875" style="30" customWidth="1"/>
    <col min="4615" max="4856" width="13.5546875" style="30"/>
    <col min="4857" max="4857" width="22.109375" style="30" customWidth="1"/>
    <col min="4858" max="4864" width="13.5546875" style="30" customWidth="1"/>
    <col min="4865" max="4865" width="15.88671875" style="30" customWidth="1"/>
    <col min="4866" max="4866" width="16.5546875" style="30" bestFit="1" customWidth="1"/>
    <col min="4867" max="4867" width="13.5546875" style="30" customWidth="1"/>
    <col min="4868" max="4868" width="17.109375" style="30" bestFit="1" customWidth="1"/>
    <col min="4869" max="4869" width="4" style="30" customWidth="1"/>
    <col min="4870" max="4870" width="13.5546875" style="30" customWidth="1"/>
    <col min="4871" max="5112" width="13.5546875" style="30"/>
    <col min="5113" max="5113" width="22.109375" style="30" customWidth="1"/>
    <col min="5114" max="5120" width="13.5546875" style="30" customWidth="1"/>
    <col min="5121" max="5121" width="15.88671875" style="30" customWidth="1"/>
    <col min="5122" max="5122" width="16.5546875" style="30" bestFit="1" customWidth="1"/>
    <col min="5123" max="5123" width="13.5546875" style="30" customWidth="1"/>
    <col min="5124" max="5124" width="17.109375" style="30" bestFit="1" customWidth="1"/>
    <col min="5125" max="5125" width="4" style="30" customWidth="1"/>
    <col min="5126" max="5126" width="13.5546875" style="30" customWidth="1"/>
    <col min="5127" max="5368" width="13.5546875" style="30"/>
    <col min="5369" max="5369" width="22.109375" style="30" customWidth="1"/>
    <col min="5370" max="5376" width="13.5546875" style="30" customWidth="1"/>
    <col min="5377" max="5377" width="15.88671875" style="30" customWidth="1"/>
    <col min="5378" max="5378" width="16.5546875" style="30" bestFit="1" customWidth="1"/>
    <col min="5379" max="5379" width="13.5546875" style="30" customWidth="1"/>
    <col min="5380" max="5380" width="17.109375" style="30" bestFit="1" customWidth="1"/>
    <col min="5381" max="5381" width="4" style="30" customWidth="1"/>
    <col min="5382" max="5382" width="13.5546875" style="30" customWidth="1"/>
    <col min="5383" max="5624" width="13.5546875" style="30"/>
    <col min="5625" max="5625" width="22.109375" style="30" customWidth="1"/>
    <col min="5626" max="5632" width="13.5546875" style="30" customWidth="1"/>
    <col min="5633" max="5633" width="15.88671875" style="30" customWidth="1"/>
    <col min="5634" max="5634" width="16.5546875" style="30" bestFit="1" customWidth="1"/>
    <col min="5635" max="5635" width="13.5546875" style="30" customWidth="1"/>
    <col min="5636" max="5636" width="17.109375" style="30" bestFit="1" customWidth="1"/>
    <col min="5637" max="5637" width="4" style="30" customWidth="1"/>
    <col min="5638" max="5638" width="13.5546875" style="30" customWidth="1"/>
    <col min="5639" max="5880" width="13.5546875" style="30"/>
    <col min="5881" max="5881" width="22.109375" style="30" customWidth="1"/>
    <col min="5882" max="5888" width="13.5546875" style="30" customWidth="1"/>
    <col min="5889" max="5889" width="15.88671875" style="30" customWidth="1"/>
    <col min="5890" max="5890" width="16.5546875" style="30" bestFit="1" customWidth="1"/>
    <col min="5891" max="5891" width="13.5546875" style="30" customWidth="1"/>
    <col min="5892" max="5892" width="17.109375" style="30" bestFit="1" customWidth="1"/>
    <col min="5893" max="5893" width="4" style="30" customWidth="1"/>
    <col min="5894" max="5894" width="13.5546875" style="30" customWidth="1"/>
    <col min="5895" max="6136" width="13.5546875" style="30"/>
    <col min="6137" max="6137" width="22.109375" style="30" customWidth="1"/>
    <col min="6138" max="6144" width="13.5546875" style="30" customWidth="1"/>
    <col min="6145" max="6145" width="15.88671875" style="30" customWidth="1"/>
    <col min="6146" max="6146" width="16.5546875" style="30" bestFit="1" customWidth="1"/>
    <col min="6147" max="6147" width="13.5546875" style="30" customWidth="1"/>
    <col min="6148" max="6148" width="17.109375" style="30" bestFit="1" customWidth="1"/>
    <col min="6149" max="6149" width="4" style="30" customWidth="1"/>
    <col min="6150" max="6150" width="13.5546875" style="30" customWidth="1"/>
    <col min="6151" max="6392" width="13.5546875" style="30"/>
    <col min="6393" max="6393" width="22.109375" style="30" customWidth="1"/>
    <col min="6394" max="6400" width="13.5546875" style="30" customWidth="1"/>
    <col min="6401" max="6401" width="15.88671875" style="30" customWidth="1"/>
    <col min="6402" max="6402" width="16.5546875" style="30" bestFit="1" customWidth="1"/>
    <col min="6403" max="6403" width="13.5546875" style="30" customWidth="1"/>
    <col min="6404" max="6404" width="17.109375" style="30" bestFit="1" customWidth="1"/>
    <col min="6405" max="6405" width="4" style="30" customWidth="1"/>
    <col min="6406" max="6406" width="13.5546875" style="30" customWidth="1"/>
    <col min="6407" max="6648" width="13.5546875" style="30"/>
    <col min="6649" max="6649" width="22.109375" style="30" customWidth="1"/>
    <col min="6650" max="6656" width="13.5546875" style="30" customWidth="1"/>
    <col min="6657" max="6657" width="15.88671875" style="30" customWidth="1"/>
    <col min="6658" max="6658" width="16.5546875" style="30" bestFit="1" customWidth="1"/>
    <col min="6659" max="6659" width="13.5546875" style="30" customWidth="1"/>
    <col min="6660" max="6660" width="17.109375" style="30" bestFit="1" customWidth="1"/>
    <col min="6661" max="6661" width="4" style="30" customWidth="1"/>
    <col min="6662" max="6662" width="13.5546875" style="30" customWidth="1"/>
    <col min="6663" max="6904" width="13.5546875" style="30"/>
    <col min="6905" max="6905" width="22.109375" style="30" customWidth="1"/>
    <col min="6906" max="6912" width="13.5546875" style="30" customWidth="1"/>
    <col min="6913" max="6913" width="15.88671875" style="30" customWidth="1"/>
    <col min="6914" max="6914" width="16.5546875" style="30" bestFit="1" customWidth="1"/>
    <col min="6915" max="6915" width="13.5546875" style="30" customWidth="1"/>
    <col min="6916" max="6916" width="17.109375" style="30" bestFit="1" customWidth="1"/>
    <col min="6917" max="6917" width="4" style="30" customWidth="1"/>
    <col min="6918" max="6918" width="13.5546875" style="30" customWidth="1"/>
    <col min="6919" max="7160" width="13.5546875" style="30"/>
    <col min="7161" max="7161" width="22.109375" style="30" customWidth="1"/>
    <col min="7162" max="7168" width="13.5546875" style="30" customWidth="1"/>
    <col min="7169" max="7169" width="15.88671875" style="30" customWidth="1"/>
    <col min="7170" max="7170" width="16.5546875" style="30" bestFit="1" customWidth="1"/>
    <col min="7171" max="7171" width="13.5546875" style="30" customWidth="1"/>
    <col min="7172" max="7172" width="17.109375" style="30" bestFit="1" customWidth="1"/>
    <col min="7173" max="7173" width="4" style="30" customWidth="1"/>
    <col min="7174" max="7174" width="13.5546875" style="30" customWidth="1"/>
    <col min="7175" max="7416" width="13.5546875" style="30"/>
    <col min="7417" max="7417" width="22.109375" style="30" customWidth="1"/>
    <col min="7418" max="7424" width="13.5546875" style="30" customWidth="1"/>
    <col min="7425" max="7425" width="15.88671875" style="30" customWidth="1"/>
    <col min="7426" max="7426" width="16.5546875" style="30" bestFit="1" customWidth="1"/>
    <col min="7427" max="7427" width="13.5546875" style="30" customWidth="1"/>
    <col min="7428" max="7428" width="17.109375" style="30" bestFit="1" customWidth="1"/>
    <col min="7429" max="7429" width="4" style="30" customWidth="1"/>
    <col min="7430" max="7430" width="13.5546875" style="30" customWidth="1"/>
    <col min="7431" max="7672" width="13.5546875" style="30"/>
    <col min="7673" max="7673" width="22.109375" style="30" customWidth="1"/>
    <col min="7674" max="7680" width="13.5546875" style="30" customWidth="1"/>
    <col min="7681" max="7681" width="15.88671875" style="30" customWidth="1"/>
    <col min="7682" max="7682" width="16.5546875" style="30" bestFit="1" customWidth="1"/>
    <col min="7683" max="7683" width="13.5546875" style="30" customWidth="1"/>
    <col min="7684" max="7684" width="17.109375" style="30" bestFit="1" customWidth="1"/>
    <col min="7685" max="7685" width="4" style="30" customWidth="1"/>
    <col min="7686" max="7686" width="13.5546875" style="30" customWidth="1"/>
    <col min="7687" max="7928" width="13.5546875" style="30"/>
    <col min="7929" max="7929" width="22.109375" style="30" customWidth="1"/>
    <col min="7930" max="7936" width="13.5546875" style="30" customWidth="1"/>
    <col min="7937" max="7937" width="15.88671875" style="30" customWidth="1"/>
    <col min="7938" max="7938" width="16.5546875" style="30" bestFit="1" customWidth="1"/>
    <col min="7939" max="7939" width="13.5546875" style="30" customWidth="1"/>
    <col min="7940" max="7940" width="17.109375" style="30" bestFit="1" customWidth="1"/>
    <col min="7941" max="7941" width="4" style="30" customWidth="1"/>
    <col min="7942" max="7942" width="13.5546875" style="30" customWidth="1"/>
    <col min="7943" max="8184" width="13.5546875" style="30"/>
    <col min="8185" max="8185" width="22.109375" style="30" customWidth="1"/>
    <col min="8186" max="8192" width="13.5546875" style="30" customWidth="1"/>
    <col min="8193" max="8193" width="15.88671875" style="30" customWidth="1"/>
    <col min="8194" max="8194" width="16.5546875" style="30" bestFit="1" customWidth="1"/>
    <col min="8195" max="8195" width="13.5546875" style="30" customWidth="1"/>
    <col min="8196" max="8196" width="17.109375" style="30" bestFit="1" customWidth="1"/>
    <col min="8197" max="8197" width="4" style="30" customWidth="1"/>
    <col min="8198" max="8198" width="13.5546875" style="30" customWidth="1"/>
    <col min="8199" max="8440" width="13.5546875" style="30"/>
    <col min="8441" max="8441" width="22.109375" style="30" customWidth="1"/>
    <col min="8442" max="8448" width="13.5546875" style="30" customWidth="1"/>
    <col min="8449" max="8449" width="15.88671875" style="30" customWidth="1"/>
    <col min="8450" max="8450" width="16.5546875" style="30" bestFit="1" customWidth="1"/>
    <col min="8451" max="8451" width="13.5546875" style="30" customWidth="1"/>
    <col min="8452" max="8452" width="17.109375" style="30" bestFit="1" customWidth="1"/>
    <col min="8453" max="8453" width="4" style="30" customWidth="1"/>
    <col min="8454" max="8454" width="13.5546875" style="30" customWidth="1"/>
    <col min="8455" max="8696" width="13.5546875" style="30"/>
    <col min="8697" max="8697" width="22.109375" style="30" customWidth="1"/>
    <col min="8698" max="8704" width="13.5546875" style="30" customWidth="1"/>
    <col min="8705" max="8705" width="15.88671875" style="30" customWidth="1"/>
    <col min="8706" max="8706" width="16.5546875" style="30" bestFit="1" customWidth="1"/>
    <col min="8707" max="8707" width="13.5546875" style="30" customWidth="1"/>
    <col min="8708" max="8708" width="17.109375" style="30" bestFit="1" customWidth="1"/>
    <col min="8709" max="8709" width="4" style="30" customWidth="1"/>
    <col min="8710" max="8710" width="13.5546875" style="30" customWidth="1"/>
    <col min="8711" max="8952" width="13.5546875" style="30"/>
    <col min="8953" max="8953" width="22.109375" style="30" customWidth="1"/>
    <col min="8954" max="8960" width="13.5546875" style="30" customWidth="1"/>
    <col min="8961" max="8961" width="15.88671875" style="30" customWidth="1"/>
    <col min="8962" max="8962" width="16.5546875" style="30" bestFit="1" customWidth="1"/>
    <col min="8963" max="8963" width="13.5546875" style="30" customWidth="1"/>
    <col min="8964" max="8964" width="17.109375" style="30" bestFit="1" customWidth="1"/>
    <col min="8965" max="8965" width="4" style="30" customWidth="1"/>
    <col min="8966" max="8966" width="13.5546875" style="30" customWidth="1"/>
    <col min="8967" max="9208" width="13.5546875" style="30"/>
    <col min="9209" max="9209" width="22.109375" style="30" customWidth="1"/>
    <col min="9210" max="9216" width="13.5546875" style="30" customWidth="1"/>
    <col min="9217" max="9217" width="15.88671875" style="30" customWidth="1"/>
    <col min="9218" max="9218" width="16.5546875" style="30" bestFit="1" customWidth="1"/>
    <col min="9219" max="9219" width="13.5546875" style="30" customWidth="1"/>
    <col min="9220" max="9220" width="17.109375" style="30" bestFit="1" customWidth="1"/>
    <col min="9221" max="9221" width="4" style="30" customWidth="1"/>
    <col min="9222" max="9222" width="13.5546875" style="30" customWidth="1"/>
    <col min="9223" max="9464" width="13.5546875" style="30"/>
    <col min="9465" max="9465" width="22.109375" style="30" customWidth="1"/>
    <col min="9466" max="9472" width="13.5546875" style="30" customWidth="1"/>
    <col min="9473" max="9473" width="15.88671875" style="30" customWidth="1"/>
    <col min="9474" max="9474" width="16.5546875" style="30" bestFit="1" customWidth="1"/>
    <col min="9475" max="9475" width="13.5546875" style="30" customWidth="1"/>
    <col min="9476" max="9476" width="17.109375" style="30" bestFit="1" customWidth="1"/>
    <col min="9477" max="9477" width="4" style="30" customWidth="1"/>
    <col min="9478" max="9478" width="13.5546875" style="30" customWidth="1"/>
    <col min="9479" max="9720" width="13.5546875" style="30"/>
    <col min="9721" max="9721" width="22.109375" style="30" customWidth="1"/>
    <col min="9722" max="9728" width="13.5546875" style="30" customWidth="1"/>
    <col min="9729" max="9729" width="15.88671875" style="30" customWidth="1"/>
    <col min="9730" max="9730" width="16.5546875" style="30" bestFit="1" customWidth="1"/>
    <col min="9731" max="9731" width="13.5546875" style="30" customWidth="1"/>
    <col min="9732" max="9732" width="17.109375" style="30" bestFit="1" customWidth="1"/>
    <col min="9733" max="9733" width="4" style="30" customWidth="1"/>
    <col min="9734" max="9734" width="13.5546875" style="30" customWidth="1"/>
    <col min="9735" max="9976" width="13.5546875" style="30"/>
    <col min="9977" max="9977" width="22.109375" style="30" customWidth="1"/>
    <col min="9978" max="9984" width="13.5546875" style="30" customWidth="1"/>
    <col min="9985" max="9985" width="15.88671875" style="30" customWidth="1"/>
    <col min="9986" max="9986" width="16.5546875" style="30" bestFit="1" customWidth="1"/>
    <col min="9987" max="9987" width="13.5546875" style="30" customWidth="1"/>
    <col min="9988" max="9988" width="17.109375" style="30" bestFit="1" customWidth="1"/>
    <col min="9989" max="9989" width="4" style="30" customWidth="1"/>
    <col min="9990" max="9990" width="13.5546875" style="30" customWidth="1"/>
    <col min="9991" max="10232" width="13.5546875" style="30"/>
    <col min="10233" max="10233" width="22.109375" style="30" customWidth="1"/>
    <col min="10234" max="10240" width="13.5546875" style="30" customWidth="1"/>
    <col min="10241" max="10241" width="15.88671875" style="30" customWidth="1"/>
    <col min="10242" max="10242" width="16.5546875" style="30" bestFit="1" customWidth="1"/>
    <col min="10243" max="10243" width="13.5546875" style="30" customWidth="1"/>
    <col min="10244" max="10244" width="17.109375" style="30" bestFit="1" customWidth="1"/>
    <col min="10245" max="10245" width="4" style="30" customWidth="1"/>
    <col min="10246" max="10246" width="13.5546875" style="30" customWidth="1"/>
    <col min="10247" max="10488" width="13.5546875" style="30"/>
    <col min="10489" max="10489" width="22.109375" style="30" customWidth="1"/>
    <col min="10490" max="10496" width="13.5546875" style="30" customWidth="1"/>
    <col min="10497" max="10497" width="15.88671875" style="30" customWidth="1"/>
    <col min="10498" max="10498" width="16.5546875" style="30" bestFit="1" customWidth="1"/>
    <col min="10499" max="10499" width="13.5546875" style="30" customWidth="1"/>
    <col min="10500" max="10500" width="17.109375" style="30" bestFit="1" customWidth="1"/>
    <col min="10501" max="10501" width="4" style="30" customWidth="1"/>
    <col min="10502" max="10502" width="13.5546875" style="30" customWidth="1"/>
    <col min="10503" max="10744" width="13.5546875" style="30"/>
    <col min="10745" max="10745" width="22.109375" style="30" customWidth="1"/>
    <col min="10746" max="10752" width="13.5546875" style="30" customWidth="1"/>
    <col min="10753" max="10753" width="15.88671875" style="30" customWidth="1"/>
    <col min="10754" max="10754" width="16.5546875" style="30" bestFit="1" customWidth="1"/>
    <col min="10755" max="10755" width="13.5546875" style="30" customWidth="1"/>
    <col min="10756" max="10756" width="17.109375" style="30" bestFit="1" customWidth="1"/>
    <col min="10757" max="10757" width="4" style="30" customWidth="1"/>
    <col min="10758" max="10758" width="13.5546875" style="30" customWidth="1"/>
    <col min="10759" max="11000" width="13.5546875" style="30"/>
    <col min="11001" max="11001" width="22.109375" style="30" customWidth="1"/>
    <col min="11002" max="11008" width="13.5546875" style="30" customWidth="1"/>
    <col min="11009" max="11009" width="15.88671875" style="30" customWidth="1"/>
    <col min="11010" max="11010" width="16.5546875" style="30" bestFit="1" customWidth="1"/>
    <col min="11011" max="11011" width="13.5546875" style="30" customWidth="1"/>
    <col min="11012" max="11012" width="17.109375" style="30" bestFit="1" customWidth="1"/>
    <col min="11013" max="11013" width="4" style="30" customWidth="1"/>
    <col min="11014" max="11014" width="13.5546875" style="30" customWidth="1"/>
    <col min="11015" max="11256" width="13.5546875" style="30"/>
    <col min="11257" max="11257" width="22.109375" style="30" customWidth="1"/>
    <col min="11258" max="11264" width="13.5546875" style="30" customWidth="1"/>
    <col min="11265" max="11265" width="15.88671875" style="30" customWidth="1"/>
    <col min="11266" max="11266" width="16.5546875" style="30" bestFit="1" customWidth="1"/>
    <col min="11267" max="11267" width="13.5546875" style="30" customWidth="1"/>
    <col min="11268" max="11268" width="17.109375" style="30" bestFit="1" customWidth="1"/>
    <col min="11269" max="11269" width="4" style="30" customWidth="1"/>
    <col min="11270" max="11270" width="13.5546875" style="30" customWidth="1"/>
    <col min="11271" max="11512" width="13.5546875" style="30"/>
    <col min="11513" max="11513" width="22.109375" style="30" customWidth="1"/>
    <col min="11514" max="11520" width="13.5546875" style="30" customWidth="1"/>
    <col min="11521" max="11521" width="15.88671875" style="30" customWidth="1"/>
    <col min="11522" max="11522" width="16.5546875" style="30" bestFit="1" customWidth="1"/>
    <col min="11523" max="11523" width="13.5546875" style="30" customWidth="1"/>
    <col min="11524" max="11524" width="17.109375" style="30" bestFit="1" customWidth="1"/>
    <col min="11525" max="11525" width="4" style="30" customWidth="1"/>
    <col min="11526" max="11526" width="13.5546875" style="30" customWidth="1"/>
    <col min="11527" max="11768" width="13.5546875" style="30"/>
    <col min="11769" max="11769" width="22.109375" style="30" customWidth="1"/>
    <col min="11770" max="11776" width="13.5546875" style="30" customWidth="1"/>
    <col min="11777" max="11777" width="15.88671875" style="30" customWidth="1"/>
    <col min="11778" max="11778" width="16.5546875" style="30" bestFit="1" customWidth="1"/>
    <col min="11779" max="11779" width="13.5546875" style="30" customWidth="1"/>
    <col min="11780" max="11780" width="17.109375" style="30" bestFit="1" customWidth="1"/>
    <col min="11781" max="11781" width="4" style="30" customWidth="1"/>
    <col min="11782" max="11782" width="13.5546875" style="30" customWidth="1"/>
    <col min="11783" max="12024" width="13.5546875" style="30"/>
    <col min="12025" max="12025" width="22.109375" style="30" customWidth="1"/>
    <col min="12026" max="12032" width="13.5546875" style="30" customWidth="1"/>
    <col min="12033" max="12033" width="15.88671875" style="30" customWidth="1"/>
    <col min="12034" max="12034" width="16.5546875" style="30" bestFit="1" customWidth="1"/>
    <col min="12035" max="12035" width="13.5546875" style="30" customWidth="1"/>
    <col min="12036" max="12036" width="17.109375" style="30" bestFit="1" customWidth="1"/>
    <col min="12037" max="12037" width="4" style="30" customWidth="1"/>
    <col min="12038" max="12038" width="13.5546875" style="30" customWidth="1"/>
    <col min="12039" max="12280" width="13.5546875" style="30"/>
    <col min="12281" max="12281" width="22.109375" style="30" customWidth="1"/>
    <col min="12282" max="12288" width="13.5546875" style="30" customWidth="1"/>
    <col min="12289" max="12289" width="15.88671875" style="30" customWidth="1"/>
    <col min="12290" max="12290" width="16.5546875" style="30" bestFit="1" customWidth="1"/>
    <col min="12291" max="12291" width="13.5546875" style="30" customWidth="1"/>
    <col min="12292" max="12292" width="17.109375" style="30" bestFit="1" customWidth="1"/>
    <col min="12293" max="12293" width="4" style="30" customWidth="1"/>
    <col min="12294" max="12294" width="13.5546875" style="30" customWidth="1"/>
    <col min="12295" max="12536" width="13.5546875" style="30"/>
    <col min="12537" max="12537" width="22.109375" style="30" customWidth="1"/>
    <col min="12538" max="12544" width="13.5546875" style="30" customWidth="1"/>
    <col min="12545" max="12545" width="15.88671875" style="30" customWidth="1"/>
    <col min="12546" max="12546" width="16.5546875" style="30" bestFit="1" customWidth="1"/>
    <col min="12547" max="12547" width="13.5546875" style="30" customWidth="1"/>
    <col min="12548" max="12548" width="17.109375" style="30" bestFit="1" customWidth="1"/>
    <col min="12549" max="12549" width="4" style="30" customWidth="1"/>
    <col min="12550" max="12550" width="13.5546875" style="30" customWidth="1"/>
    <col min="12551" max="12792" width="13.5546875" style="30"/>
    <col min="12793" max="12793" width="22.109375" style="30" customWidth="1"/>
    <col min="12794" max="12800" width="13.5546875" style="30" customWidth="1"/>
    <col min="12801" max="12801" width="15.88671875" style="30" customWidth="1"/>
    <col min="12802" max="12802" width="16.5546875" style="30" bestFit="1" customWidth="1"/>
    <col min="12803" max="12803" width="13.5546875" style="30" customWidth="1"/>
    <col min="12804" max="12804" width="17.109375" style="30" bestFit="1" customWidth="1"/>
    <col min="12805" max="12805" width="4" style="30" customWidth="1"/>
    <col min="12806" max="12806" width="13.5546875" style="30" customWidth="1"/>
    <col min="12807" max="13048" width="13.5546875" style="30"/>
    <col min="13049" max="13049" width="22.109375" style="30" customWidth="1"/>
    <col min="13050" max="13056" width="13.5546875" style="30" customWidth="1"/>
    <col min="13057" max="13057" width="15.88671875" style="30" customWidth="1"/>
    <col min="13058" max="13058" width="16.5546875" style="30" bestFit="1" customWidth="1"/>
    <col min="13059" max="13059" width="13.5546875" style="30" customWidth="1"/>
    <col min="13060" max="13060" width="17.109375" style="30" bestFit="1" customWidth="1"/>
    <col min="13061" max="13061" width="4" style="30" customWidth="1"/>
    <col min="13062" max="13062" width="13.5546875" style="30" customWidth="1"/>
    <col min="13063" max="13304" width="13.5546875" style="30"/>
    <col min="13305" max="13305" width="22.109375" style="30" customWidth="1"/>
    <col min="13306" max="13312" width="13.5546875" style="30" customWidth="1"/>
    <col min="13313" max="13313" width="15.88671875" style="30" customWidth="1"/>
    <col min="13314" max="13314" width="16.5546875" style="30" bestFit="1" customWidth="1"/>
    <col min="13315" max="13315" width="13.5546875" style="30" customWidth="1"/>
    <col min="13316" max="13316" width="17.109375" style="30" bestFit="1" customWidth="1"/>
    <col min="13317" max="13317" width="4" style="30" customWidth="1"/>
    <col min="13318" max="13318" width="13.5546875" style="30" customWidth="1"/>
    <col min="13319" max="13560" width="13.5546875" style="30"/>
    <col min="13561" max="13561" width="22.109375" style="30" customWidth="1"/>
    <col min="13562" max="13568" width="13.5546875" style="30" customWidth="1"/>
    <col min="13569" max="13569" width="15.88671875" style="30" customWidth="1"/>
    <col min="13570" max="13570" width="16.5546875" style="30" bestFit="1" customWidth="1"/>
    <col min="13571" max="13571" width="13.5546875" style="30" customWidth="1"/>
    <col min="13572" max="13572" width="17.109375" style="30" bestFit="1" customWidth="1"/>
    <col min="13573" max="13573" width="4" style="30" customWidth="1"/>
    <col min="13574" max="13574" width="13.5546875" style="30" customWidth="1"/>
    <col min="13575" max="13816" width="13.5546875" style="30"/>
    <col min="13817" max="13817" width="22.109375" style="30" customWidth="1"/>
    <col min="13818" max="13824" width="13.5546875" style="30" customWidth="1"/>
    <col min="13825" max="13825" width="15.88671875" style="30" customWidth="1"/>
    <col min="13826" max="13826" width="16.5546875" style="30" bestFit="1" customWidth="1"/>
    <col min="13827" max="13827" width="13.5546875" style="30" customWidth="1"/>
    <col min="13828" max="13828" width="17.109375" style="30" bestFit="1" customWidth="1"/>
    <col min="13829" max="13829" width="4" style="30" customWidth="1"/>
    <col min="13830" max="13830" width="13.5546875" style="30" customWidth="1"/>
    <col min="13831" max="14072" width="13.5546875" style="30"/>
    <col min="14073" max="14073" width="22.109375" style="30" customWidth="1"/>
    <col min="14074" max="14080" width="13.5546875" style="30" customWidth="1"/>
    <col min="14081" max="14081" width="15.88671875" style="30" customWidth="1"/>
    <col min="14082" max="14082" width="16.5546875" style="30" bestFit="1" customWidth="1"/>
    <col min="14083" max="14083" width="13.5546875" style="30" customWidth="1"/>
    <col min="14084" max="14084" width="17.109375" style="30" bestFit="1" customWidth="1"/>
    <col min="14085" max="14085" width="4" style="30" customWidth="1"/>
    <col min="14086" max="14086" width="13.5546875" style="30" customWidth="1"/>
    <col min="14087" max="14328" width="13.5546875" style="30"/>
    <col min="14329" max="14329" width="22.109375" style="30" customWidth="1"/>
    <col min="14330" max="14336" width="13.5546875" style="30" customWidth="1"/>
    <col min="14337" max="14337" width="15.88671875" style="30" customWidth="1"/>
    <col min="14338" max="14338" width="16.5546875" style="30" bestFit="1" customWidth="1"/>
    <col min="14339" max="14339" width="13.5546875" style="30" customWidth="1"/>
    <col min="14340" max="14340" width="17.109375" style="30" bestFit="1" customWidth="1"/>
    <col min="14341" max="14341" width="4" style="30" customWidth="1"/>
    <col min="14342" max="14342" width="13.5546875" style="30" customWidth="1"/>
    <col min="14343" max="14584" width="13.5546875" style="30"/>
    <col min="14585" max="14585" width="22.109375" style="30" customWidth="1"/>
    <col min="14586" max="14592" width="13.5546875" style="30" customWidth="1"/>
    <col min="14593" max="14593" width="15.88671875" style="30" customWidth="1"/>
    <col min="14594" max="14594" width="16.5546875" style="30" bestFit="1" customWidth="1"/>
    <col min="14595" max="14595" width="13.5546875" style="30" customWidth="1"/>
    <col min="14596" max="14596" width="17.109375" style="30" bestFit="1" customWidth="1"/>
    <col min="14597" max="14597" width="4" style="30" customWidth="1"/>
    <col min="14598" max="14598" width="13.5546875" style="30" customWidth="1"/>
    <col min="14599" max="14840" width="13.5546875" style="30"/>
    <col min="14841" max="14841" width="22.109375" style="30" customWidth="1"/>
    <col min="14842" max="14848" width="13.5546875" style="30" customWidth="1"/>
    <col min="14849" max="14849" width="15.88671875" style="30" customWidth="1"/>
    <col min="14850" max="14850" width="16.5546875" style="30" bestFit="1" customWidth="1"/>
    <col min="14851" max="14851" width="13.5546875" style="30" customWidth="1"/>
    <col min="14852" max="14852" width="17.109375" style="30" bestFit="1" customWidth="1"/>
    <col min="14853" max="14853" width="4" style="30" customWidth="1"/>
    <col min="14854" max="14854" width="13.5546875" style="30" customWidth="1"/>
    <col min="14855" max="15096" width="13.5546875" style="30"/>
    <col min="15097" max="15097" width="22.109375" style="30" customWidth="1"/>
    <col min="15098" max="15104" width="13.5546875" style="30" customWidth="1"/>
    <col min="15105" max="15105" width="15.88671875" style="30" customWidth="1"/>
    <col min="15106" max="15106" width="16.5546875" style="30" bestFit="1" customWidth="1"/>
    <col min="15107" max="15107" width="13.5546875" style="30" customWidth="1"/>
    <col min="15108" max="15108" width="17.109375" style="30" bestFit="1" customWidth="1"/>
    <col min="15109" max="15109" width="4" style="30" customWidth="1"/>
    <col min="15110" max="15110" width="13.5546875" style="30" customWidth="1"/>
    <col min="15111" max="15352" width="13.5546875" style="30"/>
    <col min="15353" max="15353" width="22.109375" style="30" customWidth="1"/>
    <col min="15354" max="15360" width="13.5546875" style="30" customWidth="1"/>
    <col min="15361" max="15361" width="15.88671875" style="30" customWidth="1"/>
    <col min="15362" max="15362" width="16.5546875" style="30" bestFit="1" customWidth="1"/>
    <col min="15363" max="15363" width="13.5546875" style="30" customWidth="1"/>
    <col min="15364" max="15364" width="17.109375" style="30" bestFit="1" customWidth="1"/>
    <col min="15365" max="15365" width="4" style="30" customWidth="1"/>
    <col min="15366" max="15366" width="13.5546875" style="30" customWidth="1"/>
    <col min="15367" max="15608" width="13.5546875" style="30"/>
    <col min="15609" max="15609" width="22.109375" style="30" customWidth="1"/>
    <col min="15610" max="15616" width="13.5546875" style="30" customWidth="1"/>
    <col min="15617" max="15617" width="15.88671875" style="30" customWidth="1"/>
    <col min="15618" max="15618" width="16.5546875" style="30" bestFit="1" customWidth="1"/>
    <col min="15619" max="15619" width="13.5546875" style="30" customWidth="1"/>
    <col min="15620" max="15620" width="17.109375" style="30" bestFit="1" customWidth="1"/>
    <col min="15621" max="15621" width="4" style="30" customWidth="1"/>
    <col min="15622" max="15622" width="13.5546875" style="30" customWidth="1"/>
    <col min="15623" max="15864" width="13.5546875" style="30"/>
    <col min="15865" max="15865" width="22.109375" style="30" customWidth="1"/>
    <col min="15866" max="15872" width="13.5546875" style="30" customWidth="1"/>
    <col min="15873" max="15873" width="15.88671875" style="30" customWidth="1"/>
    <col min="15874" max="15874" width="16.5546875" style="30" bestFit="1" customWidth="1"/>
    <col min="15875" max="15875" width="13.5546875" style="30" customWidth="1"/>
    <col min="15876" max="15876" width="17.109375" style="30" bestFit="1" customWidth="1"/>
    <col min="15877" max="15877" width="4" style="30" customWidth="1"/>
    <col min="15878" max="15878" width="13.5546875" style="30" customWidth="1"/>
    <col min="15879" max="16120" width="13.5546875" style="30"/>
    <col min="16121" max="16121" width="22.109375" style="30" customWidth="1"/>
    <col min="16122" max="16128" width="13.5546875" style="30" customWidth="1"/>
    <col min="16129" max="16129" width="15.88671875" style="30" customWidth="1"/>
    <col min="16130" max="16130" width="16.5546875" style="30" bestFit="1" customWidth="1"/>
    <col min="16131" max="16131" width="13.5546875" style="30" customWidth="1"/>
    <col min="16132" max="16132" width="17.109375" style="30" bestFit="1" customWidth="1"/>
    <col min="16133" max="16133" width="4" style="30" customWidth="1"/>
    <col min="16134" max="16134" width="13.5546875" style="30" customWidth="1"/>
    <col min="16135" max="16384" width="13.5546875" style="30"/>
  </cols>
  <sheetData>
    <row r="1" spans="1:27" s="24" customFormat="1">
      <c r="A1" s="424" t="s">
        <v>4</v>
      </c>
      <c r="B1" s="160"/>
      <c r="C1" s="160"/>
      <c r="D1" s="160"/>
      <c r="E1" s="87"/>
      <c r="F1" s="87"/>
      <c r="G1" s="161"/>
      <c r="H1" s="87"/>
      <c r="I1" s="87"/>
    </row>
    <row r="2" spans="1:27" s="24" customFormat="1" ht="16.2">
      <c r="A2" s="87"/>
      <c r="B2" s="160"/>
      <c r="C2" s="160"/>
      <c r="D2" s="160"/>
      <c r="E2" s="162"/>
      <c r="F2" s="498" t="s">
        <v>896</v>
      </c>
      <c r="G2" s="498" t="s">
        <v>897</v>
      </c>
      <c r="H2" s="162"/>
      <c r="I2" s="87"/>
    </row>
    <row r="3" spans="1:27" s="24" customFormat="1" ht="15.6">
      <c r="A3" s="38" t="str">
        <f>'2-Kosten per locatie'!A3</f>
        <v>Naam opdrachtgever</v>
      </c>
      <c r="B3" s="144" t="str">
        <f>'2-Kosten per locatie'!B3</f>
        <v>Gemeente Zoetermeer</v>
      </c>
      <c r="C3" s="144"/>
      <c r="D3" s="144"/>
      <c r="E3" s="162"/>
      <c r="F3" s="485" t="s">
        <v>898</v>
      </c>
      <c r="G3" s="486"/>
      <c r="H3" s="162"/>
      <c r="I3" s="87"/>
    </row>
    <row r="4" spans="1:27" s="24" customFormat="1" ht="15.6">
      <c r="A4" s="38" t="str">
        <f>'2-Kosten per locatie'!A4</f>
        <v>Calculatie onderdeel</v>
      </c>
      <c r="B4" s="144" t="str">
        <f ca="1">MID(CELL("bestandsnaam",$E$9),SEARCH("]",CELL("bestandsnaam",$E$9),1)+1,256)</f>
        <v>11-Vloeronderhoud</v>
      </c>
      <c r="C4" s="144"/>
      <c r="D4" s="144"/>
      <c r="E4" s="162"/>
      <c r="F4" s="326"/>
      <c r="G4" s="327"/>
      <c r="H4" s="162"/>
      <c r="I4" s="87"/>
    </row>
    <row r="5" spans="1:27" s="24" customFormat="1" ht="15.6">
      <c r="A5" s="38" t="str">
        <f>'2-Kosten per locatie'!A5</f>
        <v>Gebouw/plaats</v>
      </c>
      <c r="B5" s="144" t="str">
        <f>'2-Kosten per locatie'!B5</f>
        <v>Diversen Zoetermeer</v>
      </c>
      <c r="C5" s="144"/>
      <c r="D5" s="144"/>
      <c r="E5" s="162"/>
      <c r="F5" s="326"/>
      <c r="G5" s="327"/>
      <c r="H5" s="162"/>
      <c r="I5" s="163"/>
      <c r="K5" s="26"/>
      <c r="L5" s="25"/>
      <c r="M5" s="26"/>
      <c r="N5" s="26"/>
      <c r="O5" s="25"/>
      <c r="P5" s="27"/>
      <c r="Q5" s="26"/>
      <c r="R5" s="25"/>
      <c r="S5" s="26"/>
      <c r="T5" s="26"/>
      <c r="U5" s="25"/>
      <c r="V5" s="26"/>
      <c r="W5" s="26"/>
      <c r="X5" s="25"/>
      <c r="Y5" s="26"/>
      <c r="Z5" s="26"/>
      <c r="AA5" s="25"/>
    </row>
    <row r="6" spans="1:27" s="24" customFormat="1" ht="17.25" customHeight="1">
      <c r="A6" s="38" t="str">
        <f>'2-Kosten per locatie'!A6</f>
        <v>Referentie nummer</v>
      </c>
      <c r="B6" s="144" t="str">
        <f>'2-Kosten per locatie'!B6</f>
        <v>2025-045275 </v>
      </c>
      <c r="C6" s="144"/>
      <c r="D6" s="144"/>
      <c r="E6" s="162"/>
      <c r="F6" s="326"/>
      <c r="G6" s="327"/>
      <c r="H6" s="162"/>
      <c r="I6" s="163"/>
      <c r="K6" s="28"/>
      <c r="L6" s="29"/>
      <c r="M6" s="26"/>
      <c r="N6" s="28"/>
      <c r="O6" s="29"/>
      <c r="P6" s="27"/>
      <c r="Q6" s="28"/>
      <c r="R6" s="29"/>
      <c r="S6" s="26"/>
      <c r="T6" s="28"/>
      <c r="U6" s="29"/>
      <c r="V6" s="26"/>
      <c r="W6" s="28"/>
      <c r="X6" s="29"/>
      <c r="Y6" s="26"/>
      <c r="Z6" s="28"/>
      <c r="AA6" s="29"/>
    </row>
    <row r="7" spans="1:27" s="24" customFormat="1" ht="17.25" customHeight="1">
      <c r="A7" s="38" t="str">
        <f>'2-Kosten per locatie'!A7</f>
        <v>Naam dienstverlener</v>
      </c>
      <c r="B7" s="144">
        <f>'2-Kosten per locatie'!B7</f>
        <v>0</v>
      </c>
      <c r="C7" s="144"/>
      <c r="D7" s="109"/>
      <c r="E7" s="162"/>
      <c r="F7" s="326"/>
      <c r="G7" s="327"/>
      <c r="H7" s="162"/>
      <c r="I7" s="163"/>
    </row>
    <row r="8" spans="1:27" s="24" customFormat="1" ht="17.25" customHeight="1">
      <c r="A8" s="38" t="str">
        <f>'2-Kosten per locatie'!A8</f>
        <v>Prijspeil</v>
      </c>
      <c r="B8" s="320">
        <f>'2-Kosten per locatie'!B8</f>
        <v>2026</v>
      </c>
      <c r="C8" s="321"/>
      <c r="D8" s="48"/>
      <c r="E8" s="162"/>
      <c r="F8" s="326"/>
      <c r="G8" s="327"/>
      <c r="H8" s="162"/>
      <c r="I8" s="163"/>
    </row>
    <row r="9" spans="1:27" s="24" customFormat="1" ht="15.6">
      <c r="A9" s="164"/>
      <c r="B9" s="162"/>
      <c r="C9" s="162"/>
      <c r="D9" s="162"/>
      <c r="E9" s="165"/>
      <c r="F9" s="162"/>
      <c r="G9" s="166"/>
      <c r="H9" s="165"/>
      <c r="I9" s="163"/>
    </row>
    <row r="10" spans="1:27" s="31" customFormat="1" ht="43.5" customHeight="1">
      <c r="A10" s="325" t="s">
        <v>21</v>
      </c>
      <c r="B10" s="324" t="s">
        <v>100</v>
      </c>
      <c r="C10" s="324" t="s">
        <v>899</v>
      </c>
      <c r="D10" s="324" t="s">
        <v>896</v>
      </c>
      <c r="E10" s="346" t="s">
        <v>875</v>
      </c>
      <c r="F10" s="324" t="s">
        <v>876</v>
      </c>
      <c r="G10" s="324" t="s">
        <v>877</v>
      </c>
      <c r="H10" s="324" t="s">
        <v>878</v>
      </c>
      <c r="I10" s="324" t="s">
        <v>879</v>
      </c>
    </row>
    <row r="11" spans="1:27">
      <c r="A11" s="488" t="s">
        <v>47</v>
      </c>
      <c r="B11" s="485" t="s">
        <v>114</v>
      </c>
      <c r="C11" s="485" t="s">
        <v>438</v>
      </c>
      <c r="D11" s="485" t="s">
        <v>898</v>
      </c>
      <c r="E11" s="499">
        <f>SUMIFS('4-Basis ruimtestaat'!K:K,'4-Basis ruimtestaat'!B:B,A11,'4-Basis ruimtestaat'!I:I,B11)</f>
        <v>258</v>
      </c>
      <c r="F11" s="500">
        <f t="shared" ref="F11:F37" si="0">VLOOKUP(D11,$F$3:$G$8,2,FALSE)</f>
        <v>0</v>
      </c>
      <c r="G11" s="501">
        <f t="shared" ref="G11:G37" si="1">E11*F11</f>
        <v>0</v>
      </c>
      <c r="H11" s="502" t="s">
        <v>883</v>
      </c>
      <c r="I11" s="501">
        <f>G11*H11</f>
        <v>0</v>
      </c>
    </row>
    <row r="12" spans="1:27">
      <c r="A12" s="488" t="s">
        <v>48</v>
      </c>
      <c r="B12" s="485" t="s">
        <v>114</v>
      </c>
      <c r="C12" s="485" t="s">
        <v>438</v>
      </c>
      <c r="D12" s="485" t="s">
        <v>898</v>
      </c>
      <c r="E12" s="499">
        <f>SUMIFS('4-Basis ruimtestaat'!K:K,'4-Basis ruimtestaat'!B:B,A12,'4-Basis ruimtestaat'!I:I,B12)</f>
        <v>253</v>
      </c>
      <c r="F12" s="500">
        <f t="shared" si="0"/>
        <v>0</v>
      </c>
      <c r="G12" s="501">
        <f t="shared" si="1"/>
        <v>0</v>
      </c>
      <c r="H12" s="502" t="s">
        <v>883</v>
      </c>
      <c r="I12" s="501">
        <f t="shared" ref="I12:I37" si="2">G12*H12</f>
        <v>0</v>
      </c>
    </row>
    <row r="13" spans="1:27">
      <c r="A13" s="488" t="s">
        <v>49</v>
      </c>
      <c r="B13" s="485" t="s">
        <v>114</v>
      </c>
      <c r="C13" s="485" t="s">
        <v>444</v>
      </c>
      <c r="D13" s="485" t="s">
        <v>898</v>
      </c>
      <c r="E13" s="499">
        <f>SUMIFS('4-Basis ruimtestaat'!K:K,'4-Basis ruimtestaat'!B:B,A13,'4-Basis ruimtestaat'!I:I,B13)</f>
        <v>685</v>
      </c>
      <c r="F13" s="500">
        <f t="shared" si="0"/>
        <v>0</v>
      </c>
      <c r="G13" s="501">
        <f t="shared" si="1"/>
        <v>0</v>
      </c>
      <c r="H13" s="502" t="s">
        <v>881</v>
      </c>
      <c r="I13" s="501">
        <f t="shared" si="2"/>
        <v>0</v>
      </c>
    </row>
    <row r="14" spans="1:27">
      <c r="A14" s="488" t="s">
        <v>50</v>
      </c>
      <c r="B14" s="485" t="s">
        <v>114</v>
      </c>
      <c r="C14" s="485" t="s">
        <v>438</v>
      </c>
      <c r="D14" s="485" t="s">
        <v>898</v>
      </c>
      <c r="E14" s="499">
        <f>SUMIFS('4-Basis ruimtestaat'!K:K,'4-Basis ruimtestaat'!B:B,A14,'4-Basis ruimtestaat'!I:I,B14)</f>
        <v>292</v>
      </c>
      <c r="F14" s="500">
        <f t="shared" si="0"/>
        <v>0</v>
      </c>
      <c r="G14" s="501">
        <f t="shared" si="1"/>
        <v>0</v>
      </c>
      <c r="H14" s="502" t="s">
        <v>883</v>
      </c>
      <c r="I14" s="501">
        <f t="shared" si="2"/>
        <v>0</v>
      </c>
    </row>
    <row r="15" spans="1:27">
      <c r="A15" s="488" t="s">
        <v>51</v>
      </c>
      <c r="B15" s="485" t="s">
        <v>114</v>
      </c>
      <c r="C15" s="485" t="s">
        <v>444</v>
      </c>
      <c r="D15" s="485" t="s">
        <v>898</v>
      </c>
      <c r="E15" s="499">
        <f>SUMIFS('4-Basis ruimtestaat'!K:K,'4-Basis ruimtestaat'!B:B,A15,'4-Basis ruimtestaat'!I:I,B15)</f>
        <v>694</v>
      </c>
      <c r="F15" s="500">
        <f t="shared" si="0"/>
        <v>0</v>
      </c>
      <c r="G15" s="501">
        <f t="shared" si="1"/>
        <v>0</v>
      </c>
      <c r="H15" s="502" t="s">
        <v>881</v>
      </c>
      <c r="I15" s="501">
        <f t="shared" si="2"/>
        <v>0</v>
      </c>
    </row>
    <row r="16" spans="1:27">
      <c r="A16" s="494" t="s">
        <v>52</v>
      </c>
      <c r="B16" s="485" t="s">
        <v>114</v>
      </c>
      <c r="C16" s="485" t="s">
        <v>444</v>
      </c>
      <c r="D16" s="485" t="s">
        <v>898</v>
      </c>
      <c r="E16" s="499">
        <f>SUMIFS('4-Basis ruimtestaat'!K:K,'4-Basis ruimtestaat'!B:B,A16,'4-Basis ruimtestaat'!I:I,B16)</f>
        <v>675</v>
      </c>
      <c r="F16" s="500">
        <f t="shared" si="0"/>
        <v>0</v>
      </c>
      <c r="G16" s="501">
        <f t="shared" si="1"/>
        <v>0</v>
      </c>
      <c r="H16" s="502" t="s">
        <v>881</v>
      </c>
      <c r="I16" s="501">
        <f t="shared" si="2"/>
        <v>0</v>
      </c>
    </row>
    <row r="17" spans="1:9">
      <c r="A17" s="494" t="s">
        <v>53</v>
      </c>
      <c r="B17" s="485" t="s">
        <v>114</v>
      </c>
      <c r="C17" s="485" t="s">
        <v>444</v>
      </c>
      <c r="D17" s="485" t="s">
        <v>898</v>
      </c>
      <c r="E17" s="499">
        <f>SUMIFS('4-Basis ruimtestaat'!K:K,'4-Basis ruimtestaat'!B:B,A17,'4-Basis ruimtestaat'!I:I,B17)</f>
        <v>692</v>
      </c>
      <c r="F17" s="500">
        <f t="shared" si="0"/>
        <v>0</v>
      </c>
      <c r="G17" s="501">
        <f t="shared" si="1"/>
        <v>0</v>
      </c>
      <c r="H17" s="502" t="s">
        <v>881</v>
      </c>
      <c r="I17" s="501">
        <f t="shared" si="2"/>
        <v>0</v>
      </c>
    </row>
    <row r="18" spans="1:9">
      <c r="A18" s="494" t="s">
        <v>54</v>
      </c>
      <c r="B18" s="485" t="s">
        <v>114</v>
      </c>
      <c r="C18" s="485" t="s">
        <v>438</v>
      </c>
      <c r="D18" s="485" t="s">
        <v>898</v>
      </c>
      <c r="E18" s="499">
        <f>SUMIFS('4-Basis ruimtestaat'!K:K,'4-Basis ruimtestaat'!B:B,A18,'4-Basis ruimtestaat'!I:I,B18)</f>
        <v>292</v>
      </c>
      <c r="F18" s="500">
        <f t="shared" si="0"/>
        <v>0</v>
      </c>
      <c r="G18" s="501">
        <f t="shared" si="1"/>
        <v>0</v>
      </c>
      <c r="H18" s="502" t="s">
        <v>883</v>
      </c>
      <c r="I18" s="501">
        <f t="shared" si="2"/>
        <v>0</v>
      </c>
    </row>
    <row r="19" spans="1:9">
      <c r="A19" s="494" t="s">
        <v>55</v>
      </c>
      <c r="B19" s="485" t="s">
        <v>114</v>
      </c>
      <c r="C19" s="485" t="s">
        <v>438</v>
      </c>
      <c r="D19" s="485" t="s">
        <v>898</v>
      </c>
      <c r="E19" s="499">
        <f>SUMIFS('4-Basis ruimtestaat'!K:K,'4-Basis ruimtestaat'!B:B,A19,'4-Basis ruimtestaat'!I:I,B19)</f>
        <v>240</v>
      </c>
      <c r="F19" s="500">
        <f t="shared" si="0"/>
        <v>0</v>
      </c>
      <c r="G19" s="501">
        <f t="shared" si="1"/>
        <v>0</v>
      </c>
      <c r="H19" s="502" t="s">
        <v>883</v>
      </c>
      <c r="I19" s="501">
        <f t="shared" si="2"/>
        <v>0</v>
      </c>
    </row>
    <row r="20" spans="1:9">
      <c r="A20" s="494" t="s">
        <v>56</v>
      </c>
      <c r="B20" s="485" t="s">
        <v>114</v>
      </c>
      <c r="C20" s="485" t="s">
        <v>438</v>
      </c>
      <c r="D20" s="485" t="s">
        <v>898</v>
      </c>
      <c r="E20" s="499">
        <f>SUMIFS('4-Basis ruimtestaat'!K:K,'4-Basis ruimtestaat'!B:B,A20,'4-Basis ruimtestaat'!I:I,B20)</f>
        <v>298</v>
      </c>
      <c r="F20" s="500">
        <f t="shared" si="0"/>
        <v>0</v>
      </c>
      <c r="G20" s="501">
        <f t="shared" si="1"/>
        <v>0</v>
      </c>
      <c r="H20" s="502" t="s">
        <v>883</v>
      </c>
      <c r="I20" s="501">
        <f t="shared" si="2"/>
        <v>0</v>
      </c>
    </row>
    <row r="21" spans="1:9">
      <c r="A21" s="494" t="s">
        <v>57</v>
      </c>
      <c r="B21" s="485" t="s">
        <v>114</v>
      </c>
      <c r="C21" s="485" t="s">
        <v>438</v>
      </c>
      <c r="D21" s="485" t="s">
        <v>898</v>
      </c>
      <c r="E21" s="499">
        <f>SUMIFS('4-Basis ruimtestaat'!K:K,'4-Basis ruimtestaat'!B:B,A21,'4-Basis ruimtestaat'!I:I,B21)</f>
        <v>144</v>
      </c>
      <c r="F21" s="500">
        <f t="shared" si="0"/>
        <v>0</v>
      </c>
      <c r="G21" s="501">
        <f t="shared" si="1"/>
        <v>0</v>
      </c>
      <c r="H21" s="502" t="s">
        <v>883</v>
      </c>
      <c r="I21" s="501">
        <f t="shared" si="2"/>
        <v>0</v>
      </c>
    </row>
    <row r="22" spans="1:9">
      <c r="A22" s="494" t="s">
        <v>58</v>
      </c>
      <c r="B22" s="485" t="s">
        <v>114</v>
      </c>
      <c r="C22" s="485" t="s">
        <v>438</v>
      </c>
      <c r="D22" s="485" t="s">
        <v>898</v>
      </c>
      <c r="E22" s="499">
        <f>SUMIFS('4-Basis ruimtestaat'!K:K,'4-Basis ruimtestaat'!B:B,A22,'4-Basis ruimtestaat'!I:I,B22)</f>
        <v>292</v>
      </c>
      <c r="F22" s="500">
        <f t="shared" si="0"/>
        <v>0</v>
      </c>
      <c r="G22" s="501">
        <f t="shared" si="1"/>
        <v>0</v>
      </c>
      <c r="H22" s="502" t="s">
        <v>883</v>
      </c>
      <c r="I22" s="501">
        <f t="shared" si="2"/>
        <v>0</v>
      </c>
    </row>
    <row r="23" spans="1:9">
      <c r="A23" s="494" t="s">
        <v>59</v>
      </c>
      <c r="B23" s="485" t="s">
        <v>114</v>
      </c>
      <c r="C23" s="485" t="s">
        <v>444</v>
      </c>
      <c r="D23" s="485" t="s">
        <v>898</v>
      </c>
      <c r="E23" s="499">
        <f>SUMIFS('4-Basis ruimtestaat'!K:K,'4-Basis ruimtestaat'!B:B,A23,'4-Basis ruimtestaat'!I:I,B23)</f>
        <v>854</v>
      </c>
      <c r="F23" s="500">
        <f t="shared" si="0"/>
        <v>0</v>
      </c>
      <c r="G23" s="501">
        <f t="shared" si="1"/>
        <v>0</v>
      </c>
      <c r="H23" s="502" t="s">
        <v>881</v>
      </c>
      <c r="I23" s="501">
        <f t="shared" si="2"/>
        <v>0</v>
      </c>
    </row>
    <row r="24" spans="1:9">
      <c r="A24" s="494" t="s">
        <v>60</v>
      </c>
      <c r="B24" s="485" t="s">
        <v>114</v>
      </c>
      <c r="C24" s="485" t="s">
        <v>438</v>
      </c>
      <c r="D24" s="485" t="s">
        <v>898</v>
      </c>
      <c r="E24" s="499">
        <f>SUMIFS('4-Basis ruimtestaat'!K:K,'4-Basis ruimtestaat'!B:B,A24,'4-Basis ruimtestaat'!I:I,B24)</f>
        <v>286</v>
      </c>
      <c r="F24" s="500">
        <f t="shared" si="0"/>
        <v>0</v>
      </c>
      <c r="G24" s="501">
        <f t="shared" si="1"/>
        <v>0</v>
      </c>
      <c r="H24" s="502" t="s">
        <v>883</v>
      </c>
      <c r="I24" s="501">
        <f t="shared" si="2"/>
        <v>0</v>
      </c>
    </row>
    <row r="25" spans="1:9">
      <c r="A25" s="494" t="s">
        <v>61</v>
      </c>
      <c r="B25" s="485" t="s">
        <v>114</v>
      </c>
      <c r="C25" s="485" t="s">
        <v>438</v>
      </c>
      <c r="D25" s="485" t="s">
        <v>898</v>
      </c>
      <c r="E25" s="499">
        <f>SUMIFS('4-Basis ruimtestaat'!K:K,'4-Basis ruimtestaat'!B:B,A25,'4-Basis ruimtestaat'!I:I,B25)</f>
        <v>290</v>
      </c>
      <c r="F25" s="500">
        <f t="shared" si="0"/>
        <v>0</v>
      </c>
      <c r="G25" s="501">
        <f t="shared" si="1"/>
        <v>0</v>
      </c>
      <c r="H25" s="502" t="s">
        <v>883</v>
      </c>
      <c r="I25" s="501">
        <f t="shared" si="2"/>
        <v>0</v>
      </c>
    </row>
    <row r="26" spans="1:9">
      <c r="A26" s="494" t="s">
        <v>62</v>
      </c>
      <c r="B26" s="485" t="s">
        <v>114</v>
      </c>
      <c r="C26" s="485" t="s">
        <v>438</v>
      </c>
      <c r="D26" s="485" t="s">
        <v>898</v>
      </c>
      <c r="E26" s="499">
        <f>SUMIFS('4-Basis ruimtestaat'!K:K,'4-Basis ruimtestaat'!B:B,A26,'4-Basis ruimtestaat'!I:I,B26)</f>
        <v>312</v>
      </c>
      <c r="F26" s="500">
        <f t="shared" si="0"/>
        <v>0</v>
      </c>
      <c r="G26" s="501">
        <f t="shared" si="1"/>
        <v>0</v>
      </c>
      <c r="H26" s="502" t="s">
        <v>883</v>
      </c>
      <c r="I26" s="501">
        <f t="shared" si="2"/>
        <v>0</v>
      </c>
    </row>
    <row r="27" spans="1:9">
      <c r="A27" s="494" t="s">
        <v>63</v>
      </c>
      <c r="B27" s="485" t="s">
        <v>114</v>
      </c>
      <c r="C27" s="485" t="s">
        <v>438</v>
      </c>
      <c r="D27" s="485" t="s">
        <v>898</v>
      </c>
      <c r="E27" s="499">
        <f>SUMIFS('4-Basis ruimtestaat'!K:K,'4-Basis ruimtestaat'!B:B,A27,'4-Basis ruimtestaat'!I:I,B27)</f>
        <v>744</v>
      </c>
      <c r="F27" s="500">
        <f t="shared" si="0"/>
        <v>0</v>
      </c>
      <c r="G27" s="501">
        <f t="shared" si="1"/>
        <v>0</v>
      </c>
      <c r="H27" s="502" t="s">
        <v>883</v>
      </c>
      <c r="I27" s="501">
        <f t="shared" si="2"/>
        <v>0</v>
      </c>
    </row>
    <row r="28" spans="1:9">
      <c r="A28" s="494" t="s">
        <v>64</v>
      </c>
      <c r="B28" s="485" t="s">
        <v>114</v>
      </c>
      <c r="C28" s="485" t="s">
        <v>438</v>
      </c>
      <c r="D28" s="485" t="s">
        <v>898</v>
      </c>
      <c r="E28" s="499">
        <f>SUMIFS('4-Basis ruimtestaat'!K:K,'4-Basis ruimtestaat'!B:B,A28,'4-Basis ruimtestaat'!I:I,B28)</f>
        <v>239</v>
      </c>
      <c r="F28" s="500">
        <f t="shared" si="0"/>
        <v>0</v>
      </c>
      <c r="G28" s="501">
        <f t="shared" si="1"/>
        <v>0</v>
      </c>
      <c r="H28" s="502" t="s">
        <v>883</v>
      </c>
      <c r="I28" s="501">
        <f t="shared" si="2"/>
        <v>0</v>
      </c>
    </row>
    <row r="29" spans="1:9">
      <c r="A29" s="494" t="s">
        <v>65</v>
      </c>
      <c r="B29" s="485" t="s">
        <v>114</v>
      </c>
      <c r="C29" s="485" t="s">
        <v>438</v>
      </c>
      <c r="D29" s="485" t="s">
        <v>898</v>
      </c>
      <c r="E29" s="499">
        <f>SUMIFS('4-Basis ruimtestaat'!K:K,'4-Basis ruimtestaat'!B:B,A29,'4-Basis ruimtestaat'!I:I,B29)</f>
        <v>240</v>
      </c>
      <c r="F29" s="500">
        <f t="shared" si="0"/>
        <v>0</v>
      </c>
      <c r="G29" s="501">
        <f t="shared" si="1"/>
        <v>0</v>
      </c>
      <c r="H29" s="502" t="s">
        <v>883</v>
      </c>
      <c r="I29" s="501">
        <f t="shared" si="2"/>
        <v>0</v>
      </c>
    </row>
    <row r="30" spans="1:9">
      <c r="A30" s="494" t="s">
        <v>66</v>
      </c>
      <c r="B30" s="485" t="s">
        <v>114</v>
      </c>
      <c r="C30" s="485" t="s">
        <v>444</v>
      </c>
      <c r="D30" s="485" t="s">
        <v>898</v>
      </c>
      <c r="E30" s="499">
        <f>SUMIFS('4-Basis ruimtestaat'!K:K,'4-Basis ruimtestaat'!B:B,A30,'4-Basis ruimtestaat'!I:I,B30)</f>
        <v>644.79999999999995</v>
      </c>
      <c r="F30" s="500">
        <f t="shared" si="0"/>
        <v>0</v>
      </c>
      <c r="G30" s="501">
        <f t="shared" si="1"/>
        <v>0</v>
      </c>
      <c r="H30" s="502" t="s">
        <v>881</v>
      </c>
      <c r="I30" s="501">
        <f t="shared" si="2"/>
        <v>0</v>
      </c>
    </row>
    <row r="31" spans="1:9">
      <c r="A31" s="494" t="s">
        <v>78</v>
      </c>
      <c r="B31" s="485" t="s">
        <v>114</v>
      </c>
      <c r="C31" s="485" t="s">
        <v>520</v>
      </c>
      <c r="D31" s="485" t="s">
        <v>898</v>
      </c>
      <c r="E31" s="499">
        <f>SUMIFS('4-Basis ruimtestaat'!K:K,'4-Basis ruimtestaat'!B:B,A31,'4-Basis ruimtestaat'!I:I,B31)</f>
        <v>1569</v>
      </c>
      <c r="F31" s="500">
        <f t="shared" si="0"/>
        <v>0</v>
      </c>
      <c r="G31" s="501">
        <f t="shared" si="1"/>
        <v>0</v>
      </c>
      <c r="H31" s="502" t="s">
        <v>881</v>
      </c>
      <c r="I31" s="501">
        <f t="shared" si="2"/>
        <v>0</v>
      </c>
    </row>
    <row r="32" spans="1:9">
      <c r="A32" s="494" t="s">
        <v>79</v>
      </c>
      <c r="B32" s="485" t="s">
        <v>114</v>
      </c>
      <c r="C32" s="485" t="s">
        <v>444</v>
      </c>
      <c r="D32" s="485" t="s">
        <v>898</v>
      </c>
      <c r="E32" s="499">
        <f>SUMIFS('4-Basis ruimtestaat'!K:K,'4-Basis ruimtestaat'!B:B,A32,'4-Basis ruimtestaat'!I:I,B32)</f>
        <v>659</v>
      </c>
      <c r="F32" s="500">
        <f t="shared" si="0"/>
        <v>0</v>
      </c>
      <c r="G32" s="501">
        <f t="shared" si="1"/>
        <v>0</v>
      </c>
      <c r="H32" s="502" t="s">
        <v>881</v>
      </c>
      <c r="I32" s="501">
        <f t="shared" si="2"/>
        <v>0</v>
      </c>
    </row>
    <row r="33" spans="1:9">
      <c r="A33" s="494" t="s">
        <v>71</v>
      </c>
      <c r="B33" s="485" t="s">
        <v>114</v>
      </c>
      <c r="C33" s="485" t="s">
        <v>444</v>
      </c>
      <c r="D33" s="485" t="s">
        <v>898</v>
      </c>
      <c r="E33" s="499">
        <f>SUMIFS('4-Basis ruimtestaat'!K:K,'4-Basis ruimtestaat'!B:B,A33,'4-Basis ruimtestaat'!I:I,B33)</f>
        <v>714</v>
      </c>
      <c r="F33" s="500">
        <f t="shared" si="0"/>
        <v>0</v>
      </c>
      <c r="G33" s="501">
        <f t="shared" si="1"/>
        <v>0</v>
      </c>
      <c r="H33" s="502" t="s">
        <v>881</v>
      </c>
      <c r="I33" s="501">
        <f t="shared" si="2"/>
        <v>0</v>
      </c>
    </row>
    <row r="34" spans="1:9">
      <c r="A34" s="494" t="s">
        <v>72</v>
      </c>
      <c r="B34" s="485" t="s">
        <v>114</v>
      </c>
      <c r="C34" s="485" t="s">
        <v>438</v>
      </c>
      <c r="D34" s="485" t="s">
        <v>898</v>
      </c>
      <c r="E34" s="499">
        <f>SUMIFS('4-Basis ruimtestaat'!K:K,'4-Basis ruimtestaat'!B:B,A34,'4-Basis ruimtestaat'!I:I,B34)</f>
        <v>292</v>
      </c>
      <c r="F34" s="500">
        <f t="shared" si="0"/>
        <v>0</v>
      </c>
      <c r="G34" s="501">
        <f t="shared" si="1"/>
        <v>0</v>
      </c>
      <c r="H34" s="502" t="s">
        <v>883</v>
      </c>
      <c r="I34" s="501">
        <f t="shared" si="2"/>
        <v>0</v>
      </c>
    </row>
    <row r="35" spans="1:9">
      <c r="A35" s="494" t="s">
        <v>74</v>
      </c>
      <c r="B35" s="485" t="s">
        <v>114</v>
      </c>
      <c r="C35" s="485" t="s">
        <v>520</v>
      </c>
      <c r="D35" s="485" t="s">
        <v>898</v>
      </c>
      <c r="E35" s="499">
        <f>SUMIFS('4-Basis ruimtestaat'!K:K,'4-Basis ruimtestaat'!B:B,A35,'4-Basis ruimtestaat'!I:I,B35)</f>
        <v>1398</v>
      </c>
      <c r="F35" s="500">
        <f t="shared" si="0"/>
        <v>0</v>
      </c>
      <c r="G35" s="501">
        <f t="shared" si="1"/>
        <v>0</v>
      </c>
      <c r="H35" s="502" t="s">
        <v>881</v>
      </c>
      <c r="I35" s="501">
        <f t="shared" si="2"/>
        <v>0</v>
      </c>
    </row>
    <row r="36" spans="1:9">
      <c r="A36" s="503" t="s">
        <v>76</v>
      </c>
      <c r="B36" s="485" t="s">
        <v>114</v>
      </c>
      <c r="C36" s="485" t="s">
        <v>520</v>
      </c>
      <c r="D36" s="485" t="s">
        <v>898</v>
      </c>
      <c r="E36" s="499">
        <f>SUMIFS('4-Basis ruimtestaat'!K:K,'4-Basis ruimtestaat'!B:B,A36,'4-Basis ruimtestaat'!I:I,B36)</f>
        <v>1651.86</v>
      </c>
      <c r="F36" s="500">
        <f t="shared" si="0"/>
        <v>0</v>
      </c>
      <c r="G36" s="501">
        <f t="shared" si="1"/>
        <v>0</v>
      </c>
      <c r="H36" s="502" t="s">
        <v>881</v>
      </c>
      <c r="I36" s="501">
        <f t="shared" si="2"/>
        <v>0</v>
      </c>
    </row>
    <row r="37" spans="1:9">
      <c r="A37" s="504" t="s">
        <v>77</v>
      </c>
      <c r="B37" s="485" t="s">
        <v>114</v>
      </c>
      <c r="C37" s="485" t="s">
        <v>520</v>
      </c>
      <c r="D37" s="485" t="s">
        <v>898</v>
      </c>
      <c r="E37" s="499">
        <f>SUMIFS('4-Basis ruimtestaat'!K:K,'4-Basis ruimtestaat'!B:B,A37,'4-Basis ruimtestaat'!I:I,B37)</f>
        <v>2515.0999999999995</v>
      </c>
      <c r="F37" s="500">
        <f t="shared" si="0"/>
        <v>0</v>
      </c>
      <c r="G37" s="501">
        <f t="shared" si="1"/>
        <v>0</v>
      </c>
      <c r="H37" s="502" t="s">
        <v>881</v>
      </c>
      <c r="I37" s="501">
        <f t="shared" si="2"/>
        <v>0</v>
      </c>
    </row>
    <row r="38" spans="1:9">
      <c r="B38" s="167"/>
      <c r="C38" s="167"/>
      <c r="D38" s="167"/>
      <c r="E38" s="223"/>
      <c r="F38" s="223"/>
      <c r="G38" s="223"/>
      <c r="H38" s="223"/>
      <c r="I38" s="223"/>
    </row>
    <row r="39" spans="1:9">
      <c r="A39" s="294" t="s">
        <v>83</v>
      </c>
      <c r="B39" s="295"/>
      <c r="C39" s="296"/>
      <c r="D39" s="296"/>
      <c r="E39" s="297">
        <f>SUM(E11:E37)</f>
        <v>17223.759999999998</v>
      </c>
      <c r="F39" s="298"/>
      <c r="G39" s="299"/>
      <c r="H39" s="300"/>
      <c r="I39" s="301">
        <f>SUM(I11:I37)</f>
        <v>0</v>
      </c>
    </row>
  </sheetData>
  <autoFilter ref="A10:AA39" xr:uid="{00000000-0009-0000-0000-00000A000000}"/>
  <phoneticPr fontId="77" type="noConversion"/>
  <dataValidations count="1">
    <dataValidation type="list" allowBlank="1" showInputMessage="1" showErrorMessage="1" sqref="D11:D37" xr:uid="{C736CBFC-1565-48E2-8F22-639725E5CCC0}">
      <formula1>$F$3:$F$8</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ignoredErrors>
    <ignoredError sqref="H11:H37"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A6ED-FF05-420D-BF7C-21BBBE447556}">
  <sheetPr>
    <tabColor theme="0" tint="-0.14999847407452621"/>
    <pageSetUpPr fitToPage="1"/>
  </sheetPr>
  <dimension ref="A1:S30"/>
  <sheetViews>
    <sheetView showGridLines="0" zoomScale="77" zoomScaleNormal="77" zoomScaleSheetLayoutView="50" zoomScalePageLayoutView="50" workbookViewId="0">
      <pane ySplit="10" topLeftCell="A28" activePane="bottomLeft" state="frozen"/>
      <selection activeCell="B1" sqref="B1"/>
      <selection pane="bottomLeft" activeCell="J30" sqref="J30"/>
    </sheetView>
  </sheetViews>
  <sheetFormatPr defaultColWidth="13.5546875" defaultRowHeight="13.2"/>
  <cols>
    <col min="1" max="1" width="46.109375" style="167" customWidth="1"/>
    <col min="2" max="2" width="29.109375" style="168" customWidth="1"/>
    <col min="3" max="3" width="16.109375" style="168" bestFit="1" customWidth="1"/>
    <col min="4" max="4" width="27.5546875" style="168" customWidth="1"/>
    <col min="5" max="5" width="56.109375" style="168" bestFit="1" customWidth="1"/>
    <col min="6" max="6" width="12.109375" style="167" customWidth="1"/>
    <col min="7" max="7" width="14" style="169" customWidth="1"/>
    <col min="8" max="8" width="16.109375" style="170" customWidth="1"/>
    <col min="9" max="9" width="2.5546875" style="167" customWidth="1"/>
    <col min="10" max="241" width="13.5546875" style="30"/>
    <col min="242" max="242" width="22.109375" style="30" customWidth="1"/>
    <col min="243" max="249" width="13.5546875" style="30" customWidth="1"/>
    <col min="250" max="250" width="15.88671875" style="30" customWidth="1"/>
    <col min="251" max="251" width="16.5546875" style="30" bestFit="1" customWidth="1"/>
    <col min="252" max="252" width="13.5546875" style="30" customWidth="1"/>
    <col min="253" max="253" width="17.109375" style="30" bestFit="1" customWidth="1"/>
    <col min="254" max="254" width="4" style="30" customWidth="1"/>
    <col min="255" max="255" width="13.5546875" style="30" customWidth="1"/>
    <col min="256" max="497" width="13.5546875" style="30"/>
    <col min="498" max="498" width="22.109375" style="30" customWidth="1"/>
    <col min="499" max="505" width="13.5546875" style="30" customWidth="1"/>
    <col min="506" max="506" width="15.88671875" style="30" customWidth="1"/>
    <col min="507" max="507" width="16.5546875" style="30" bestFit="1" customWidth="1"/>
    <col min="508" max="508" width="13.5546875" style="30" customWidth="1"/>
    <col min="509" max="509" width="17.109375" style="30" bestFit="1" customWidth="1"/>
    <col min="510" max="510" width="4" style="30" customWidth="1"/>
    <col min="511" max="511" width="13.5546875" style="30" customWidth="1"/>
    <col min="512" max="753" width="13.5546875" style="30"/>
    <col min="754" max="754" width="22.109375" style="30" customWidth="1"/>
    <col min="755" max="761" width="13.5546875" style="30" customWidth="1"/>
    <col min="762" max="762" width="15.88671875" style="30" customWidth="1"/>
    <col min="763" max="763" width="16.5546875" style="30" bestFit="1" customWidth="1"/>
    <col min="764" max="764" width="13.5546875" style="30" customWidth="1"/>
    <col min="765" max="765" width="17.109375" style="30" bestFit="1" customWidth="1"/>
    <col min="766" max="766" width="4" style="30" customWidth="1"/>
    <col min="767" max="767" width="13.5546875" style="30" customWidth="1"/>
    <col min="768" max="1009" width="13.5546875" style="30"/>
    <col min="1010" max="1010" width="22.109375" style="30" customWidth="1"/>
    <col min="1011" max="1017" width="13.5546875" style="30" customWidth="1"/>
    <col min="1018" max="1018" width="15.88671875" style="30" customWidth="1"/>
    <col min="1019" max="1019" width="16.5546875" style="30" bestFit="1" customWidth="1"/>
    <col min="1020" max="1020" width="13.5546875" style="30" customWidth="1"/>
    <col min="1021" max="1021" width="17.109375" style="30" bestFit="1" customWidth="1"/>
    <col min="1022" max="1022" width="4" style="30" customWidth="1"/>
    <col min="1023" max="1023" width="13.5546875" style="30" customWidth="1"/>
    <col min="1024" max="1265" width="13.5546875" style="30"/>
    <col min="1266" max="1266" width="22.109375" style="30" customWidth="1"/>
    <col min="1267" max="1273" width="13.5546875" style="30" customWidth="1"/>
    <col min="1274" max="1274" width="15.88671875" style="30" customWidth="1"/>
    <col min="1275" max="1275" width="16.5546875" style="30" bestFit="1" customWidth="1"/>
    <col min="1276" max="1276" width="13.5546875" style="30" customWidth="1"/>
    <col min="1277" max="1277" width="17.109375" style="30" bestFit="1" customWidth="1"/>
    <col min="1278" max="1278" width="4" style="30" customWidth="1"/>
    <col min="1279" max="1279" width="13.5546875" style="30" customWidth="1"/>
    <col min="1280" max="1521" width="13.5546875" style="30"/>
    <col min="1522" max="1522" width="22.109375" style="30" customWidth="1"/>
    <col min="1523" max="1529" width="13.5546875" style="30" customWidth="1"/>
    <col min="1530" max="1530" width="15.88671875" style="30" customWidth="1"/>
    <col min="1531" max="1531" width="16.5546875" style="30" bestFit="1" customWidth="1"/>
    <col min="1532" max="1532" width="13.5546875" style="30" customWidth="1"/>
    <col min="1533" max="1533" width="17.109375" style="30" bestFit="1" customWidth="1"/>
    <col min="1534" max="1534" width="4" style="30" customWidth="1"/>
    <col min="1535" max="1535" width="13.5546875" style="30" customWidth="1"/>
    <col min="1536" max="1777" width="13.5546875" style="30"/>
    <col min="1778" max="1778" width="22.109375" style="30" customWidth="1"/>
    <col min="1779" max="1785" width="13.5546875" style="30" customWidth="1"/>
    <col min="1786" max="1786" width="15.88671875" style="30" customWidth="1"/>
    <col min="1787" max="1787" width="16.5546875" style="30" bestFit="1" customWidth="1"/>
    <col min="1788" max="1788" width="13.5546875" style="30" customWidth="1"/>
    <col min="1789" max="1789" width="17.109375" style="30" bestFit="1" customWidth="1"/>
    <col min="1790" max="1790" width="4" style="30" customWidth="1"/>
    <col min="1791" max="1791" width="13.5546875" style="30" customWidth="1"/>
    <col min="1792" max="2033" width="13.5546875" style="30"/>
    <col min="2034" max="2034" width="22.109375" style="30" customWidth="1"/>
    <col min="2035" max="2041" width="13.5546875" style="30" customWidth="1"/>
    <col min="2042" max="2042" width="15.88671875" style="30" customWidth="1"/>
    <col min="2043" max="2043" width="16.5546875" style="30" bestFit="1" customWidth="1"/>
    <col min="2044" max="2044" width="13.5546875" style="30" customWidth="1"/>
    <col min="2045" max="2045" width="17.109375" style="30" bestFit="1" customWidth="1"/>
    <col min="2046" max="2046" width="4" style="30" customWidth="1"/>
    <col min="2047" max="2047" width="13.5546875" style="30" customWidth="1"/>
    <col min="2048" max="2289" width="13.5546875" style="30"/>
    <col min="2290" max="2290" width="22.109375" style="30" customWidth="1"/>
    <col min="2291" max="2297" width="13.5546875" style="30" customWidth="1"/>
    <col min="2298" max="2298" width="15.88671875" style="30" customWidth="1"/>
    <col min="2299" max="2299" width="16.5546875" style="30" bestFit="1" customWidth="1"/>
    <col min="2300" max="2300" width="13.5546875" style="30" customWidth="1"/>
    <col min="2301" max="2301" width="17.109375" style="30" bestFit="1" customWidth="1"/>
    <col min="2302" max="2302" width="4" style="30" customWidth="1"/>
    <col min="2303" max="2303" width="13.5546875" style="30" customWidth="1"/>
    <col min="2304" max="2545" width="13.5546875" style="30"/>
    <col min="2546" max="2546" width="22.109375" style="30" customWidth="1"/>
    <col min="2547" max="2553" width="13.5546875" style="30" customWidth="1"/>
    <col min="2554" max="2554" width="15.88671875" style="30" customWidth="1"/>
    <col min="2555" max="2555" width="16.5546875" style="30" bestFit="1" customWidth="1"/>
    <col min="2556" max="2556" width="13.5546875" style="30" customWidth="1"/>
    <col min="2557" max="2557" width="17.109375" style="30" bestFit="1" customWidth="1"/>
    <col min="2558" max="2558" width="4" style="30" customWidth="1"/>
    <col min="2559" max="2559" width="13.5546875" style="30" customWidth="1"/>
    <col min="2560" max="2801" width="13.5546875" style="30"/>
    <col min="2802" max="2802" width="22.109375" style="30" customWidth="1"/>
    <col min="2803" max="2809" width="13.5546875" style="30" customWidth="1"/>
    <col min="2810" max="2810" width="15.88671875" style="30" customWidth="1"/>
    <col min="2811" max="2811" width="16.5546875" style="30" bestFit="1" customWidth="1"/>
    <col min="2812" max="2812" width="13.5546875" style="30" customWidth="1"/>
    <col min="2813" max="2813" width="17.109375" style="30" bestFit="1" customWidth="1"/>
    <col min="2814" max="2814" width="4" style="30" customWidth="1"/>
    <col min="2815" max="2815" width="13.5546875" style="30" customWidth="1"/>
    <col min="2816" max="3057" width="13.5546875" style="30"/>
    <col min="3058" max="3058" width="22.109375" style="30" customWidth="1"/>
    <col min="3059" max="3065" width="13.5546875" style="30" customWidth="1"/>
    <col min="3066" max="3066" width="15.88671875" style="30" customWidth="1"/>
    <col min="3067" max="3067" width="16.5546875" style="30" bestFit="1" customWidth="1"/>
    <col min="3068" max="3068" width="13.5546875" style="30" customWidth="1"/>
    <col min="3069" max="3069" width="17.109375" style="30" bestFit="1" customWidth="1"/>
    <col min="3070" max="3070" width="4" style="30" customWidth="1"/>
    <col min="3071" max="3071" width="13.5546875" style="30" customWidth="1"/>
    <col min="3072" max="3313" width="13.5546875" style="30"/>
    <col min="3314" max="3314" width="22.109375" style="30" customWidth="1"/>
    <col min="3315" max="3321" width="13.5546875" style="30" customWidth="1"/>
    <col min="3322" max="3322" width="15.88671875" style="30" customWidth="1"/>
    <col min="3323" max="3323" width="16.5546875" style="30" bestFit="1" customWidth="1"/>
    <col min="3324" max="3324" width="13.5546875" style="30" customWidth="1"/>
    <col min="3325" max="3325" width="17.109375" style="30" bestFit="1" customWidth="1"/>
    <col min="3326" max="3326" width="4" style="30" customWidth="1"/>
    <col min="3327" max="3327" width="13.5546875" style="30" customWidth="1"/>
    <col min="3328" max="3569" width="13.5546875" style="30"/>
    <col min="3570" max="3570" width="22.109375" style="30" customWidth="1"/>
    <col min="3571" max="3577" width="13.5546875" style="30" customWidth="1"/>
    <col min="3578" max="3578" width="15.88671875" style="30" customWidth="1"/>
    <col min="3579" max="3579" width="16.5546875" style="30" bestFit="1" customWidth="1"/>
    <col min="3580" max="3580" width="13.5546875" style="30" customWidth="1"/>
    <col min="3581" max="3581" width="17.109375" style="30" bestFit="1" customWidth="1"/>
    <col min="3582" max="3582" width="4" style="30" customWidth="1"/>
    <col min="3583" max="3583" width="13.5546875" style="30" customWidth="1"/>
    <col min="3584" max="3825" width="13.5546875" style="30"/>
    <col min="3826" max="3826" width="22.109375" style="30" customWidth="1"/>
    <col min="3827" max="3833" width="13.5546875" style="30" customWidth="1"/>
    <col min="3834" max="3834" width="15.88671875" style="30" customWidth="1"/>
    <col min="3835" max="3835" width="16.5546875" style="30" bestFit="1" customWidth="1"/>
    <col min="3836" max="3836" width="13.5546875" style="30" customWidth="1"/>
    <col min="3837" max="3837" width="17.109375" style="30" bestFit="1" customWidth="1"/>
    <col min="3838" max="3838" width="4" style="30" customWidth="1"/>
    <col min="3839" max="3839" width="13.5546875" style="30" customWidth="1"/>
    <col min="3840" max="4081" width="13.5546875" style="30"/>
    <col min="4082" max="4082" width="22.109375" style="30" customWidth="1"/>
    <col min="4083" max="4089" width="13.5546875" style="30" customWidth="1"/>
    <col min="4090" max="4090" width="15.88671875" style="30" customWidth="1"/>
    <col min="4091" max="4091" width="16.5546875" style="30" bestFit="1" customWidth="1"/>
    <col min="4092" max="4092" width="13.5546875" style="30" customWidth="1"/>
    <col min="4093" max="4093" width="17.109375" style="30" bestFit="1" customWidth="1"/>
    <col min="4094" max="4094" width="4" style="30" customWidth="1"/>
    <col min="4095" max="4095" width="13.5546875" style="30" customWidth="1"/>
    <col min="4096" max="4337" width="13.5546875" style="30"/>
    <col min="4338" max="4338" width="22.109375" style="30" customWidth="1"/>
    <col min="4339" max="4345" width="13.5546875" style="30" customWidth="1"/>
    <col min="4346" max="4346" width="15.88671875" style="30" customWidth="1"/>
    <col min="4347" max="4347" width="16.5546875" style="30" bestFit="1" customWidth="1"/>
    <col min="4348" max="4348" width="13.5546875" style="30" customWidth="1"/>
    <col min="4349" max="4349" width="17.109375" style="30" bestFit="1" customWidth="1"/>
    <col min="4350" max="4350" width="4" style="30" customWidth="1"/>
    <col min="4351" max="4351" width="13.5546875" style="30" customWidth="1"/>
    <col min="4352" max="4593" width="13.5546875" style="30"/>
    <col min="4594" max="4594" width="22.109375" style="30" customWidth="1"/>
    <col min="4595" max="4601" width="13.5546875" style="30" customWidth="1"/>
    <col min="4602" max="4602" width="15.88671875" style="30" customWidth="1"/>
    <col min="4603" max="4603" width="16.5546875" style="30" bestFit="1" customWidth="1"/>
    <col min="4604" max="4604" width="13.5546875" style="30" customWidth="1"/>
    <col min="4605" max="4605" width="17.109375" style="30" bestFit="1" customWidth="1"/>
    <col min="4606" max="4606" width="4" style="30" customWidth="1"/>
    <col min="4607" max="4607" width="13.5546875" style="30" customWidth="1"/>
    <col min="4608" max="4849" width="13.5546875" style="30"/>
    <col min="4850" max="4850" width="22.109375" style="30" customWidth="1"/>
    <col min="4851" max="4857" width="13.5546875" style="30" customWidth="1"/>
    <col min="4858" max="4858" width="15.88671875" style="30" customWidth="1"/>
    <col min="4859" max="4859" width="16.5546875" style="30" bestFit="1" customWidth="1"/>
    <col min="4860" max="4860" width="13.5546875" style="30" customWidth="1"/>
    <col min="4861" max="4861" width="17.109375" style="30" bestFit="1" customWidth="1"/>
    <col min="4862" max="4862" width="4" style="30" customWidth="1"/>
    <col min="4863" max="4863" width="13.5546875" style="30" customWidth="1"/>
    <col min="4864" max="5105" width="13.5546875" style="30"/>
    <col min="5106" max="5106" width="22.109375" style="30" customWidth="1"/>
    <col min="5107" max="5113" width="13.5546875" style="30" customWidth="1"/>
    <col min="5114" max="5114" width="15.88671875" style="30" customWidth="1"/>
    <col min="5115" max="5115" width="16.5546875" style="30" bestFit="1" customWidth="1"/>
    <col min="5116" max="5116" width="13.5546875" style="30" customWidth="1"/>
    <col min="5117" max="5117" width="17.109375" style="30" bestFit="1" customWidth="1"/>
    <col min="5118" max="5118" width="4" style="30" customWidth="1"/>
    <col min="5119" max="5119" width="13.5546875" style="30" customWidth="1"/>
    <col min="5120" max="5361" width="13.5546875" style="30"/>
    <col min="5362" max="5362" width="22.109375" style="30" customWidth="1"/>
    <col min="5363" max="5369" width="13.5546875" style="30" customWidth="1"/>
    <col min="5370" max="5370" width="15.88671875" style="30" customWidth="1"/>
    <col min="5371" max="5371" width="16.5546875" style="30" bestFit="1" customWidth="1"/>
    <col min="5372" max="5372" width="13.5546875" style="30" customWidth="1"/>
    <col min="5373" max="5373" width="17.109375" style="30" bestFit="1" customWidth="1"/>
    <col min="5374" max="5374" width="4" style="30" customWidth="1"/>
    <col min="5375" max="5375" width="13.5546875" style="30" customWidth="1"/>
    <col min="5376" max="5617" width="13.5546875" style="30"/>
    <col min="5618" max="5618" width="22.109375" style="30" customWidth="1"/>
    <col min="5619" max="5625" width="13.5546875" style="30" customWidth="1"/>
    <col min="5626" max="5626" width="15.88671875" style="30" customWidth="1"/>
    <col min="5627" max="5627" width="16.5546875" style="30" bestFit="1" customWidth="1"/>
    <col min="5628" max="5628" width="13.5546875" style="30" customWidth="1"/>
    <col min="5629" max="5629" width="17.109375" style="30" bestFit="1" customWidth="1"/>
    <col min="5630" max="5630" width="4" style="30" customWidth="1"/>
    <col min="5631" max="5631" width="13.5546875" style="30" customWidth="1"/>
    <col min="5632" max="5873" width="13.5546875" style="30"/>
    <col min="5874" max="5874" width="22.109375" style="30" customWidth="1"/>
    <col min="5875" max="5881" width="13.5546875" style="30" customWidth="1"/>
    <col min="5882" max="5882" width="15.88671875" style="30" customWidth="1"/>
    <col min="5883" max="5883" width="16.5546875" style="30" bestFit="1" customWidth="1"/>
    <col min="5884" max="5884" width="13.5546875" style="30" customWidth="1"/>
    <col min="5885" max="5885" width="17.109375" style="30" bestFit="1" customWidth="1"/>
    <col min="5886" max="5886" width="4" style="30" customWidth="1"/>
    <col min="5887" max="5887" width="13.5546875" style="30" customWidth="1"/>
    <col min="5888" max="6129" width="13.5546875" style="30"/>
    <col min="6130" max="6130" width="22.109375" style="30" customWidth="1"/>
    <col min="6131" max="6137" width="13.5546875" style="30" customWidth="1"/>
    <col min="6138" max="6138" width="15.88671875" style="30" customWidth="1"/>
    <col min="6139" max="6139" width="16.5546875" style="30" bestFit="1" customWidth="1"/>
    <col min="6140" max="6140" width="13.5546875" style="30" customWidth="1"/>
    <col min="6141" max="6141" width="17.109375" style="30" bestFit="1" customWidth="1"/>
    <col min="6142" max="6142" width="4" style="30" customWidth="1"/>
    <col min="6143" max="6143" width="13.5546875" style="30" customWidth="1"/>
    <col min="6144" max="6385" width="13.5546875" style="30"/>
    <col min="6386" max="6386" width="22.109375" style="30" customWidth="1"/>
    <col min="6387" max="6393" width="13.5546875" style="30" customWidth="1"/>
    <col min="6394" max="6394" width="15.88671875" style="30" customWidth="1"/>
    <col min="6395" max="6395" width="16.5546875" style="30" bestFit="1" customWidth="1"/>
    <col min="6396" max="6396" width="13.5546875" style="30" customWidth="1"/>
    <col min="6397" max="6397" width="17.109375" style="30" bestFit="1" customWidth="1"/>
    <col min="6398" max="6398" width="4" style="30" customWidth="1"/>
    <col min="6399" max="6399" width="13.5546875" style="30" customWidth="1"/>
    <col min="6400" max="6641" width="13.5546875" style="30"/>
    <col min="6642" max="6642" width="22.109375" style="30" customWidth="1"/>
    <col min="6643" max="6649" width="13.5546875" style="30" customWidth="1"/>
    <col min="6650" max="6650" width="15.88671875" style="30" customWidth="1"/>
    <col min="6651" max="6651" width="16.5546875" style="30" bestFit="1" customWidth="1"/>
    <col min="6652" max="6652" width="13.5546875" style="30" customWidth="1"/>
    <col min="6653" max="6653" width="17.109375" style="30" bestFit="1" customWidth="1"/>
    <col min="6654" max="6654" width="4" style="30" customWidth="1"/>
    <col min="6655" max="6655" width="13.5546875" style="30" customWidth="1"/>
    <col min="6656" max="6897" width="13.5546875" style="30"/>
    <col min="6898" max="6898" width="22.109375" style="30" customWidth="1"/>
    <col min="6899" max="6905" width="13.5546875" style="30" customWidth="1"/>
    <col min="6906" max="6906" width="15.88671875" style="30" customWidth="1"/>
    <col min="6907" max="6907" width="16.5546875" style="30" bestFit="1" customWidth="1"/>
    <col min="6908" max="6908" width="13.5546875" style="30" customWidth="1"/>
    <col min="6909" max="6909" width="17.109375" style="30" bestFit="1" customWidth="1"/>
    <col min="6910" max="6910" width="4" style="30" customWidth="1"/>
    <col min="6911" max="6911" width="13.5546875" style="30" customWidth="1"/>
    <col min="6912" max="7153" width="13.5546875" style="30"/>
    <col min="7154" max="7154" width="22.109375" style="30" customWidth="1"/>
    <col min="7155" max="7161" width="13.5546875" style="30" customWidth="1"/>
    <col min="7162" max="7162" width="15.88671875" style="30" customWidth="1"/>
    <col min="7163" max="7163" width="16.5546875" style="30" bestFit="1" customWidth="1"/>
    <col min="7164" max="7164" width="13.5546875" style="30" customWidth="1"/>
    <col min="7165" max="7165" width="17.109375" style="30" bestFit="1" customWidth="1"/>
    <col min="7166" max="7166" width="4" style="30" customWidth="1"/>
    <col min="7167" max="7167" width="13.5546875" style="30" customWidth="1"/>
    <col min="7168" max="7409" width="13.5546875" style="30"/>
    <col min="7410" max="7410" width="22.109375" style="30" customWidth="1"/>
    <col min="7411" max="7417" width="13.5546875" style="30" customWidth="1"/>
    <col min="7418" max="7418" width="15.88671875" style="30" customWidth="1"/>
    <col min="7419" max="7419" width="16.5546875" style="30" bestFit="1" customWidth="1"/>
    <col min="7420" max="7420" width="13.5546875" style="30" customWidth="1"/>
    <col min="7421" max="7421" width="17.109375" style="30" bestFit="1" customWidth="1"/>
    <col min="7422" max="7422" width="4" style="30" customWidth="1"/>
    <col min="7423" max="7423" width="13.5546875" style="30" customWidth="1"/>
    <col min="7424" max="7665" width="13.5546875" style="30"/>
    <col min="7666" max="7666" width="22.109375" style="30" customWidth="1"/>
    <col min="7667" max="7673" width="13.5546875" style="30" customWidth="1"/>
    <col min="7674" max="7674" width="15.88671875" style="30" customWidth="1"/>
    <col min="7675" max="7675" width="16.5546875" style="30" bestFit="1" customWidth="1"/>
    <col min="7676" max="7676" width="13.5546875" style="30" customWidth="1"/>
    <col min="7677" max="7677" width="17.109375" style="30" bestFit="1" customWidth="1"/>
    <col min="7678" max="7678" width="4" style="30" customWidth="1"/>
    <col min="7679" max="7679" width="13.5546875" style="30" customWidth="1"/>
    <col min="7680" max="7921" width="13.5546875" style="30"/>
    <col min="7922" max="7922" width="22.109375" style="30" customWidth="1"/>
    <col min="7923" max="7929" width="13.5546875" style="30" customWidth="1"/>
    <col min="7930" max="7930" width="15.88671875" style="30" customWidth="1"/>
    <col min="7931" max="7931" width="16.5546875" style="30" bestFit="1" customWidth="1"/>
    <col min="7932" max="7932" width="13.5546875" style="30" customWidth="1"/>
    <col min="7933" max="7933" width="17.109375" style="30" bestFit="1" customWidth="1"/>
    <col min="7934" max="7934" width="4" style="30" customWidth="1"/>
    <col min="7935" max="7935" width="13.5546875" style="30" customWidth="1"/>
    <col min="7936" max="8177" width="13.5546875" style="30"/>
    <col min="8178" max="8178" width="22.109375" style="30" customWidth="1"/>
    <col min="8179" max="8185" width="13.5546875" style="30" customWidth="1"/>
    <col min="8186" max="8186" width="15.88671875" style="30" customWidth="1"/>
    <col min="8187" max="8187" width="16.5546875" style="30" bestFit="1" customWidth="1"/>
    <col min="8188" max="8188" width="13.5546875" style="30" customWidth="1"/>
    <col min="8189" max="8189" width="17.109375" style="30" bestFit="1" customWidth="1"/>
    <col min="8190" max="8190" width="4" style="30" customWidth="1"/>
    <col min="8191" max="8191" width="13.5546875" style="30" customWidth="1"/>
    <col min="8192" max="8433" width="13.5546875" style="30"/>
    <col min="8434" max="8434" width="22.109375" style="30" customWidth="1"/>
    <col min="8435" max="8441" width="13.5546875" style="30" customWidth="1"/>
    <col min="8442" max="8442" width="15.88671875" style="30" customWidth="1"/>
    <col min="8443" max="8443" width="16.5546875" style="30" bestFit="1" customWidth="1"/>
    <col min="8444" max="8444" width="13.5546875" style="30" customWidth="1"/>
    <col min="8445" max="8445" width="17.109375" style="30" bestFit="1" customWidth="1"/>
    <col min="8446" max="8446" width="4" style="30" customWidth="1"/>
    <col min="8447" max="8447" width="13.5546875" style="30" customWidth="1"/>
    <col min="8448" max="8689" width="13.5546875" style="30"/>
    <col min="8690" max="8690" width="22.109375" style="30" customWidth="1"/>
    <col min="8691" max="8697" width="13.5546875" style="30" customWidth="1"/>
    <col min="8698" max="8698" width="15.88671875" style="30" customWidth="1"/>
    <col min="8699" max="8699" width="16.5546875" style="30" bestFit="1" customWidth="1"/>
    <col min="8700" max="8700" width="13.5546875" style="30" customWidth="1"/>
    <col min="8701" max="8701" width="17.109375" style="30" bestFit="1" customWidth="1"/>
    <col min="8702" max="8702" width="4" style="30" customWidth="1"/>
    <col min="8703" max="8703" width="13.5546875" style="30" customWidth="1"/>
    <col min="8704" max="8945" width="13.5546875" style="30"/>
    <col min="8946" max="8946" width="22.109375" style="30" customWidth="1"/>
    <col min="8947" max="8953" width="13.5546875" style="30" customWidth="1"/>
    <col min="8954" max="8954" width="15.88671875" style="30" customWidth="1"/>
    <col min="8955" max="8955" width="16.5546875" style="30" bestFit="1" customWidth="1"/>
    <col min="8956" max="8956" width="13.5546875" style="30" customWidth="1"/>
    <col min="8957" max="8957" width="17.109375" style="30" bestFit="1" customWidth="1"/>
    <col min="8958" max="8958" width="4" style="30" customWidth="1"/>
    <col min="8959" max="8959" width="13.5546875" style="30" customWidth="1"/>
    <col min="8960" max="9201" width="13.5546875" style="30"/>
    <col min="9202" max="9202" width="22.109375" style="30" customWidth="1"/>
    <col min="9203" max="9209" width="13.5546875" style="30" customWidth="1"/>
    <col min="9210" max="9210" width="15.88671875" style="30" customWidth="1"/>
    <col min="9211" max="9211" width="16.5546875" style="30" bestFit="1" customWidth="1"/>
    <col min="9212" max="9212" width="13.5546875" style="30" customWidth="1"/>
    <col min="9213" max="9213" width="17.109375" style="30" bestFit="1" customWidth="1"/>
    <col min="9214" max="9214" width="4" style="30" customWidth="1"/>
    <col min="9215" max="9215" width="13.5546875" style="30" customWidth="1"/>
    <col min="9216" max="9457" width="13.5546875" style="30"/>
    <col min="9458" max="9458" width="22.109375" style="30" customWidth="1"/>
    <col min="9459" max="9465" width="13.5546875" style="30" customWidth="1"/>
    <col min="9466" max="9466" width="15.88671875" style="30" customWidth="1"/>
    <col min="9467" max="9467" width="16.5546875" style="30" bestFit="1" customWidth="1"/>
    <col min="9468" max="9468" width="13.5546875" style="30" customWidth="1"/>
    <col min="9469" max="9469" width="17.109375" style="30" bestFit="1" customWidth="1"/>
    <col min="9470" max="9470" width="4" style="30" customWidth="1"/>
    <col min="9471" max="9471" width="13.5546875" style="30" customWidth="1"/>
    <col min="9472" max="9713" width="13.5546875" style="30"/>
    <col min="9714" max="9714" width="22.109375" style="30" customWidth="1"/>
    <col min="9715" max="9721" width="13.5546875" style="30" customWidth="1"/>
    <col min="9722" max="9722" width="15.88671875" style="30" customWidth="1"/>
    <col min="9723" max="9723" width="16.5546875" style="30" bestFit="1" customWidth="1"/>
    <col min="9724" max="9724" width="13.5546875" style="30" customWidth="1"/>
    <col min="9725" max="9725" width="17.109375" style="30" bestFit="1" customWidth="1"/>
    <col min="9726" max="9726" width="4" style="30" customWidth="1"/>
    <col min="9727" max="9727" width="13.5546875" style="30" customWidth="1"/>
    <col min="9728" max="9969" width="13.5546875" style="30"/>
    <col min="9970" max="9970" width="22.109375" style="30" customWidth="1"/>
    <col min="9971" max="9977" width="13.5546875" style="30" customWidth="1"/>
    <col min="9978" max="9978" width="15.88671875" style="30" customWidth="1"/>
    <col min="9979" max="9979" width="16.5546875" style="30" bestFit="1" customWidth="1"/>
    <col min="9980" max="9980" width="13.5546875" style="30" customWidth="1"/>
    <col min="9981" max="9981" width="17.109375" style="30" bestFit="1" customWidth="1"/>
    <col min="9982" max="9982" width="4" style="30" customWidth="1"/>
    <col min="9983" max="9983" width="13.5546875" style="30" customWidth="1"/>
    <col min="9984" max="10225" width="13.5546875" style="30"/>
    <col min="10226" max="10226" width="22.109375" style="30" customWidth="1"/>
    <col min="10227" max="10233" width="13.5546875" style="30" customWidth="1"/>
    <col min="10234" max="10234" width="15.88671875" style="30" customWidth="1"/>
    <col min="10235" max="10235" width="16.5546875" style="30" bestFit="1" customWidth="1"/>
    <col min="10236" max="10236" width="13.5546875" style="30" customWidth="1"/>
    <col min="10237" max="10237" width="17.109375" style="30" bestFit="1" customWidth="1"/>
    <col min="10238" max="10238" width="4" style="30" customWidth="1"/>
    <col min="10239" max="10239" width="13.5546875" style="30" customWidth="1"/>
    <col min="10240" max="10481" width="13.5546875" style="30"/>
    <col min="10482" max="10482" width="22.109375" style="30" customWidth="1"/>
    <col min="10483" max="10489" width="13.5546875" style="30" customWidth="1"/>
    <col min="10490" max="10490" width="15.88671875" style="30" customWidth="1"/>
    <col min="10491" max="10491" width="16.5546875" style="30" bestFit="1" customWidth="1"/>
    <col min="10492" max="10492" width="13.5546875" style="30" customWidth="1"/>
    <col min="10493" max="10493" width="17.109375" style="30" bestFit="1" customWidth="1"/>
    <col min="10494" max="10494" width="4" style="30" customWidth="1"/>
    <col min="10495" max="10495" width="13.5546875" style="30" customWidth="1"/>
    <col min="10496" max="10737" width="13.5546875" style="30"/>
    <col min="10738" max="10738" width="22.109375" style="30" customWidth="1"/>
    <col min="10739" max="10745" width="13.5546875" style="30" customWidth="1"/>
    <col min="10746" max="10746" width="15.88671875" style="30" customWidth="1"/>
    <col min="10747" max="10747" width="16.5546875" style="30" bestFit="1" customWidth="1"/>
    <col min="10748" max="10748" width="13.5546875" style="30" customWidth="1"/>
    <col min="10749" max="10749" width="17.109375" style="30" bestFit="1" customWidth="1"/>
    <col min="10750" max="10750" width="4" style="30" customWidth="1"/>
    <col min="10751" max="10751" width="13.5546875" style="30" customWidth="1"/>
    <col min="10752" max="10993" width="13.5546875" style="30"/>
    <col min="10994" max="10994" width="22.109375" style="30" customWidth="1"/>
    <col min="10995" max="11001" width="13.5546875" style="30" customWidth="1"/>
    <col min="11002" max="11002" width="15.88671875" style="30" customWidth="1"/>
    <col min="11003" max="11003" width="16.5546875" style="30" bestFit="1" customWidth="1"/>
    <col min="11004" max="11004" width="13.5546875" style="30" customWidth="1"/>
    <col min="11005" max="11005" width="17.109375" style="30" bestFit="1" customWidth="1"/>
    <col min="11006" max="11006" width="4" style="30" customWidth="1"/>
    <col min="11007" max="11007" width="13.5546875" style="30" customWidth="1"/>
    <col min="11008" max="11249" width="13.5546875" style="30"/>
    <col min="11250" max="11250" width="22.109375" style="30" customWidth="1"/>
    <col min="11251" max="11257" width="13.5546875" style="30" customWidth="1"/>
    <col min="11258" max="11258" width="15.88671875" style="30" customWidth="1"/>
    <col min="11259" max="11259" width="16.5546875" style="30" bestFit="1" customWidth="1"/>
    <col min="11260" max="11260" width="13.5546875" style="30" customWidth="1"/>
    <col min="11261" max="11261" width="17.109375" style="30" bestFit="1" customWidth="1"/>
    <col min="11262" max="11262" width="4" style="30" customWidth="1"/>
    <col min="11263" max="11263" width="13.5546875" style="30" customWidth="1"/>
    <col min="11264" max="11505" width="13.5546875" style="30"/>
    <col min="11506" max="11506" width="22.109375" style="30" customWidth="1"/>
    <col min="11507" max="11513" width="13.5546875" style="30" customWidth="1"/>
    <col min="11514" max="11514" width="15.88671875" style="30" customWidth="1"/>
    <col min="11515" max="11515" width="16.5546875" style="30" bestFit="1" customWidth="1"/>
    <col min="11516" max="11516" width="13.5546875" style="30" customWidth="1"/>
    <col min="11517" max="11517" width="17.109375" style="30" bestFit="1" customWidth="1"/>
    <col min="11518" max="11518" width="4" style="30" customWidth="1"/>
    <col min="11519" max="11519" width="13.5546875" style="30" customWidth="1"/>
    <col min="11520" max="11761" width="13.5546875" style="30"/>
    <col min="11762" max="11762" width="22.109375" style="30" customWidth="1"/>
    <col min="11763" max="11769" width="13.5546875" style="30" customWidth="1"/>
    <col min="11770" max="11770" width="15.88671875" style="30" customWidth="1"/>
    <col min="11771" max="11771" width="16.5546875" style="30" bestFit="1" customWidth="1"/>
    <col min="11772" max="11772" width="13.5546875" style="30" customWidth="1"/>
    <col min="11773" max="11773" width="17.109375" style="30" bestFit="1" customWidth="1"/>
    <col min="11774" max="11774" width="4" style="30" customWidth="1"/>
    <col min="11775" max="11775" width="13.5546875" style="30" customWidth="1"/>
    <col min="11776" max="12017" width="13.5546875" style="30"/>
    <col min="12018" max="12018" width="22.109375" style="30" customWidth="1"/>
    <col min="12019" max="12025" width="13.5546875" style="30" customWidth="1"/>
    <col min="12026" max="12026" width="15.88671875" style="30" customWidth="1"/>
    <col min="12027" max="12027" width="16.5546875" style="30" bestFit="1" customWidth="1"/>
    <col min="12028" max="12028" width="13.5546875" style="30" customWidth="1"/>
    <col min="12029" max="12029" width="17.109375" style="30" bestFit="1" customWidth="1"/>
    <col min="12030" max="12030" width="4" style="30" customWidth="1"/>
    <col min="12031" max="12031" width="13.5546875" style="30" customWidth="1"/>
    <col min="12032" max="12273" width="13.5546875" style="30"/>
    <col min="12274" max="12274" width="22.109375" style="30" customWidth="1"/>
    <col min="12275" max="12281" width="13.5546875" style="30" customWidth="1"/>
    <col min="12282" max="12282" width="15.88671875" style="30" customWidth="1"/>
    <col min="12283" max="12283" width="16.5546875" style="30" bestFit="1" customWidth="1"/>
    <col min="12284" max="12284" width="13.5546875" style="30" customWidth="1"/>
    <col min="12285" max="12285" width="17.109375" style="30" bestFit="1" customWidth="1"/>
    <col min="12286" max="12286" width="4" style="30" customWidth="1"/>
    <col min="12287" max="12287" width="13.5546875" style="30" customWidth="1"/>
    <col min="12288" max="12529" width="13.5546875" style="30"/>
    <col min="12530" max="12530" width="22.109375" style="30" customWidth="1"/>
    <col min="12531" max="12537" width="13.5546875" style="30" customWidth="1"/>
    <col min="12538" max="12538" width="15.88671875" style="30" customWidth="1"/>
    <col min="12539" max="12539" width="16.5546875" style="30" bestFit="1" customWidth="1"/>
    <col min="12540" max="12540" width="13.5546875" style="30" customWidth="1"/>
    <col min="12541" max="12541" width="17.109375" style="30" bestFit="1" customWidth="1"/>
    <col min="12542" max="12542" width="4" style="30" customWidth="1"/>
    <col min="12543" max="12543" width="13.5546875" style="30" customWidth="1"/>
    <col min="12544" max="12785" width="13.5546875" style="30"/>
    <col min="12786" max="12786" width="22.109375" style="30" customWidth="1"/>
    <col min="12787" max="12793" width="13.5546875" style="30" customWidth="1"/>
    <col min="12794" max="12794" width="15.88671875" style="30" customWidth="1"/>
    <col min="12795" max="12795" width="16.5546875" style="30" bestFit="1" customWidth="1"/>
    <col min="12796" max="12796" width="13.5546875" style="30" customWidth="1"/>
    <col min="12797" max="12797" width="17.109375" style="30" bestFit="1" customWidth="1"/>
    <col min="12798" max="12798" width="4" style="30" customWidth="1"/>
    <col min="12799" max="12799" width="13.5546875" style="30" customWidth="1"/>
    <col min="12800" max="13041" width="13.5546875" style="30"/>
    <col min="13042" max="13042" width="22.109375" style="30" customWidth="1"/>
    <col min="13043" max="13049" width="13.5546875" style="30" customWidth="1"/>
    <col min="13050" max="13050" width="15.88671875" style="30" customWidth="1"/>
    <col min="13051" max="13051" width="16.5546875" style="30" bestFit="1" customWidth="1"/>
    <col min="13052" max="13052" width="13.5546875" style="30" customWidth="1"/>
    <col min="13053" max="13053" width="17.109375" style="30" bestFit="1" customWidth="1"/>
    <col min="13054" max="13054" width="4" style="30" customWidth="1"/>
    <col min="13055" max="13055" width="13.5546875" style="30" customWidth="1"/>
    <col min="13056" max="13297" width="13.5546875" style="30"/>
    <col min="13298" max="13298" width="22.109375" style="30" customWidth="1"/>
    <col min="13299" max="13305" width="13.5546875" style="30" customWidth="1"/>
    <col min="13306" max="13306" width="15.88671875" style="30" customWidth="1"/>
    <col min="13307" max="13307" width="16.5546875" style="30" bestFit="1" customWidth="1"/>
    <col min="13308" max="13308" width="13.5546875" style="30" customWidth="1"/>
    <col min="13309" max="13309" width="17.109375" style="30" bestFit="1" customWidth="1"/>
    <col min="13310" max="13310" width="4" style="30" customWidth="1"/>
    <col min="13311" max="13311" width="13.5546875" style="30" customWidth="1"/>
    <col min="13312" max="13553" width="13.5546875" style="30"/>
    <col min="13554" max="13554" width="22.109375" style="30" customWidth="1"/>
    <col min="13555" max="13561" width="13.5546875" style="30" customWidth="1"/>
    <col min="13562" max="13562" width="15.88671875" style="30" customWidth="1"/>
    <col min="13563" max="13563" width="16.5546875" style="30" bestFit="1" customWidth="1"/>
    <col min="13564" max="13564" width="13.5546875" style="30" customWidth="1"/>
    <col min="13565" max="13565" width="17.109375" style="30" bestFit="1" customWidth="1"/>
    <col min="13566" max="13566" width="4" style="30" customWidth="1"/>
    <col min="13567" max="13567" width="13.5546875" style="30" customWidth="1"/>
    <col min="13568" max="13809" width="13.5546875" style="30"/>
    <col min="13810" max="13810" width="22.109375" style="30" customWidth="1"/>
    <col min="13811" max="13817" width="13.5546875" style="30" customWidth="1"/>
    <col min="13818" max="13818" width="15.88671875" style="30" customWidth="1"/>
    <col min="13819" max="13819" width="16.5546875" style="30" bestFit="1" customWidth="1"/>
    <col min="13820" max="13820" width="13.5546875" style="30" customWidth="1"/>
    <col min="13821" max="13821" width="17.109375" style="30" bestFit="1" customWidth="1"/>
    <col min="13822" max="13822" width="4" style="30" customWidth="1"/>
    <col min="13823" max="13823" width="13.5546875" style="30" customWidth="1"/>
    <col min="13824" max="14065" width="13.5546875" style="30"/>
    <col min="14066" max="14066" width="22.109375" style="30" customWidth="1"/>
    <col min="14067" max="14073" width="13.5546875" style="30" customWidth="1"/>
    <col min="14074" max="14074" width="15.88671875" style="30" customWidth="1"/>
    <col min="14075" max="14075" width="16.5546875" style="30" bestFit="1" customWidth="1"/>
    <col min="14076" max="14076" width="13.5546875" style="30" customWidth="1"/>
    <col min="14077" max="14077" width="17.109375" style="30" bestFit="1" customWidth="1"/>
    <col min="14078" max="14078" width="4" style="30" customWidth="1"/>
    <col min="14079" max="14079" width="13.5546875" style="30" customWidth="1"/>
    <col min="14080" max="14321" width="13.5546875" style="30"/>
    <col min="14322" max="14322" width="22.109375" style="30" customWidth="1"/>
    <col min="14323" max="14329" width="13.5546875" style="30" customWidth="1"/>
    <col min="14330" max="14330" width="15.88671875" style="30" customWidth="1"/>
    <col min="14331" max="14331" width="16.5546875" style="30" bestFit="1" customWidth="1"/>
    <col min="14332" max="14332" width="13.5546875" style="30" customWidth="1"/>
    <col min="14333" max="14333" width="17.109375" style="30" bestFit="1" customWidth="1"/>
    <col min="14334" max="14334" width="4" style="30" customWidth="1"/>
    <col min="14335" max="14335" width="13.5546875" style="30" customWidth="1"/>
    <col min="14336" max="14577" width="13.5546875" style="30"/>
    <col min="14578" max="14578" width="22.109375" style="30" customWidth="1"/>
    <col min="14579" max="14585" width="13.5546875" style="30" customWidth="1"/>
    <col min="14586" max="14586" width="15.88671875" style="30" customWidth="1"/>
    <col min="14587" max="14587" width="16.5546875" style="30" bestFit="1" customWidth="1"/>
    <col min="14588" max="14588" width="13.5546875" style="30" customWidth="1"/>
    <col min="14589" max="14589" width="17.109375" style="30" bestFit="1" customWidth="1"/>
    <col min="14590" max="14590" width="4" style="30" customWidth="1"/>
    <col min="14591" max="14591" width="13.5546875" style="30" customWidth="1"/>
    <col min="14592" max="14833" width="13.5546875" style="30"/>
    <col min="14834" max="14834" width="22.109375" style="30" customWidth="1"/>
    <col min="14835" max="14841" width="13.5546875" style="30" customWidth="1"/>
    <col min="14842" max="14842" width="15.88671875" style="30" customWidth="1"/>
    <col min="14843" max="14843" width="16.5546875" style="30" bestFit="1" customWidth="1"/>
    <col min="14844" max="14844" width="13.5546875" style="30" customWidth="1"/>
    <col min="14845" max="14845" width="17.109375" style="30" bestFit="1" customWidth="1"/>
    <col min="14846" max="14846" width="4" style="30" customWidth="1"/>
    <col min="14847" max="14847" width="13.5546875" style="30" customWidth="1"/>
    <col min="14848" max="15089" width="13.5546875" style="30"/>
    <col min="15090" max="15090" width="22.109375" style="30" customWidth="1"/>
    <col min="15091" max="15097" width="13.5546875" style="30" customWidth="1"/>
    <col min="15098" max="15098" width="15.88671875" style="30" customWidth="1"/>
    <col min="15099" max="15099" width="16.5546875" style="30" bestFit="1" customWidth="1"/>
    <col min="15100" max="15100" width="13.5546875" style="30" customWidth="1"/>
    <col min="15101" max="15101" width="17.109375" style="30" bestFit="1" customWidth="1"/>
    <col min="15102" max="15102" width="4" style="30" customWidth="1"/>
    <col min="15103" max="15103" width="13.5546875" style="30" customWidth="1"/>
    <col min="15104" max="15345" width="13.5546875" style="30"/>
    <col min="15346" max="15346" width="22.109375" style="30" customWidth="1"/>
    <col min="15347" max="15353" width="13.5546875" style="30" customWidth="1"/>
    <col min="15354" max="15354" width="15.88671875" style="30" customWidth="1"/>
    <col min="15355" max="15355" width="16.5546875" style="30" bestFit="1" customWidth="1"/>
    <col min="15356" max="15356" width="13.5546875" style="30" customWidth="1"/>
    <col min="15357" max="15357" width="17.109375" style="30" bestFit="1" customWidth="1"/>
    <col min="15358" max="15358" width="4" style="30" customWidth="1"/>
    <col min="15359" max="15359" width="13.5546875" style="30" customWidth="1"/>
    <col min="15360" max="15601" width="13.5546875" style="30"/>
    <col min="15602" max="15602" width="22.109375" style="30" customWidth="1"/>
    <col min="15603" max="15609" width="13.5546875" style="30" customWidth="1"/>
    <col min="15610" max="15610" width="15.88671875" style="30" customWidth="1"/>
    <col min="15611" max="15611" width="16.5546875" style="30" bestFit="1" customWidth="1"/>
    <col min="15612" max="15612" width="13.5546875" style="30" customWidth="1"/>
    <col min="15613" max="15613" width="17.109375" style="30" bestFit="1" customWidth="1"/>
    <col min="15614" max="15614" width="4" style="30" customWidth="1"/>
    <col min="15615" max="15615" width="13.5546875" style="30" customWidth="1"/>
    <col min="15616" max="15857" width="13.5546875" style="30"/>
    <col min="15858" max="15858" width="22.109375" style="30" customWidth="1"/>
    <col min="15859" max="15865" width="13.5546875" style="30" customWidth="1"/>
    <col min="15866" max="15866" width="15.88671875" style="30" customWidth="1"/>
    <col min="15867" max="15867" width="16.5546875" style="30" bestFit="1" customWidth="1"/>
    <col min="15868" max="15868" width="13.5546875" style="30" customWidth="1"/>
    <col min="15869" max="15869" width="17.109375" style="30" bestFit="1" customWidth="1"/>
    <col min="15870" max="15870" width="4" style="30" customWidth="1"/>
    <col min="15871" max="15871" width="13.5546875" style="30" customWidth="1"/>
    <col min="15872" max="16113" width="13.5546875" style="30"/>
    <col min="16114" max="16114" width="22.109375" style="30" customWidth="1"/>
    <col min="16115" max="16121" width="13.5546875" style="30" customWidth="1"/>
    <col min="16122" max="16122" width="15.88671875" style="30" customWidth="1"/>
    <col min="16123" max="16123" width="16.5546875" style="30" bestFit="1" customWidth="1"/>
    <col min="16124" max="16124" width="13.5546875" style="30" customWidth="1"/>
    <col min="16125" max="16125" width="17.109375" style="30" bestFit="1" customWidth="1"/>
    <col min="16126" max="16126" width="4" style="30" customWidth="1"/>
    <col min="16127" max="16127" width="13.5546875" style="30" customWidth="1"/>
    <col min="16128" max="16384" width="13.5546875" style="30"/>
  </cols>
  <sheetData>
    <row r="1" spans="1:19" s="24" customFormat="1">
      <c r="A1" s="424" t="s">
        <v>4</v>
      </c>
      <c r="B1" s="160"/>
      <c r="C1" s="160"/>
      <c r="D1" s="160"/>
      <c r="E1" s="160"/>
      <c r="F1" s="87"/>
      <c r="G1" s="87"/>
      <c r="H1" s="161"/>
      <c r="I1" s="162"/>
    </row>
    <row r="2" spans="1:19" s="24" customFormat="1" ht="13.35" customHeight="1">
      <c r="A2" s="87"/>
      <c r="B2" s="160"/>
      <c r="C2" s="160"/>
      <c r="D2" s="160"/>
      <c r="E2" s="160"/>
      <c r="F2" s="162"/>
      <c r="G2" s="162"/>
      <c r="H2" s="162"/>
      <c r="I2" s="162"/>
    </row>
    <row r="3" spans="1:19" s="24" customFormat="1" ht="15.6">
      <c r="A3" s="38" t="str">
        <f>'2-Kosten per locatie'!A3</f>
        <v>Naam opdrachtgever</v>
      </c>
      <c r="B3" s="144" t="str">
        <f>'2-Kosten per locatie'!B3</f>
        <v>Gemeente Zoetermeer</v>
      </c>
      <c r="C3" s="144"/>
      <c r="D3" s="144"/>
      <c r="E3" s="144"/>
      <c r="F3" s="162"/>
      <c r="G3" s="162"/>
      <c r="H3" s="162"/>
      <c r="I3" s="162"/>
    </row>
    <row r="4" spans="1:19" s="24" customFormat="1" ht="15.6">
      <c r="A4" s="38" t="str">
        <f>'2-Kosten per locatie'!A4</f>
        <v>Calculatie onderdeel</v>
      </c>
      <c r="B4" s="144" t="str">
        <f ca="1">MID(CELL("bestandsnaam",$D$9),SEARCH("]",CELL("bestandsnaam",$D$9),1)+1,256)</f>
        <v>12-Sanitaire voorzieningen</v>
      </c>
      <c r="C4" s="144"/>
      <c r="D4" s="144"/>
      <c r="E4" s="144"/>
      <c r="F4" s="162"/>
      <c r="G4" s="162"/>
      <c r="H4" s="162"/>
      <c r="I4" s="162"/>
    </row>
    <row r="5" spans="1:19" s="24" customFormat="1" ht="15.6">
      <c r="A5" s="38" t="str">
        <f>'2-Kosten per locatie'!A5</f>
        <v>Gebouw/plaats</v>
      </c>
      <c r="B5" s="144" t="str">
        <f>'2-Kosten per locatie'!B5</f>
        <v>Diversen Zoetermeer</v>
      </c>
      <c r="C5" s="144"/>
      <c r="D5" s="144"/>
      <c r="E5" s="144"/>
      <c r="F5" s="162"/>
      <c r="G5" s="162"/>
      <c r="H5" s="162"/>
      <c r="I5" s="162"/>
      <c r="J5" s="25"/>
      <c r="K5" s="26"/>
      <c r="L5" s="26"/>
      <c r="M5" s="25"/>
      <c r="N5" s="26"/>
      <c r="O5" s="26"/>
      <c r="P5" s="25"/>
      <c r="Q5" s="26"/>
      <c r="R5" s="26"/>
      <c r="S5" s="25"/>
    </row>
    <row r="6" spans="1:19" s="24" customFormat="1" ht="17.25" customHeight="1">
      <c r="A6" s="38" t="str">
        <f>'2-Kosten per locatie'!A6</f>
        <v>Referentie nummer</v>
      </c>
      <c r="B6" s="144" t="str">
        <f>'2-Kosten per locatie'!B6</f>
        <v>2025-045275 </v>
      </c>
      <c r="C6" s="144"/>
      <c r="D6" s="144"/>
      <c r="E6" s="144"/>
      <c r="F6" s="162"/>
      <c r="G6" s="162"/>
      <c r="H6" s="162"/>
      <c r="I6" s="162"/>
      <c r="J6" s="29"/>
      <c r="K6" s="26"/>
      <c r="L6" s="28"/>
      <c r="M6" s="29"/>
      <c r="N6" s="26"/>
      <c r="O6" s="28"/>
      <c r="P6" s="29"/>
      <c r="Q6" s="26"/>
      <c r="R6" s="28"/>
      <c r="S6" s="29"/>
    </row>
    <row r="7" spans="1:19" s="24" customFormat="1" ht="17.25" customHeight="1">
      <c r="A7" s="38" t="str">
        <f>'2-Kosten per locatie'!A7</f>
        <v>Naam dienstverlener</v>
      </c>
      <c r="B7" s="144">
        <f>'2-Kosten per locatie'!B7</f>
        <v>0</v>
      </c>
      <c r="C7" s="144"/>
      <c r="D7" s="109"/>
      <c r="E7" s="109"/>
      <c r="F7" s="162"/>
      <c r="G7" s="162"/>
      <c r="H7" s="162"/>
      <c r="I7" s="162"/>
    </row>
    <row r="8" spans="1:19" s="24" customFormat="1" ht="17.25" customHeight="1">
      <c r="A8" s="38" t="str">
        <f>'2-Kosten per locatie'!A8</f>
        <v>Prijspeil</v>
      </c>
      <c r="B8" s="320">
        <f>'2-Kosten per locatie'!B8</f>
        <v>2026</v>
      </c>
      <c r="C8" s="320"/>
      <c r="D8" s="48"/>
      <c r="E8" s="48"/>
      <c r="F8" s="162"/>
      <c r="G8" s="162"/>
      <c r="H8" s="162"/>
      <c r="I8" s="162"/>
    </row>
    <row r="9" spans="1:19" s="24" customFormat="1" ht="17.25" customHeight="1">
      <c r="A9" s="162"/>
      <c r="B9" s="162"/>
      <c r="C9" s="162"/>
      <c r="D9" s="162"/>
      <c r="E9" s="162"/>
      <c r="F9" s="162"/>
      <c r="G9" s="162"/>
      <c r="H9" s="162"/>
      <c r="I9" s="162"/>
    </row>
    <row r="10" spans="1:19" s="31" customFormat="1" ht="43.5" customHeight="1">
      <c r="A10" s="325" t="s">
        <v>21</v>
      </c>
      <c r="B10" s="325" t="s">
        <v>900</v>
      </c>
      <c r="C10" s="325" t="s">
        <v>901</v>
      </c>
      <c r="D10" s="324" t="s">
        <v>902</v>
      </c>
      <c r="E10" s="324" t="s">
        <v>903</v>
      </c>
      <c r="F10" s="346" t="s">
        <v>904</v>
      </c>
      <c r="G10" s="505" t="s">
        <v>905</v>
      </c>
      <c r="H10" s="506" t="s">
        <v>906</v>
      </c>
      <c r="I10" s="186"/>
    </row>
    <row r="11" spans="1:19">
      <c r="A11" s="488" t="s">
        <v>907</v>
      </c>
      <c r="B11" s="507" t="s">
        <v>908</v>
      </c>
      <c r="C11" s="508">
        <v>120399</v>
      </c>
      <c r="D11" s="485" t="s">
        <v>909</v>
      </c>
      <c r="E11" s="485" t="s">
        <v>910</v>
      </c>
      <c r="F11" s="495">
        <v>2856</v>
      </c>
      <c r="G11" s="509">
        <v>0</v>
      </c>
      <c r="H11" s="510">
        <f>G11/F11</f>
        <v>0</v>
      </c>
    </row>
    <row r="12" spans="1:19">
      <c r="A12" s="488" t="s">
        <v>907</v>
      </c>
      <c r="B12" s="507" t="s">
        <v>908</v>
      </c>
      <c r="C12" s="508">
        <v>100288</v>
      </c>
      <c r="D12" s="485" t="s">
        <v>911</v>
      </c>
      <c r="E12" s="485" t="s">
        <v>912</v>
      </c>
      <c r="F12" s="495">
        <v>2310</v>
      </c>
      <c r="G12" s="509">
        <v>0</v>
      </c>
      <c r="H12" s="510">
        <f t="shared" ref="H12:H23" si="0">G12/F12</f>
        <v>0</v>
      </c>
    </row>
    <row r="13" spans="1:19">
      <c r="A13" s="488" t="s">
        <v>907</v>
      </c>
      <c r="B13" s="507" t="s">
        <v>908</v>
      </c>
      <c r="C13" s="508">
        <v>100297</v>
      </c>
      <c r="D13" s="487" t="s">
        <v>913</v>
      </c>
      <c r="E13" s="485" t="s">
        <v>914</v>
      </c>
      <c r="F13" s="495">
        <v>2100</v>
      </c>
      <c r="G13" s="509">
        <v>0</v>
      </c>
      <c r="H13" s="510">
        <f t="shared" si="0"/>
        <v>0</v>
      </c>
    </row>
    <row r="14" spans="1:19">
      <c r="A14" s="488" t="s">
        <v>907</v>
      </c>
      <c r="B14" s="507" t="s">
        <v>908</v>
      </c>
      <c r="C14" s="508">
        <v>100289</v>
      </c>
      <c r="D14" s="487" t="s">
        <v>915</v>
      </c>
      <c r="E14" s="485" t="s">
        <v>912</v>
      </c>
      <c r="F14" s="495">
        <v>3150</v>
      </c>
      <c r="G14" s="509">
        <v>0</v>
      </c>
      <c r="H14" s="510">
        <f t="shared" si="0"/>
        <v>0</v>
      </c>
    </row>
    <row r="15" spans="1:19">
      <c r="A15" s="488" t="s">
        <v>907</v>
      </c>
      <c r="B15" s="507" t="s">
        <v>908</v>
      </c>
      <c r="C15" s="508" t="s">
        <v>299</v>
      </c>
      <c r="D15" s="487" t="s">
        <v>916</v>
      </c>
      <c r="E15" s="485" t="s">
        <v>917</v>
      </c>
      <c r="F15" s="495">
        <v>3750</v>
      </c>
      <c r="G15" s="509">
        <v>0</v>
      </c>
      <c r="H15" s="510">
        <f t="shared" si="0"/>
        <v>0</v>
      </c>
    </row>
    <row r="16" spans="1:19">
      <c r="A16" s="488" t="s">
        <v>907</v>
      </c>
      <c r="B16" s="507" t="s">
        <v>908</v>
      </c>
      <c r="C16" s="508">
        <v>290163</v>
      </c>
      <c r="D16" s="487" t="s">
        <v>918</v>
      </c>
      <c r="E16" s="485" t="s">
        <v>919</v>
      </c>
      <c r="F16" s="495">
        <v>3750</v>
      </c>
      <c r="G16" s="509">
        <v>0</v>
      </c>
      <c r="H16" s="510">
        <f t="shared" si="0"/>
        <v>0</v>
      </c>
    </row>
    <row r="17" spans="1:11">
      <c r="A17" s="488" t="s">
        <v>907</v>
      </c>
      <c r="B17" s="507" t="s">
        <v>908</v>
      </c>
      <c r="C17" s="508">
        <v>100278</v>
      </c>
      <c r="D17" s="487" t="s">
        <v>920</v>
      </c>
      <c r="E17" s="485" t="s">
        <v>921</v>
      </c>
      <c r="F17" s="495">
        <v>3000</v>
      </c>
      <c r="G17" s="509">
        <v>0</v>
      </c>
      <c r="H17" s="510">
        <f t="shared" si="0"/>
        <v>0</v>
      </c>
    </row>
    <row r="18" spans="1:11">
      <c r="A18" s="488" t="s">
        <v>907</v>
      </c>
      <c r="B18" s="507" t="s">
        <v>908</v>
      </c>
      <c r="C18" s="508" t="s">
        <v>299</v>
      </c>
      <c r="D18" s="487" t="s">
        <v>922</v>
      </c>
      <c r="E18" s="485" t="s">
        <v>923</v>
      </c>
      <c r="F18" s="495">
        <v>3200</v>
      </c>
      <c r="G18" s="509">
        <v>0</v>
      </c>
      <c r="H18" s="510">
        <f t="shared" si="0"/>
        <v>0</v>
      </c>
    </row>
    <row r="19" spans="1:11">
      <c r="A19" s="488" t="s">
        <v>907</v>
      </c>
      <c r="B19" s="494" t="s">
        <v>924</v>
      </c>
      <c r="C19" s="508">
        <v>114273</v>
      </c>
      <c r="D19" s="487" t="s">
        <v>925</v>
      </c>
      <c r="E19" s="487" t="s">
        <v>926</v>
      </c>
      <c r="F19" s="495">
        <v>7560</v>
      </c>
      <c r="G19" s="509">
        <v>0</v>
      </c>
      <c r="H19" s="510">
        <f t="shared" si="0"/>
        <v>0</v>
      </c>
    </row>
    <row r="20" spans="1:11">
      <c r="A20" s="488" t="s">
        <v>907</v>
      </c>
      <c r="B20" s="494" t="s">
        <v>924</v>
      </c>
      <c r="C20" s="508">
        <v>114276</v>
      </c>
      <c r="D20" s="487" t="s">
        <v>925</v>
      </c>
      <c r="E20" s="487" t="s">
        <v>927</v>
      </c>
      <c r="F20" s="495">
        <v>7560</v>
      </c>
      <c r="G20" s="509">
        <v>0</v>
      </c>
      <c r="H20" s="510">
        <f t="shared" si="0"/>
        <v>0</v>
      </c>
    </row>
    <row r="21" spans="1:11">
      <c r="A21" s="488" t="s">
        <v>907</v>
      </c>
      <c r="B21" s="494" t="s">
        <v>924</v>
      </c>
      <c r="C21" s="508">
        <v>50537</v>
      </c>
      <c r="D21" s="485" t="s">
        <v>928</v>
      </c>
      <c r="E21" s="485" t="s">
        <v>929</v>
      </c>
      <c r="F21" s="495">
        <v>9000</v>
      </c>
      <c r="G21" s="509">
        <v>0</v>
      </c>
      <c r="H21" s="510">
        <f t="shared" si="0"/>
        <v>0</v>
      </c>
      <c r="K21"/>
    </row>
    <row r="22" spans="1:11">
      <c r="A22" s="488" t="s">
        <v>907</v>
      </c>
      <c r="B22" s="494" t="s">
        <v>924</v>
      </c>
      <c r="C22" s="508">
        <v>127520</v>
      </c>
      <c r="D22" s="485" t="s">
        <v>930</v>
      </c>
      <c r="E22" s="485" t="s">
        <v>931</v>
      </c>
      <c r="F22" s="495" t="s">
        <v>932</v>
      </c>
      <c r="G22" s="509">
        <v>0</v>
      </c>
      <c r="H22" s="511"/>
    </row>
    <row r="23" spans="1:11">
      <c r="A23" s="488" t="s">
        <v>907</v>
      </c>
      <c r="B23" s="487" t="s">
        <v>908</v>
      </c>
      <c r="C23" s="508">
        <v>100888</v>
      </c>
      <c r="D23" s="487" t="s">
        <v>933</v>
      </c>
      <c r="E23" s="487" t="s">
        <v>934</v>
      </c>
      <c r="F23" s="495">
        <v>2040</v>
      </c>
      <c r="G23" s="509">
        <v>0</v>
      </c>
      <c r="H23" s="510">
        <f t="shared" si="0"/>
        <v>0</v>
      </c>
    </row>
    <row r="24" spans="1:11">
      <c r="A24" s="488" t="s">
        <v>907</v>
      </c>
      <c r="B24" s="485" t="s">
        <v>924</v>
      </c>
      <c r="C24" s="508">
        <v>317960</v>
      </c>
      <c r="D24" s="485" t="s">
        <v>935</v>
      </c>
      <c r="E24" s="485" t="s">
        <v>936</v>
      </c>
      <c r="F24" s="495" t="s">
        <v>932</v>
      </c>
      <c r="G24" s="509">
        <v>0</v>
      </c>
      <c r="H24" s="512"/>
    </row>
    <row r="25" spans="1:11">
      <c r="A25" s="488" t="s">
        <v>907</v>
      </c>
      <c r="B25" s="485" t="s">
        <v>937</v>
      </c>
      <c r="C25" s="508"/>
      <c r="D25" s="485" t="s">
        <v>938</v>
      </c>
      <c r="E25" s="485" t="s">
        <v>939</v>
      </c>
      <c r="F25" s="495" t="s">
        <v>299</v>
      </c>
      <c r="G25" s="509">
        <v>0</v>
      </c>
      <c r="H25" s="512"/>
    </row>
    <row r="26" spans="1:11">
      <c r="A26" s="488" t="s">
        <v>907</v>
      </c>
      <c r="B26" s="485" t="s">
        <v>937</v>
      </c>
      <c r="C26" s="508"/>
      <c r="D26" s="485" t="s">
        <v>938</v>
      </c>
      <c r="E26" s="485" t="s">
        <v>940</v>
      </c>
      <c r="F26" s="495" t="s">
        <v>299</v>
      </c>
      <c r="G26" s="509">
        <v>0</v>
      </c>
      <c r="H26" s="512"/>
    </row>
    <row r="27" spans="1:11">
      <c r="A27" s="488" t="s">
        <v>907</v>
      </c>
      <c r="B27" s="485" t="s">
        <v>941</v>
      </c>
      <c r="C27" s="508"/>
      <c r="D27" s="485" t="s">
        <v>942</v>
      </c>
      <c r="E27" s="485" t="s">
        <v>943</v>
      </c>
      <c r="F27" s="495" t="s">
        <v>299</v>
      </c>
      <c r="G27" s="509">
        <v>0</v>
      </c>
      <c r="H27" s="512"/>
    </row>
    <row r="28" spans="1:11">
      <c r="A28" s="494"/>
      <c r="B28" s="485"/>
      <c r="C28" s="508"/>
      <c r="D28" s="485"/>
      <c r="E28" s="485"/>
      <c r="F28" s="495"/>
      <c r="G28" s="491"/>
      <c r="H28" s="492"/>
    </row>
    <row r="30" spans="1:11" ht="50.1" customHeight="1">
      <c r="A30" s="543" t="s">
        <v>944</v>
      </c>
      <c r="B30" s="543"/>
      <c r="C30" s="543"/>
      <c r="D30" s="543"/>
      <c r="E30" s="543"/>
      <c r="F30" s="543"/>
      <c r="G30" s="543"/>
    </row>
  </sheetData>
  <autoFilter ref="A10:T28" xr:uid="{00000000-0009-0000-0000-00000A000000}"/>
  <mergeCells count="1">
    <mergeCell ref="A30:G30"/>
  </mergeCell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G113"/>
  <sheetViews>
    <sheetView showGridLines="0" showZeros="0" zoomScale="70" zoomScaleNormal="70" workbookViewId="0">
      <selection activeCell="F55" sqref="F55"/>
    </sheetView>
  </sheetViews>
  <sheetFormatPr defaultColWidth="8.5546875" defaultRowHeight="14.1" customHeight="1"/>
  <cols>
    <col min="1" max="1" width="44.44140625" style="40" customWidth="1"/>
    <col min="2" max="2" width="19.44140625" style="40" customWidth="1"/>
    <col min="3" max="3" width="16" style="40" customWidth="1"/>
    <col min="4" max="4" width="16.44140625" style="41" bestFit="1" customWidth="1"/>
    <col min="5" max="5" width="18.44140625" style="41" customWidth="1"/>
    <col min="6" max="6" width="15.109375" style="41" customWidth="1"/>
    <col min="7" max="7" width="15.109375" style="41" bestFit="1" customWidth="1"/>
    <col min="8" max="8" width="17.88671875" style="41" bestFit="1" customWidth="1"/>
    <col min="9" max="9" width="15.88671875" style="41" bestFit="1" customWidth="1"/>
    <col min="10" max="10" width="17.5546875" style="41" customWidth="1"/>
    <col min="11" max="11" width="15.109375" style="41" bestFit="1" customWidth="1"/>
    <col min="12" max="12" width="14.88671875" style="41" bestFit="1" customWidth="1"/>
    <col min="13" max="13" width="18.109375" style="41" bestFit="1" customWidth="1"/>
    <col min="14" max="14" width="18" style="41" bestFit="1" customWidth="1"/>
    <col min="15" max="15" width="19.109375" style="41" customWidth="1"/>
    <col min="16" max="16" width="17.44140625" style="41" customWidth="1"/>
    <col min="17" max="17" width="13.5546875" style="41" customWidth="1"/>
    <col min="18" max="18" width="16.5546875" style="41" customWidth="1"/>
    <col min="19" max="19" width="16.44140625" style="41" customWidth="1"/>
    <col min="20" max="20" width="18" style="41" bestFit="1" customWidth="1"/>
    <col min="21" max="21" width="16.5546875" style="41" bestFit="1" customWidth="1"/>
    <col min="22" max="23" width="13.5546875" style="41" customWidth="1"/>
    <col min="24" max="28" width="13.44140625" style="41" customWidth="1"/>
    <col min="29" max="29" width="14.5546875" style="41" customWidth="1"/>
    <col min="30" max="33" width="13.44140625" style="41" customWidth="1"/>
    <col min="34" max="16384" width="8.5546875" style="40"/>
  </cols>
  <sheetData>
    <row r="1" spans="1:33" ht="14.1" customHeight="1">
      <c r="A1" s="347" t="s">
        <v>4</v>
      </c>
      <c r="E1" s="192" t="s">
        <v>5</v>
      </c>
      <c r="F1" s="193"/>
      <c r="G1" s="42"/>
      <c r="J1" s="194" t="s">
        <v>6</v>
      </c>
      <c r="K1" s="195"/>
      <c r="L1" s="195"/>
      <c r="M1" s="195"/>
      <c r="N1" s="195"/>
      <c r="O1" s="196"/>
      <c r="P1" s="187" t="e">
        <f>M112</f>
        <v>#DIV/0!</v>
      </c>
    </row>
    <row r="2" spans="1:33" ht="14.1" customHeight="1">
      <c r="E2" s="348"/>
      <c r="F2" s="43" t="s">
        <v>7</v>
      </c>
      <c r="G2" s="42"/>
      <c r="J2" s="44" t="s">
        <v>8</v>
      </c>
      <c r="K2" s="45"/>
      <c r="L2" s="45"/>
      <c r="M2" s="45"/>
      <c r="N2" s="45"/>
      <c r="O2" s="46">
        <v>0.21</v>
      </c>
      <c r="P2" s="189" t="e">
        <f>O2*P1</f>
        <v>#DIV/0!</v>
      </c>
    </row>
    <row r="3" spans="1:33" ht="14.1" customHeight="1">
      <c r="A3" s="38" t="s">
        <v>0</v>
      </c>
      <c r="B3" s="47" t="s">
        <v>9</v>
      </c>
      <c r="C3" s="38"/>
      <c r="D3" s="42"/>
      <c r="E3" s="42"/>
      <c r="G3" s="42"/>
      <c r="H3" s="42"/>
      <c r="I3" s="42"/>
      <c r="J3" s="44" t="s">
        <v>10</v>
      </c>
      <c r="K3" s="45"/>
      <c r="L3" s="45"/>
      <c r="M3" s="45"/>
      <c r="N3" s="45"/>
      <c r="O3" s="45"/>
      <c r="P3" s="190" t="e">
        <f>P1+P2</f>
        <v>#DIV/0!</v>
      </c>
      <c r="AF3" s="42"/>
      <c r="AG3" s="42"/>
    </row>
    <row r="4" spans="1:33" ht="14.1" customHeight="1">
      <c r="A4" s="38" t="s">
        <v>1</v>
      </c>
      <c r="B4" s="47" t="str">
        <f ca="1">MID(CELL("bestandsnaam",$B$13),SEARCH("]",CELL("bestandsnaam",$B$13),1)+1,256)</f>
        <v>2-Kosten per locatie</v>
      </c>
      <c r="C4" s="47"/>
      <c r="D4" s="42"/>
      <c r="E4" s="192" t="s">
        <v>11</v>
      </c>
      <c r="F4" s="193"/>
      <c r="G4" s="42"/>
      <c r="H4" s="42"/>
      <c r="I4" s="42"/>
      <c r="J4" s="45"/>
      <c r="K4" s="45"/>
      <c r="L4" s="45"/>
      <c r="M4" s="45"/>
      <c r="N4" s="45"/>
      <c r="O4" s="45"/>
      <c r="P4" s="188"/>
      <c r="AF4" s="42"/>
      <c r="AG4" s="42"/>
    </row>
    <row r="5" spans="1:33" ht="14.1" customHeight="1">
      <c r="A5" s="38" t="s">
        <v>2</v>
      </c>
      <c r="B5" s="47" t="s">
        <v>12</v>
      </c>
      <c r="C5" s="38"/>
      <c r="D5" s="42"/>
      <c r="E5" s="349"/>
      <c r="F5" s="43" t="s">
        <v>13</v>
      </c>
      <c r="G5" s="42"/>
      <c r="H5" s="42"/>
      <c r="I5" s="42"/>
      <c r="J5" s="197" t="s">
        <v>14</v>
      </c>
      <c r="K5" s="198"/>
      <c r="L5" s="198"/>
      <c r="M5" s="198"/>
      <c r="N5" s="198"/>
      <c r="O5" s="198"/>
      <c r="P5" s="191">
        <v>1170000</v>
      </c>
      <c r="AF5" s="42"/>
      <c r="AG5" s="42"/>
    </row>
    <row r="6" spans="1:33" ht="15" customHeight="1">
      <c r="A6" s="38" t="s">
        <v>3</v>
      </c>
      <c r="B6" s="47" t="s">
        <v>15</v>
      </c>
      <c r="C6" s="38"/>
      <c r="D6" s="42"/>
      <c r="E6" s="42"/>
      <c r="F6" s="42"/>
      <c r="G6" s="42"/>
      <c r="H6" s="42"/>
      <c r="I6" s="42"/>
      <c r="J6" s="197" t="s">
        <v>16</v>
      </c>
      <c r="K6" s="198"/>
      <c r="L6" s="198"/>
      <c r="M6" s="198"/>
      <c r="N6" s="198"/>
      <c r="O6" s="198"/>
      <c r="P6" s="191">
        <v>1055000</v>
      </c>
      <c r="AF6" s="42"/>
      <c r="AG6" s="42"/>
    </row>
    <row r="7" spans="1:33" ht="14.1" customHeight="1">
      <c r="A7" s="38" t="s">
        <v>17</v>
      </c>
      <c r="B7" s="171"/>
      <c r="C7" s="172"/>
      <c r="D7" s="42"/>
      <c r="E7" s="42"/>
      <c r="F7" s="42"/>
      <c r="G7" s="42"/>
      <c r="H7" s="42"/>
      <c r="I7" s="42"/>
      <c r="J7" s="42"/>
      <c r="K7" s="42"/>
      <c r="V7" s="42"/>
      <c r="W7" s="40"/>
      <c r="X7" s="40"/>
      <c r="Y7" s="40"/>
      <c r="AF7" s="42"/>
      <c r="AG7" s="42"/>
    </row>
    <row r="8" spans="1:33" ht="14.1" customHeight="1">
      <c r="A8" s="38" t="s">
        <v>18</v>
      </c>
      <c r="B8" s="320">
        <v>2026</v>
      </c>
      <c r="C8" s="38"/>
      <c r="D8" s="42"/>
      <c r="E8" s="42"/>
      <c r="F8" s="42"/>
      <c r="G8" s="42"/>
      <c r="H8" s="42"/>
      <c r="I8" s="42"/>
      <c r="J8" s="42"/>
      <c r="K8" s="42"/>
      <c r="L8" s="42"/>
      <c r="M8" s="42"/>
      <c r="N8" s="42"/>
      <c r="O8" s="42"/>
      <c r="P8" s="42"/>
      <c r="Q8" s="42"/>
      <c r="R8" s="42"/>
      <c r="S8" s="42"/>
      <c r="T8" s="42"/>
      <c r="U8" s="42"/>
      <c r="V8" s="42"/>
      <c r="W8" s="42"/>
      <c r="X8" s="42"/>
      <c r="Y8" s="42"/>
      <c r="Z8" s="42"/>
      <c r="AA8" s="49"/>
      <c r="AB8" s="49"/>
      <c r="AC8" s="49"/>
      <c r="AD8" s="49"/>
      <c r="AE8" s="49"/>
      <c r="AF8" s="42"/>
      <c r="AG8" s="42"/>
    </row>
    <row r="9" spans="1:33" ht="14.1" customHeight="1">
      <c r="A9" s="38" t="s">
        <v>19</v>
      </c>
      <c r="B9" s="50" t="s">
        <v>20</v>
      </c>
      <c r="C9" s="38"/>
      <c r="D9" s="313"/>
      <c r="E9" s="312"/>
      <c r="F9" s="313"/>
      <c r="G9" s="42"/>
      <c r="H9" s="42"/>
      <c r="I9" s="42"/>
      <c r="J9" s="51"/>
      <c r="L9" s="42"/>
      <c r="M9" s="42"/>
      <c r="P9" s="42"/>
      <c r="Q9" s="42"/>
      <c r="V9" s="42"/>
      <c r="W9" s="40"/>
      <c r="X9" s="40"/>
      <c r="Y9" s="40"/>
      <c r="Z9" s="40"/>
      <c r="AA9" s="40"/>
      <c r="AB9" s="40"/>
      <c r="AC9" s="40"/>
      <c r="AD9" s="40"/>
      <c r="AE9" s="40"/>
      <c r="AF9" s="42"/>
      <c r="AG9" s="42"/>
    </row>
    <row r="10" spans="1:33" ht="14.1" customHeight="1">
      <c r="A10" s="38"/>
      <c r="B10" s="38"/>
      <c r="C10" s="38"/>
      <c r="D10" s="313"/>
      <c r="E10" s="313"/>
      <c r="F10" s="313"/>
      <c r="G10" s="313"/>
      <c r="H10" s="42"/>
      <c r="I10" s="42"/>
      <c r="J10" s="51"/>
      <c r="K10" s="42"/>
      <c r="L10" s="42"/>
      <c r="M10" s="42"/>
      <c r="N10" s="42"/>
      <c r="O10" s="42"/>
      <c r="P10" s="42"/>
      <c r="Q10" s="42"/>
      <c r="R10" s="42"/>
      <c r="S10" s="42"/>
      <c r="T10" s="42"/>
      <c r="U10" s="42"/>
      <c r="V10" s="42"/>
      <c r="W10" s="42"/>
      <c r="X10" s="42"/>
      <c r="Y10" s="42"/>
      <c r="Z10" s="42"/>
      <c r="AA10" s="42"/>
      <c r="AB10" s="42"/>
      <c r="AC10" s="42"/>
      <c r="AD10" s="42"/>
      <c r="AE10" s="42"/>
      <c r="AF10" s="42"/>
      <c r="AG10" s="42"/>
    </row>
    <row r="11" spans="1:33" ht="14.1" customHeight="1">
      <c r="A11" s="38"/>
      <c r="B11" s="38"/>
      <c r="C11" s="38"/>
      <c r="D11" s="313"/>
      <c r="E11" s="313"/>
      <c r="F11" s="313"/>
      <c r="G11" s="313"/>
      <c r="H11" s="42"/>
      <c r="I11" s="42"/>
      <c r="J11" s="51"/>
      <c r="K11" s="42"/>
      <c r="L11" s="42"/>
      <c r="M11" s="42"/>
      <c r="N11" s="42"/>
      <c r="O11" s="42"/>
      <c r="P11" s="42"/>
      <c r="Q11" s="42"/>
      <c r="R11" s="42"/>
      <c r="S11" s="42"/>
      <c r="T11" s="42"/>
      <c r="U11" s="42"/>
      <c r="V11" s="42"/>
      <c r="W11" s="42"/>
      <c r="X11" s="42"/>
      <c r="Y11" s="42"/>
      <c r="Z11" s="42"/>
      <c r="AA11" s="42"/>
      <c r="AB11" s="42"/>
      <c r="AC11" s="42"/>
      <c r="AD11" s="42"/>
      <c r="AE11" s="42"/>
      <c r="AF11" s="42"/>
      <c r="AG11" s="42"/>
    </row>
    <row r="12" spans="1:33" ht="15.6">
      <c r="C12" s="48"/>
      <c r="J12" s="52"/>
      <c r="AA12" s="42"/>
      <c r="AB12" s="42"/>
      <c r="AC12" s="42"/>
      <c r="AD12" s="42"/>
      <c r="AE12" s="42"/>
      <c r="AF12" s="42"/>
      <c r="AG12" s="42"/>
    </row>
    <row r="13" spans="1:33" ht="18" customHeight="1">
      <c r="A13" s="53"/>
      <c r="B13" s="53"/>
      <c r="C13" s="53"/>
      <c r="D13" s="53"/>
      <c r="E13" s="53"/>
      <c r="F13" s="53"/>
      <c r="G13" s="322"/>
      <c r="H13" s="322"/>
      <c r="I13" s="322"/>
      <c r="J13" s="322"/>
      <c r="K13" s="322"/>
      <c r="L13" s="322"/>
      <c r="M13" s="322"/>
      <c r="N13" s="322"/>
      <c r="O13" s="322"/>
      <c r="P13" s="322"/>
      <c r="Q13" s="322"/>
      <c r="R13" s="322"/>
      <c r="S13" s="513"/>
      <c r="T13" s="513"/>
      <c r="U13" s="513"/>
      <c r="V13" s="513"/>
      <c r="W13" s="513"/>
      <c r="X13" s="513"/>
      <c r="Y13" s="42"/>
      <c r="Z13" s="42"/>
      <c r="AA13" s="42"/>
      <c r="AB13" s="42"/>
      <c r="AC13" s="42"/>
      <c r="AD13" s="42"/>
      <c r="AE13" s="42"/>
      <c r="AF13" s="40"/>
      <c r="AG13" s="40"/>
    </row>
    <row r="14" spans="1:33" ht="64.5" customHeight="1">
      <c r="A14" s="350" t="s">
        <v>21</v>
      </c>
      <c r="B14" s="351" t="s">
        <v>22</v>
      </c>
      <c r="C14" s="351" t="s">
        <v>23</v>
      </c>
      <c r="D14" s="352" t="s">
        <v>24</v>
      </c>
      <c r="E14" s="352" t="s">
        <v>25</v>
      </c>
      <c r="F14" s="352" t="s">
        <v>26</v>
      </c>
      <c r="G14" s="353" t="s">
        <v>27</v>
      </c>
      <c r="H14" s="353" t="s">
        <v>28</v>
      </c>
      <c r="I14" s="353" t="s">
        <v>29</v>
      </c>
      <c r="J14" s="353" t="s">
        <v>30</v>
      </c>
      <c r="K14" s="353" t="s">
        <v>31</v>
      </c>
      <c r="L14" s="353" t="s">
        <v>32</v>
      </c>
      <c r="M14" s="353" t="s">
        <v>33</v>
      </c>
      <c r="N14" s="353" t="s">
        <v>34</v>
      </c>
      <c r="O14" s="353" t="s">
        <v>35</v>
      </c>
      <c r="P14" s="42"/>
      <c r="Q14" s="40"/>
      <c r="R14" s="40"/>
      <c r="S14" s="40"/>
      <c r="T14" s="40"/>
      <c r="U14" s="40"/>
      <c r="V14" s="40"/>
      <c r="W14" s="40"/>
      <c r="X14" s="40"/>
      <c r="Y14" s="40"/>
      <c r="Z14" s="40"/>
      <c r="AA14" s="40"/>
      <c r="AB14" s="40"/>
      <c r="AC14" s="40"/>
      <c r="AD14" s="40"/>
      <c r="AE14" s="40"/>
      <c r="AF14" s="40"/>
      <c r="AG14" s="40"/>
    </row>
    <row r="15" spans="1:33" ht="15" customHeight="1">
      <c r="A15" s="354" t="s">
        <v>36</v>
      </c>
      <c r="B15" s="355">
        <f>SUMIF('4-Basis ruimtestaat'!B:B,'2-Kosten per locatie'!A15,'4-Basis ruimtestaat'!K:K)</f>
        <v>409</v>
      </c>
      <c r="C15" s="356"/>
      <c r="D15" s="357">
        <f>_xlfn.MAXIFS('4-Basis ruimtestaat'!M:M,'4-Basis ruimtestaat'!B:B,'2-Kosten per locatie'!A15)</f>
        <v>255</v>
      </c>
      <c r="E15" s="357">
        <f>_xlfn.MAXIFS('4-Basis ruimtestaat'!N:N,'4-Basis ruimtestaat'!B:B,'2-Kosten per locatie'!A15)</f>
        <v>0</v>
      </c>
      <c r="F15" s="357">
        <f>_xlfn.MAXIFS('4-Basis ruimtestaat'!O:O,'4-Basis ruimtestaat'!B:B,'2-Kosten per locatie'!A15)</f>
        <v>0</v>
      </c>
      <c r="G15" s="358" t="e">
        <f>SUMIF('4-Basis ruimtestaat'!B:B,'2-Kosten per locatie'!A15,'4-Basis ruimtestaat'!P:P)</f>
        <v>#DIV/0!</v>
      </c>
      <c r="H15" s="358">
        <f>SUMIF('4-Basis ruimtestaat'!B:B,'2-Kosten per locatie'!A15,'4-Basis ruimtestaat'!Q:Q)</f>
        <v>0</v>
      </c>
      <c r="I15" s="358">
        <f>SUMIF('4-Basis ruimtestaat'!B:B,'2-Kosten per locatie'!A15,'4-Basis ruimtestaat'!R:R)</f>
        <v>0</v>
      </c>
      <c r="J15" s="358" t="e">
        <f t="shared" ref="J15:J61" si="0">IF(G15&lt;(D15*$E$2),D15*$E$2-G15,0)</f>
        <v>#DIV/0!</v>
      </c>
      <c r="K15" s="358">
        <f t="shared" ref="K15:K61" si="1">IF(H15&lt;(E15*$E$2),E15*$E$2-H15,0)</f>
        <v>0</v>
      </c>
      <c r="L15" s="358">
        <f t="shared" ref="L15:L61" si="2">IF(I15&lt;(F15*$E$2),F15*$E$2-I15,0)</f>
        <v>0</v>
      </c>
      <c r="M15" s="358" t="e">
        <f t="shared" ref="M15:M61" si="3">G15*$E$5</f>
        <v>#DIV/0!</v>
      </c>
      <c r="N15" s="358">
        <f t="shared" ref="N15:N61" si="4">H15*$E$5</f>
        <v>0</v>
      </c>
      <c r="O15" s="358">
        <f t="shared" ref="O15:O61" si="5">I15*$E$5</f>
        <v>0</v>
      </c>
      <c r="P15" s="42"/>
      <c r="Q15" s="40"/>
      <c r="R15" s="40"/>
      <c r="S15" s="40"/>
      <c r="T15" s="40"/>
      <c r="U15" s="40"/>
      <c r="V15" s="40"/>
      <c r="W15" s="40"/>
      <c r="X15" s="40"/>
      <c r="Y15" s="40"/>
      <c r="Z15" s="40"/>
      <c r="AA15" s="40"/>
      <c r="AB15" s="40"/>
      <c r="AC15" s="40"/>
      <c r="AD15" s="40"/>
      <c r="AE15" s="40"/>
      <c r="AF15" s="40"/>
      <c r="AG15" s="40"/>
    </row>
    <row r="16" spans="1:33" ht="15" customHeight="1">
      <c r="A16" s="354" t="s">
        <v>37</v>
      </c>
      <c r="B16" s="355">
        <f>SUMIF('4-Basis ruimtestaat'!B:B,'2-Kosten per locatie'!A16,'4-Basis ruimtestaat'!K:K)</f>
        <v>75.5</v>
      </c>
      <c r="C16" s="356"/>
      <c r="D16" s="357">
        <f>_xlfn.MAXIFS('4-Basis ruimtestaat'!M:M,'4-Basis ruimtestaat'!B:B,'2-Kosten per locatie'!A16)</f>
        <v>156</v>
      </c>
      <c r="E16" s="357">
        <f>_xlfn.MAXIFS('4-Basis ruimtestaat'!N:N,'4-Basis ruimtestaat'!B:B,'2-Kosten per locatie'!A16)</f>
        <v>0</v>
      </c>
      <c r="F16" s="357">
        <f>_xlfn.MAXIFS('4-Basis ruimtestaat'!O:O,'4-Basis ruimtestaat'!B:B,'2-Kosten per locatie'!A16)</f>
        <v>0</v>
      </c>
      <c r="G16" s="358" t="e">
        <f>SUMIF('4-Basis ruimtestaat'!B:B,'2-Kosten per locatie'!A16,'4-Basis ruimtestaat'!P:P)</f>
        <v>#DIV/0!</v>
      </c>
      <c r="H16" s="358">
        <f>SUMIF('4-Basis ruimtestaat'!B:B,'2-Kosten per locatie'!A16,'4-Basis ruimtestaat'!Q:Q)</f>
        <v>0</v>
      </c>
      <c r="I16" s="358">
        <f>SUMIF('4-Basis ruimtestaat'!B:B,'2-Kosten per locatie'!A16,'4-Basis ruimtestaat'!R:R)</f>
        <v>0</v>
      </c>
      <c r="J16" s="358" t="e">
        <f t="shared" si="0"/>
        <v>#DIV/0!</v>
      </c>
      <c r="K16" s="358">
        <f t="shared" si="1"/>
        <v>0</v>
      </c>
      <c r="L16" s="358">
        <f t="shared" si="2"/>
        <v>0</v>
      </c>
      <c r="M16" s="358" t="e">
        <f t="shared" si="3"/>
        <v>#DIV/0!</v>
      </c>
      <c r="N16" s="358">
        <f t="shared" si="4"/>
        <v>0</v>
      </c>
      <c r="O16" s="358">
        <f t="shared" si="5"/>
        <v>0</v>
      </c>
      <c r="P16" s="42"/>
      <c r="Q16" s="40"/>
      <c r="R16" s="40"/>
      <c r="S16" s="40"/>
      <c r="T16" s="40"/>
      <c r="U16" s="40"/>
      <c r="V16" s="40"/>
      <c r="W16" s="40"/>
      <c r="X16" s="40"/>
      <c r="Y16" s="40"/>
      <c r="Z16" s="40"/>
      <c r="AA16" s="40"/>
      <c r="AB16" s="40"/>
      <c r="AC16" s="40"/>
      <c r="AD16" s="40"/>
      <c r="AE16" s="40"/>
      <c r="AF16" s="40"/>
      <c r="AG16" s="40"/>
    </row>
    <row r="17" spans="1:33" ht="15" customHeight="1">
      <c r="A17" s="359" t="s">
        <v>38</v>
      </c>
      <c r="B17" s="355">
        <f>SUMIF('4-Basis ruimtestaat'!B:B,'2-Kosten per locatie'!A17,'4-Basis ruimtestaat'!K:K)</f>
        <v>41.1</v>
      </c>
      <c r="C17" s="356"/>
      <c r="D17" s="357">
        <f>_xlfn.MAXIFS('4-Basis ruimtestaat'!M:M,'4-Basis ruimtestaat'!B:B,'2-Kosten per locatie'!A17)</f>
        <v>156</v>
      </c>
      <c r="E17" s="357">
        <f>_xlfn.MAXIFS('4-Basis ruimtestaat'!N:N,'4-Basis ruimtestaat'!B:B,'2-Kosten per locatie'!A17)</f>
        <v>0</v>
      </c>
      <c r="F17" s="357">
        <f>_xlfn.MAXIFS('4-Basis ruimtestaat'!O:O,'4-Basis ruimtestaat'!B:B,'2-Kosten per locatie'!A17)</f>
        <v>0</v>
      </c>
      <c r="G17" s="358" t="e">
        <f>SUMIF('4-Basis ruimtestaat'!B:B,'2-Kosten per locatie'!A17,'4-Basis ruimtestaat'!P:P)</f>
        <v>#DIV/0!</v>
      </c>
      <c r="H17" s="358">
        <f>SUMIF('4-Basis ruimtestaat'!B:B,'2-Kosten per locatie'!A17,'4-Basis ruimtestaat'!Q:Q)</f>
        <v>0</v>
      </c>
      <c r="I17" s="358">
        <f>SUMIF('4-Basis ruimtestaat'!B:B,'2-Kosten per locatie'!A17,'4-Basis ruimtestaat'!R:R)</f>
        <v>0</v>
      </c>
      <c r="J17" s="358" t="e">
        <f t="shared" si="0"/>
        <v>#DIV/0!</v>
      </c>
      <c r="K17" s="358">
        <f t="shared" si="1"/>
        <v>0</v>
      </c>
      <c r="L17" s="358">
        <f t="shared" si="2"/>
        <v>0</v>
      </c>
      <c r="M17" s="358" t="e">
        <f t="shared" si="3"/>
        <v>#DIV/0!</v>
      </c>
      <c r="N17" s="358">
        <f t="shared" si="4"/>
        <v>0</v>
      </c>
      <c r="O17" s="358">
        <f t="shared" si="5"/>
        <v>0</v>
      </c>
      <c r="P17" s="42"/>
      <c r="Q17" s="40"/>
      <c r="R17" s="40"/>
      <c r="S17" s="40"/>
      <c r="T17" s="40"/>
      <c r="U17" s="40"/>
      <c r="V17" s="40"/>
      <c r="W17" s="40"/>
      <c r="X17" s="40"/>
      <c r="Y17" s="40"/>
      <c r="Z17" s="40"/>
      <c r="AA17" s="40"/>
      <c r="AB17" s="40"/>
      <c r="AC17" s="40"/>
      <c r="AD17" s="40"/>
      <c r="AE17" s="40"/>
      <c r="AF17" s="40"/>
      <c r="AG17" s="40"/>
    </row>
    <row r="18" spans="1:33" ht="15" customHeight="1">
      <c r="A18" s="359" t="s">
        <v>39</v>
      </c>
      <c r="B18" s="355">
        <f>SUMIF('4-Basis ruimtestaat'!B:B,'2-Kosten per locatie'!A18,'4-Basis ruimtestaat'!K:K)</f>
        <v>652</v>
      </c>
      <c r="C18" s="356"/>
      <c r="D18" s="357">
        <f>_xlfn.MAXIFS('4-Basis ruimtestaat'!M:M,'4-Basis ruimtestaat'!B:B,'2-Kosten per locatie'!A18)</f>
        <v>255</v>
      </c>
      <c r="E18" s="357">
        <f>_xlfn.MAXIFS('4-Basis ruimtestaat'!N:N,'4-Basis ruimtestaat'!B:B,'2-Kosten per locatie'!A18)</f>
        <v>0</v>
      </c>
      <c r="F18" s="357">
        <f>_xlfn.MAXIFS('4-Basis ruimtestaat'!O:O,'4-Basis ruimtestaat'!B:B,'2-Kosten per locatie'!A18)</f>
        <v>0</v>
      </c>
      <c r="G18" s="358" t="e">
        <f>SUMIF('4-Basis ruimtestaat'!B:B,'2-Kosten per locatie'!A18,'4-Basis ruimtestaat'!P:P)</f>
        <v>#DIV/0!</v>
      </c>
      <c r="H18" s="358">
        <f>SUMIF('4-Basis ruimtestaat'!B:B,'2-Kosten per locatie'!A18,'4-Basis ruimtestaat'!Q:Q)</f>
        <v>0</v>
      </c>
      <c r="I18" s="358">
        <f>SUMIF('4-Basis ruimtestaat'!B:B,'2-Kosten per locatie'!A18,'4-Basis ruimtestaat'!R:R)</f>
        <v>0</v>
      </c>
      <c r="J18" s="358" t="e">
        <f t="shared" si="0"/>
        <v>#DIV/0!</v>
      </c>
      <c r="K18" s="358">
        <f t="shared" si="1"/>
        <v>0</v>
      </c>
      <c r="L18" s="358">
        <f t="shared" si="2"/>
        <v>0</v>
      </c>
      <c r="M18" s="358" t="e">
        <f t="shared" si="3"/>
        <v>#DIV/0!</v>
      </c>
      <c r="N18" s="358">
        <f t="shared" si="4"/>
        <v>0</v>
      </c>
      <c r="O18" s="358">
        <f t="shared" si="5"/>
        <v>0</v>
      </c>
      <c r="P18" s="42"/>
      <c r="Q18" s="40"/>
      <c r="R18" s="40"/>
      <c r="S18" s="40"/>
      <c r="T18" s="40"/>
      <c r="U18" s="40"/>
      <c r="V18" s="40"/>
      <c r="W18" s="40"/>
      <c r="X18" s="40"/>
      <c r="Y18" s="40"/>
      <c r="Z18" s="40"/>
      <c r="AA18" s="40"/>
      <c r="AB18" s="40"/>
      <c r="AC18" s="40"/>
      <c r="AD18" s="40"/>
      <c r="AE18" s="40"/>
      <c r="AF18" s="40"/>
      <c r="AG18" s="40"/>
    </row>
    <row r="19" spans="1:33" ht="15" customHeight="1">
      <c r="A19" s="359" t="s">
        <v>40</v>
      </c>
      <c r="B19" s="355">
        <f>SUMIF('4-Basis ruimtestaat'!B:B,'2-Kosten per locatie'!A19,'4-Basis ruimtestaat'!K:K)</f>
        <v>462</v>
      </c>
      <c r="C19" s="356"/>
      <c r="D19" s="357">
        <f>_xlfn.MAXIFS('4-Basis ruimtestaat'!M:M,'4-Basis ruimtestaat'!B:B,'2-Kosten per locatie'!A19)</f>
        <v>255</v>
      </c>
      <c r="E19" s="357">
        <f>_xlfn.MAXIFS('4-Basis ruimtestaat'!N:N,'4-Basis ruimtestaat'!B:B,'2-Kosten per locatie'!A19)</f>
        <v>52</v>
      </c>
      <c r="F19" s="357">
        <f>_xlfn.MAXIFS('4-Basis ruimtestaat'!O:O,'4-Basis ruimtestaat'!B:B,'2-Kosten per locatie'!A19)</f>
        <v>0</v>
      </c>
      <c r="G19" s="358" t="e">
        <f>SUMIF('4-Basis ruimtestaat'!B:B,'2-Kosten per locatie'!A19,'4-Basis ruimtestaat'!P:P)</f>
        <v>#DIV/0!</v>
      </c>
      <c r="H19" s="358" t="e">
        <f>SUMIF('4-Basis ruimtestaat'!B:B,'2-Kosten per locatie'!A19,'4-Basis ruimtestaat'!Q:Q)</f>
        <v>#DIV/0!</v>
      </c>
      <c r="I19" s="358">
        <f>SUMIF('4-Basis ruimtestaat'!B:B,'2-Kosten per locatie'!A19,'4-Basis ruimtestaat'!R:R)</f>
        <v>0</v>
      </c>
      <c r="J19" s="358" t="e">
        <f t="shared" si="0"/>
        <v>#DIV/0!</v>
      </c>
      <c r="K19" s="358" t="e">
        <f t="shared" si="1"/>
        <v>#DIV/0!</v>
      </c>
      <c r="L19" s="358">
        <f t="shared" si="2"/>
        <v>0</v>
      </c>
      <c r="M19" s="358" t="e">
        <f t="shared" si="3"/>
        <v>#DIV/0!</v>
      </c>
      <c r="N19" s="358" t="e">
        <f t="shared" si="4"/>
        <v>#DIV/0!</v>
      </c>
      <c r="O19" s="358">
        <f t="shared" si="5"/>
        <v>0</v>
      </c>
      <c r="P19" s="42"/>
      <c r="Q19" s="40"/>
      <c r="R19" s="40"/>
      <c r="S19" s="40"/>
      <c r="T19" s="40"/>
      <c r="U19" s="40"/>
      <c r="V19" s="40"/>
      <c r="W19" s="40"/>
      <c r="X19" s="40"/>
      <c r="Y19" s="40"/>
      <c r="Z19" s="40"/>
      <c r="AA19" s="40"/>
      <c r="AB19" s="40"/>
      <c r="AC19" s="40"/>
      <c r="AD19" s="40"/>
      <c r="AE19" s="40"/>
      <c r="AF19" s="40"/>
      <c r="AG19" s="40"/>
    </row>
    <row r="20" spans="1:33" ht="15" customHeight="1">
      <c r="A20" s="359" t="s">
        <v>41</v>
      </c>
      <c r="B20" s="360">
        <f>SUMIF('4-Basis ruimtestaat'!B:B,'2-Kosten per locatie'!A20,'4-Basis ruimtestaat'!K:K)</f>
        <v>171.70000000000005</v>
      </c>
      <c r="C20" s="356"/>
      <c r="D20" s="357">
        <f>_xlfn.MAXIFS('4-Basis ruimtestaat'!M:M,'4-Basis ruimtestaat'!B:B,'2-Kosten per locatie'!A20)</f>
        <v>255</v>
      </c>
      <c r="E20" s="357">
        <f>_xlfn.MAXIFS('4-Basis ruimtestaat'!N:N,'4-Basis ruimtestaat'!B:B,'2-Kosten per locatie'!A20)</f>
        <v>0</v>
      </c>
      <c r="F20" s="357">
        <f>_xlfn.MAXIFS('4-Basis ruimtestaat'!O:O,'4-Basis ruimtestaat'!B:B,'2-Kosten per locatie'!A20)</f>
        <v>0</v>
      </c>
      <c r="G20" s="358" t="e">
        <f>SUMIF('4-Basis ruimtestaat'!B:B,'2-Kosten per locatie'!A20,'4-Basis ruimtestaat'!P:P)</f>
        <v>#DIV/0!</v>
      </c>
      <c r="H20" s="358">
        <f>SUMIF('4-Basis ruimtestaat'!B:B,'2-Kosten per locatie'!A20,'4-Basis ruimtestaat'!Q:Q)</f>
        <v>0</v>
      </c>
      <c r="I20" s="358">
        <f>SUMIF('4-Basis ruimtestaat'!B:B,'2-Kosten per locatie'!A20,'4-Basis ruimtestaat'!R:R)</f>
        <v>0</v>
      </c>
      <c r="J20" s="358" t="e">
        <f t="shared" si="0"/>
        <v>#DIV/0!</v>
      </c>
      <c r="K20" s="358">
        <f t="shared" si="1"/>
        <v>0</v>
      </c>
      <c r="L20" s="358">
        <f t="shared" si="2"/>
        <v>0</v>
      </c>
      <c r="M20" s="358" t="e">
        <f t="shared" si="3"/>
        <v>#DIV/0!</v>
      </c>
      <c r="N20" s="358">
        <f t="shared" si="4"/>
        <v>0</v>
      </c>
      <c r="O20" s="358">
        <f t="shared" si="5"/>
        <v>0</v>
      </c>
      <c r="P20" s="42"/>
      <c r="Q20" s="40"/>
      <c r="R20" s="40"/>
      <c r="S20" s="40"/>
      <c r="T20" s="40"/>
      <c r="U20" s="40"/>
      <c r="V20" s="40"/>
      <c r="W20" s="40"/>
      <c r="X20" s="40"/>
      <c r="Y20" s="40"/>
      <c r="Z20" s="40"/>
      <c r="AA20" s="40"/>
      <c r="AB20" s="40"/>
      <c r="AC20" s="40"/>
      <c r="AD20" s="40"/>
      <c r="AE20" s="40"/>
      <c r="AF20" s="40"/>
      <c r="AG20" s="40"/>
    </row>
    <row r="21" spans="1:33" ht="15" customHeight="1">
      <c r="A21" s="359" t="s">
        <v>42</v>
      </c>
      <c r="B21" s="355">
        <f>SUMIF('4-Basis ruimtestaat'!B:B,'2-Kosten per locatie'!A21,'4-Basis ruimtestaat'!K:K)</f>
        <v>579.49999999999989</v>
      </c>
      <c r="C21" s="356"/>
      <c r="D21" s="357">
        <f>_xlfn.MAXIFS('4-Basis ruimtestaat'!M:M,'4-Basis ruimtestaat'!B:B,'2-Kosten per locatie'!A21)</f>
        <v>230</v>
      </c>
      <c r="E21" s="357">
        <f>_xlfn.MAXIFS('4-Basis ruimtestaat'!N:N,'4-Basis ruimtestaat'!B:B,'2-Kosten per locatie'!A21)</f>
        <v>0</v>
      </c>
      <c r="F21" s="357">
        <f>_xlfn.MAXIFS('4-Basis ruimtestaat'!O:O,'4-Basis ruimtestaat'!B:B,'2-Kosten per locatie'!A21)</f>
        <v>0</v>
      </c>
      <c r="G21" s="358" t="e">
        <f>SUMIF('4-Basis ruimtestaat'!B:B,'2-Kosten per locatie'!A21,'4-Basis ruimtestaat'!P:P)</f>
        <v>#DIV/0!</v>
      </c>
      <c r="H21" s="358">
        <f>SUMIF('4-Basis ruimtestaat'!B:B,'2-Kosten per locatie'!A21,'4-Basis ruimtestaat'!Q:Q)</f>
        <v>0</v>
      </c>
      <c r="I21" s="358">
        <f>SUMIF('4-Basis ruimtestaat'!B:B,'2-Kosten per locatie'!A21,'4-Basis ruimtestaat'!R:R)</f>
        <v>0</v>
      </c>
      <c r="J21" s="358" t="e">
        <f t="shared" si="0"/>
        <v>#DIV/0!</v>
      </c>
      <c r="K21" s="358">
        <f t="shared" si="1"/>
        <v>0</v>
      </c>
      <c r="L21" s="358">
        <f t="shared" si="2"/>
        <v>0</v>
      </c>
      <c r="M21" s="358" t="e">
        <f t="shared" si="3"/>
        <v>#DIV/0!</v>
      </c>
      <c r="N21" s="358">
        <f t="shared" si="4"/>
        <v>0</v>
      </c>
      <c r="O21" s="358">
        <f t="shared" si="5"/>
        <v>0</v>
      </c>
      <c r="P21" s="42"/>
      <c r="Q21" s="40"/>
      <c r="R21" s="40"/>
      <c r="S21" s="40"/>
      <c r="T21" s="40"/>
      <c r="U21" s="40"/>
      <c r="V21" s="40"/>
      <c r="W21" s="40"/>
      <c r="X21" s="40"/>
      <c r="Y21" s="40"/>
      <c r="Z21" s="40"/>
      <c r="AA21" s="40"/>
      <c r="AB21" s="40"/>
      <c r="AC21" s="40"/>
      <c r="AD21" s="40"/>
      <c r="AE21" s="40"/>
      <c r="AF21" s="40"/>
      <c r="AG21" s="40"/>
    </row>
    <row r="22" spans="1:33" ht="15" customHeight="1">
      <c r="A22" s="359" t="s">
        <v>43</v>
      </c>
      <c r="B22" s="355">
        <f>SUMIF('4-Basis ruimtestaat'!B:B,'2-Kosten per locatie'!A22,'4-Basis ruimtestaat'!K:K)</f>
        <v>240</v>
      </c>
      <c r="C22" s="356"/>
      <c r="D22" s="357">
        <f>_xlfn.MAXIFS('4-Basis ruimtestaat'!M:M,'4-Basis ruimtestaat'!B:B,'2-Kosten per locatie'!A22)</f>
        <v>255</v>
      </c>
      <c r="E22" s="357">
        <f>_xlfn.MAXIFS('4-Basis ruimtestaat'!N:N,'4-Basis ruimtestaat'!B:B,'2-Kosten per locatie'!A22)</f>
        <v>0</v>
      </c>
      <c r="F22" s="357">
        <f>_xlfn.MAXIFS('4-Basis ruimtestaat'!O:O,'4-Basis ruimtestaat'!B:B,'2-Kosten per locatie'!A22)</f>
        <v>0</v>
      </c>
      <c r="G22" s="358" t="e">
        <f>SUMIF('4-Basis ruimtestaat'!B:B,'2-Kosten per locatie'!A22,'4-Basis ruimtestaat'!P:P)</f>
        <v>#DIV/0!</v>
      </c>
      <c r="H22" s="358">
        <f>SUMIF('4-Basis ruimtestaat'!B:B,'2-Kosten per locatie'!A22,'4-Basis ruimtestaat'!Q:Q)</f>
        <v>0</v>
      </c>
      <c r="I22" s="358">
        <f>SUMIF('4-Basis ruimtestaat'!B:B,'2-Kosten per locatie'!A22,'4-Basis ruimtestaat'!R:R)</f>
        <v>0</v>
      </c>
      <c r="J22" s="358" t="e">
        <f t="shared" si="0"/>
        <v>#DIV/0!</v>
      </c>
      <c r="K22" s="358">
        <f t="shared" si="1"/>
        <v>0</v>
      </c>
      <c r="L22" s="358">
        <f t="shared" si="2"/>
        <v>0</v>
      </c>
      <c r="M22" s="358" t="e">
        <f t="shared" si="3"/>
        <v>#DIV/0!</v>
      </c>
      <c r="N22" s="358">
        <f t="shared" si="4"/>
        <v>0</v>
      </c>
      <c r="O22" s="358">
        <f t="shared" si="5"/>
        <v>0</v>
      </c>
      <c r="P22" s="42"/>
      <c r="Q22" s="40"/>
      <c r="R22" s="40"/>
      <c r="S22" s="40"/>
      <c r="T22" s="40"/>
      <c r="U22" s="40"/>
      <c r="V22" s="40"/>
      <c r="W22" s="40"/>
      <c r="X22" s="40"/>
      <c r="Y22" s="40"/>
      <c r="Z22" s="40"/>
      <c r="AA22" s="40"/>
      <c r="AB22" s="40"/>
      <c r="AC22" s="40"/>
      <c r="AD22" s="40"/>
      <c r="AE22" s="40"/>
      <c r="AF22" s="40"/>
      <c r="AG22" s="40"/>
    </row>
    <row r="23" spans="1:33" ht="15" customHeight="1">
      <c r="A23" s="359" t="s">
        <v>44</v>
      </c>
      <c r="B23" s="355">
        <f>SUMIF('4-Basis ruimtestaat'!B:B,'2-Kosten per locatie'!A23,'4-Basis ruimtestaat'!K:K)</f>
        <v>3926.8000000000011</v>
      </c>
      <c r="C23" s="356"/>
      <c r="D23" s="357">
        <f>_xlfn.MAXIFS('4-Basis ruimtestaat'!M:M,'4-Basis ruimtestaat'!B:B,'2-Kosten per locatie'!A23)</f>
        <v>255</v>
      </c>
      <c r="E23" s="357">
        <f>_xlfn.MAXIFS('4-Basis ruimtestaat'!N:N,'4-Basis ruimtestaat'!B:B,'2-Kosten per locatie'!A23)</f>
        <v>0</v>
      </c>
      <c r="F23" s="357">
        <f>_xlfn.MAXIFS('4-Basis ruimtestaat'!O:O,'4-Basis ruimtestaat'!B:B,'2-Kosten per locatie'!A23)</f>
        <v>0</v>
      </c>
      <c r="G23" s="358" t="e">
        <f>SUMIF('4-Basis ruimtestaat'!B:B,'2-Kosten per locatie'!A23,'4-Basis ruimtestaat'!P:P)</f>
        <v>#DIV/0!</v>
      </c>
      <c r="H23" s="358">
        <f>SUMIF('4-Basis ruimtestaat'!B:B,'2-Kosten per locatie'!A23,'4-Basis ruimtestaat'!Q:Q)</f>
        <v>0</v>
      </c>
      <c r="I23" s="358">
        <f>SUMIF('4-Basis ruimtestaat'!B:B,'2-Kosten per locatie'!A23,'4-Basis ruimtestaat'!R:R)</f>
        <v>0</v>
      </c>
      <c r="J23" s="358" t="e">
        <f t="shared" si="0"/>
        <v>#DIV/0!</v>
      </c>
      <c r="K23" s="358">
        <f t="shared" si="1"/>
        <v>0</v>
      </c>
      <c r="L23" s="358">
        <f t="shared" si="2"/>
        <v>0</v>
      </c>
      <c r="M23" s="358" t="e">
        <f t="shared" si="3"/>
        <v>#DIV/0!</v>
      </c>
      <c r="N23" s="358">
        <f t="shared" si="4"/>
        <v>0</v>
      </c>
      <c r="O23" s="358">
        <f t="shared" si="5"/>
        <v>0</v>
      </c>
      <c r="P23" s="42"/>
      <c r="Q23" s="40"/>
      <c r="R23" s="40"/>
      <c r="S23" s="40"/>
      <c r="T23" s="40"/>
      <c r="U23" s="40"/>
      <c r="V23" s="40"/>
      <c r="W23" s="40"/>
      <c r="X23" s="40"/>
      <c r="Y23" s="40"/>
      <c r="Z23" s="40"/>
      <c r="AA23" s="40"/>
      <c r="AB23" s="40"/>
      <c r="AC23" s="40"/>
      <c r="AD23" s="40"/>
      <c r="AE23" s="40"/>
      <c r="AF23" s="40"/>
      <c r="AG23" s="40"/>
    </row>
    <row r="24" spans="1:33" ht="15" customHeight="1">
      <c r="A24" s="359" t="s">
        <v>45</v>
      </c>
      <c r="B24" s="355">
        <f>SUMIF('4-Basis ruimtestaat'!B:B,'2-Kosten per locatie'!A24,'4-Basis ruimtestaat'!K:K)</f>
        <v>164.8</v>
      </c>
      <c r="C24" s="356"/>
      <c r="D24" s="357">
        <f>_xlfn.MAXIFS('4-Basis ruimtestaat'!M:M,'4-Basis ruimtestaat'!B:B,'2-Kosten per locatie'!A24)</f>
        <v>104</v>
      </c>
      <c r="E24" s="357">
        <f>_xlfn.MAXIFS('4-Basis ruimtestaat'!N:N,'4-Basis ruimtestaat'!B:B,'2-Kosten per locatie'!A24)</f>
        <v>0</v>
      </c>
      <c r="F24" s="357">
        <f>_xlfn.MAXIFS('4-Basis ruimtestaat'!O:O,'4-Basis ruimtestaat'!B:B,'2-Kosten per locatie'!A24)</f>
        <v>0</v>
      </c>
      <c r="G24" s="358" t="e">
        <f>SUMIF('4-Basis ruimtestaat'!B:B,'2-Kosten per locatie'!A24,'4-Basis ruimtestaat'!P:P)</f>
        <v>#DIV/0!</v>
      </c>
      <c r="H24" s="358">
        <f>SUMIF('4-Basis ruimtestaat'!B:B,'2-Kosten per locatie'!A24,'4-Basis ruimtestaat'!Q:Q)</f>
        <v>0</v>
      </c>
      <c r="I24" s="358">
        <f>SUMIF('4-Basis ruimtestaat'!B:B,'2-Kosten per locatie'!A24,'4-Basis ruimtestaat'!R:R)</f>
        <v>0</v>
      </c>
      <c r="J24" s="358" t="e">
        <f t="shared" si="0"/>
        <v>#DIV/0!</v>
      </c>
      <c r="K24" s="358">
        <f t="shared" si="1"/>
        <v>0</v>
      </c>
      <c r="L24" s="358">
        <f t="shared" si="2"/>
        <v>0</v>
      </c>
      <c r="M24" s="358" t="e">
        <f t="shared" si="3"/>
        <v>#DIV/0!</v>
      </c>
      <c r="N24" s="358">
        <f t="shared" si="4"/>
        <v>0</v>
      </c>
      <c r="O24" s="358">
        <f t="shared" si="5"/>
        <v>0</v>
      </c>
      <c r="P24" s="42"/>
      <c r="Q24" s="40"/>
      <c r="R24" s="40"/>
      <c r="S24" s="40"/>
      <c r="T24" s="40"/>
      <c r="U24" s="40"/>
      <c r="V24" s="40"/>
      <c r="W24" s="40"/>
      <c r="X24" s="40"/>
      <c r="Y24" s="40"/>
      <c r="Z24" s="40"/>
      <c r="AA24" s="40"/>
      <c r="AB24" s="40"/>
      <c r="AC24" s="40"/>
      <c r="AD24" s="40"/>
      <c r="AE24" s="40"/>
      <c r="AF24" s="40"/>
      <c r="AG24" s="40"/>
    </row>
    <row r="25" spans="1:33" ht="15" customHeight="1">
      <c r="A25" s="359" t="s">
        <v>46</v>
      </c>
      <c r="B25" s="355">
        <f>SUMIF('4-Basis ruimtestaat'!B:B,'2-Kosten per locatie'!A25,'4-Basis ruimtestaat'!K:K)</f>
        <v>756.00000000000011</v>
      </c>
      <c r="C25" s="356"/>
      <c r="D25" s="357">
        <f>_xlfn.MAXIFS('4-Basis ruimtestaat'!M:M,'4-Basis ruimtestaat'!B:B,'2-Kosten per locatie'!A25)</f>
        <v>104</v>
      </c>
      <c r="E25" s="357">
        <f>_xlfn.MAXIFS('4-Basis ruimtestaat'!N:N,'4-Basis ruimtestaat'!B:B,'2-Kosten per locatie'!A25)</f>
        <v>0</v>
      </c>
      <c r="F25" s="357">
        <f>_xlfn.MAXIFS('4-Basis ruimtestaat'!O:O,'4-Basis ruimtestaat'!B:B,'2-Kosten per locatie'!A25)</f>
        <v>0</v>
      </c>
      <c r="G25" s="358" t="e">
        <f>SUMIF('4-Basis ruimtestaat'!B:B,'2-Kosten per locatie'!A25,'4-Basis ruimtestaat'!P:P)</f>
        <v>#DIV/0!</v>
      </c>
      <c r="H25" s="358">
        <f>SUMIF('4-Basis ruimtestaat'!B:B,'2-Kosten per locatie'!A25,'4-Basis ruimtestaat'!Q:Q)</f>
        <v>0</v>
      </c>
      <c r="I25" s="358">
        <f>SUMIF('4-Basis ruimtestaat'!B:B,'2-Kosten per locatie'!A25,'4-Basis ruimtestaat'!R:R)</f>
        <v>0</v>
      </c>
      <c r="J25" s="358" t="e">
        <f t="shared" si="0"/>
        <v>#DIV/0!</v>
      </c>
      <c r="K25" s="358">
        <f t="shared" si="1"/>
        <v>0</v>
      </c>
      <c r="L25" s="358">
        <f t="shared" si="2"/>
        <v>0</v>
      </c>
      <c r="M25" s="358" t="e">
        <f t="shared" si="3"/>
        <v>#DIV/0!</v>
      </c>
      <c r="N25" s="358">
        <f t="shared" si="4"/>
        <v>0</v>
      </c>
      <c r="O25" s="358">
        <f t="shared" si="5"/>
        <v>0</v>
      </c>
      <c r="P25" s="42"/>
      <c r="Q25" s="40"/>
      <c r="R25" s="40"/>
      <c r="S25" s="40"/>
      <c r="T25" s="40"/>
      <c r="U25" s="40"/>
      <c r="V25" s="40"/>
      <c r="W25" s="40"/>
      <c r="X25" s="40"/>
      <c r="Y25" s="40"/>
      <c r="Z25" s="40"/>
      <c r="AA25" s="40"/>
      <c r="AB25" s="40"/>
      <c r="AC25" s="40"/>
      <c r="AD25" s="40"/>
      <c r="AE25" s="40"/>
      <c r="AF25" s="40"/>
      <c r="AG25" s="40"/>
    </row>
    <row r="26" spans="1:33" ht="15" customHeight="1">
      <c r="A26" s="354" t="s">
        <v>47</v>
      </c>
      <c r="B26" s="355">
        <f>SUMIF('4-Basis ruimtestaat'!B:B,'2-Kosten per locatie'!A26,'4-Basis ruimtestaat'!K:K)</f>
        <v>419</v>
      </c>
      <c r="C26" s="356"/>
      <c r="D26" s="357">
        <f>_xlfn.MAXIFS('4-Basis ruimtestaat'!M:M,'4-Basis ruimtestaat'!B:B,'2-Kosten per locatie'!A26)</f>
        <v>230</v>
      </c>
      <c r="E26" s="357">
        <f>_xlfn.MAXIFS('4-Basis ruimtestaat'!N:N,'4-Basis ruimtestaat'!B:B,'2-Kosten per locatie'!A26)</f>
        <v>0</v>
      </c>
      <c r="F26" s="357">
        <f>_xlfn.MAXIFS('4-Basis ruimtestaat'!O:O,'4-Basis ruimtestaat'!B:B,'2-Kosten per locatie'!A26)</f>
        <v>46</v>
      </c>
      <c r="G26" s="358" t="e">
        <f>SUMIF('4-Basis ruimtestaat'!B:B,'2-Kosten per locatie'!A26,'4-Basis ruimtestaat'!P:P)</f>
        <v>#DIV/0!</v>
      </c>
      <c r="H26" s="358">
        <f>SUMIF('4-Basis ruimtestaat'!B:B,'2-Kosten per locatie'!A26,'4-Basis ruimtestaat'!Q:Q)</f>
        <v>0</v>
      </c>
      <c r="I26" s="358" t="e">
        <f>SUMIF('4-Basis ruimtestaat'!B:B,'2-Kosten per locatie'!A26,'4-Basis ruimtestaat'!R:R)</f>
        <v>#DIV/0!</v>
      </c>
      <c r="J26" s="358" t="e">
        <f t="shared" si="0"/>
        <v>#DIV/0!</v>
      </c>
      <c r="K26" s="358">
        <f t="shared" si="1"/>
        <v>0</v>
      </c>
      <c r="L26" s="358" t="e">
        <f t="shared" si="2"/>
        <v>#DIV/0!</v>
      </c>
      <c r="M26" s="358" t="e">
        <f t="shared" si="3"/>
        <v>#DIV/0!</v>
      </c>
      <c r="N26" s="358">
        <f t="shared" si="4"/>
        <v>0</v>
      </c>
      <c r="O26" s="358" t="e">
        <f t="shared" si="5"/>
        <v>#DIV/0!</v>
      </c>
      <c r="P26" s="42"/>
      <c r="Q26" s="40"/>
      <c r="R26" s="40"/>
      <c r="S26" s="40"/>
      <c r="T26" s="40"/>
      <c r="U26" s="40"/>
      <c r="V26" s="40"/>
      <c r="W26" s="40"/>
      <c r="X26" s="40"/>
      <c r="Y26" s="40"/>
      <c r="Z26" s="40"/>
      <c r="AA26" s="40"/>
      <c r="AB26" s="40"/>
      <c r="AC26" s="40"/>
      <c r="AD26" s="40"/>
      <c r="AE26" s="40"/>
      <c r="AF26" s="40"/>
      <c r="AG26" s="40"/>
    </row>
    <row r="27" spans="1:33" ht="15" customHeight="1">
      <c r="A27" s="359" t="s">
        <v>48</v>
      </c>
      <c r="B27" s="355">
        <f>SUMIF('4-Basis ruimtestaat'!B:B,'2-Kosten per locatie'!A27,'4-Basis ruimtestaat'!K:K)</f>
        <v>395</v>
      </c>
      <c r="C27" s="356"/>
      <c r="D27" s="357">
        <f>_xlfn.MAXIFS('4-Basis ruimtestaat'!M:M,'4-Basis ruimtestaat'!B:B,'2-Kosten per locatie'!A27)</f>
        <v>230</v>
      </c>
      <c r="E27" s="357">
        <f>_xlfn.MAXIFS('4-Basis ruimtestaat'!N:N,'4-Basis ruimtestaat'!B:B,'2-Kosten per locatie'!A27)</f>
        <v>0</v>
      </c>
      <c r="F27" s="357">
        <f>_xlfn.MAXIFS('4-Basis ruimtestaat'!O:O,'4-Basis ruimtestaat'!B:B,'2-Kosten per locatie'!A27)</f>
        <v>46</v>
      </c>
      <c r="G27" s="358" t="e">
        <f>SUMIF('4-Basis ruimtestaat'!B:B,'2-Kosten per locatie'!A27,'4-Basis ruimtestaat'!P:P)</f>
        <v>#DIV/0!</v>
      </c>
      <c r="H27" s="358">
        <f>SUMIF('4-Basis ruimtestaat'!B:B,'2-Kosten per locatie'!A27,'4-Basis ruimtestaat'!Q:Q)</f>
        <v>0</v>
      </c>
      <c r="I27" s="358" t="e">
        <f>SUMIF('4-Basis ruimtestaat'!B:B,'2-Kosten per locatie'!A27,'4-Basis ruimtestaat'!R:R)</f>
        <v>#DIV/0!</v>
      </c>
      <c r="J27" s="358" t="e">
        <f t="shared" si="0"/>
        <v>#DIV/0!</v>
      </c>
      <c r="K27" s="358">
        <f t="shared" si="1"/>
        <v>0</v>
      </c>
      <c r="L27" s="358" t="e">
        <f t="shared" si="2"/>
        <v>#DIV/0!</v>
      </c>
      <c r="M27" s="358" t="e">
        <f t="shared" si="3"/>
        <v>#DIV/0!</v>
      </c>
      <c r="N27" s="358">
        <f t="shared" si="4"/>
        <v>0</v>
      </c>
      <c r="O27" s="358" t="e">
        <f t="shared" si="5"/>
        <v>#DIV/0!</v>
      </c>
      <c r="P27" s="42"/>
      <c r="Q27" s="40"/>
      <c r="R27" s="40"/>
      <c r="S27" s="40"/>
      <c r="T27" s="40"/>
      <c r="U27" s="40"/>
      <c r="V27" s="40"/>
      <c r="W27" s="40"/>
      <c r="X27" s="40"/>
      <c r="Y27" s="40"/>
      <c r="Z27" s="40"/>
      <c r="AA27" s="40"/>
      <c r="AB27" s="40"/>
      <c r="AC27" s="40"/>
      <c r="AD27" s="40"/>
      <c r="AE27" s="40"/>
      <c r="AF27" s="40"/>
      <c r="AG27" s="40"/>
    </row>
    <row r="28" spans="1:33" ht="15" customHeight="1">
      <c r="A28" s="359" t="s">
        <v>49</v>
      </c>
      <c r="B28" s="355">
        <f>SUMIF('4-Basis ruimtestaat'!B:B,'2-Kosten per locatie'!A28,'4-Basis ruimtestaat'!K:K)</f>
        <v>1079.5</v>
      </c>
      <c r="C28" s="356"/>
      <c r="D28" s="357">
        <f>_xlfn.MAXIFS('4-Basis ruimtestaat'!M:M,'4-Basis ruimtestaat'!B:B,'2-Kosten per locatie'!A28)</f>
        <v>230</v>
      </c>
      <c r="E28" s="357">
        <f>_xlfn.MAXIFS('4-Basis ruimtestaat'!N:N,'4-Basis ruimtestaat'!B:B,'2-Kosten per locatie'!A28)</f>
        <v>200</v>
      </c>
      <c r="F28" s="357">
        <f>_xlfn.MAXIFS('4-Basis ruimtestaat'!O:O,'4-Basis ruimtestaat'!B:B,'2-Kosten per locatie'!A28)</f>
        <v>46</v>
      </c>
      <c r="G28" s="358" t="e">
        <f>SUMIF('4-Basis ruimtestaat'!B:B,'2-Kosten per locatie'!A28,'4-Basis ruimtestaat'!P:P)</f>
        <v>#DIV/0!</v>
      </c>
      <c r="H28" s="358" t="e">
        <f>SUMIF('4-Basis ruimtestaat'!B:B,'2-Kosten per locatie'!A28,'4-Basis ruimtestaat'!Q:Q)</f>
        <v>#DIV/0!</v>
      </c>
      <c r="I28" s="358" t="e">
        <f>SUMIF('4-Basis ruimtestaat'!B:B,'2-Kosten per locatie'!A28,'4-Basis ruimtestaat'!R:R)</f>
        <v>#DIV/0!</v>
      </c>
      <c r="J28" s="358" t="e">
        <f t="shared" si="0"/>
        <v>#DIV/0!</v>
      </c>
      <c r="K28" s="358" t="e">
        <f t="shared" si="1"/>
        <v>#DIV/0!</v>
      </c>
      <c r="L28" s="358" t="e">
        <f t="shared" si="2"/>
        <v>#DIV/0!</v>
      </c>
      <c r="M28" s="358" t="e">
        <f t="shared" si="3"/>
        <v>#DIV/0!</v>
      </c>
      <c r="N28" s="358" t="e">
        <f t="shared" si="4"/>
        <v>#DIV/0!</v>
      </c>
      <c r="O28" s="358" t="e">
        <f t="shared" si="5"/>
        <v>#DIV/0!</v>
      </c>
      <c r="P28" s="42"/>
      <c r="Q28" s="40"/>
      <c r="R28" s="40"/>
      <c r="S28" s="40"/>
      <c r="T28" s="40"/>
      <c r="U28" s="40"/>
      <c r="V28" s="40"/>
      <c r="W28" s="40"/>
      <c r="X28" s="40"/>
      <c r="Y28" s="40"/>
      <c r="Z28" s="40"/>
      <c r="AA28" s="40"/>
      <c r="AB28" s="40"/>
      <c r="AC28" s="40"/>
      <c r="AD28" s="40"/>
      <c r="AE28" s="40"/>
      <c r="AF28" s="40"/>
      <c r="AG28" s="40"/>
    </row>
    <row r="29" spans="1:33" ht="15" customHeight="1">
      <c r="A29" s="359" t="s">
        <v>50</v>
      </c>
      <c r="B29" s="355">
        <f>SUMIF('4-Basis ruimtestaat'!B:B,'2-Kosten per locatie'!A29,'4-Basis ruimtestaat'!K:K)</f>
        <v>418</v>
      </c>
      <c r="C29" s="356"/>
      <c r="D29" s="357">
        <f>_xlfn.MAXIFS('4-Basis ruimtestaat'!M:M,'4-Basis ruimtestaat'!B:B,'2-Kosten per locatie'!A29)</f>
        <v>230</v>
      </c>
      <c r="E29" s="357">
        <f>_xlfn.MAXIFS('4-Basis ruimtestaat'!N:N,'4-Basis ruimtestaat'!B:B,'2-Kosten per locatie'!A29)</f>
        <v>0</v>
      </c>
      <c r="F29" s="357">
        <f>_xlfn.MAXIFS('4-Basis ruimtestaat'!O:O,'4-Basis ruimtestaat'!B:B,'2-Kosten per locatie'!A29)</f>
        <v>46</v>
      </c>
      <c r="G29" s="358" t="e">
        <f>SUMIF('4-Basis ruimtestaat'!B:B,'2-Kosten per locatie'!A29,'4-Basis ruimtestaat'!P:P)</f>
        <v>#DIV/0!</v>
      </c>
      <c r="H29" s="358">
        <f>SUMIF('4-Basis ruimtestaat'!B:B,'2-Kosten per locatie'!A29,'4-Basis ruimtestaat'!Q:Q)</f>
        <v>0</v>
      </c>
      <c r="I29" s="358" t="e">
        <f>SUMIF('4-Basis ruimtestaat'!B:B,'2-Kosten per locatie'!A29,'4-Basis ruimtestaat'!R:R)</f>
        <v>#DIV/0!</v>
      </c>
      <c r="J29" s="358" t="e">
        <f t="shared" si="0"/>
        <v>#DIV/0!</v>
      </c>
      <c r="K29" s="358">
        <f t="shared" si="1"/>
        <v>0</v>
      </c>
      <c r="L29" s="358" t="e">
        <f t="shared" si="2"/>
        <v>#DIV/0!</v>
      </c>
      <c r="M29" s="358" t="e">
        <f t="shared" si="3"/>
        <v>#DIV/0!</v>
      </c>
      <c r="N29" s="358">
        <f t="shared" si="4"/>
        <v>0</v>
      </c>
      <c r="O29" s="358" t="e">
        <f t="shared" si="5"/>
        <v>#DIV/0!</v>
      </c>
      <c r="P29" s="42"/>
      <c r="Q29" s="40"/>
      <c r="R29" s="40"/>
      <c r="S29" s="40"/>
      <c r="T29" s="40"/>
      <c r="U29" s="40"/>
      <c r="V29" s="40"/>
      <c r="W29" s="40"/>
      <c r="X29" s="40"/>
      <c r="Y29" s="40"/>
      <c r="Z29" s="40"/>
      <c r="AA29" s="40"/>
      <c r="AB29" s="40"/>
      <c r="AC29" s="40"/>
      <c r="AD29" s="40"/>
      <c r="AE29" s="40"/>
      <c r="AF29" s="40"/>
      <c r="AG29" s="40"/>
    </row>
    <row r="30" spans="1:33" ht="15" customHeight="1">
      <c r="A30" s="359" t="s">
        <v>51</v>
      </c>
      <c r="B30" s="355">
        <f>SUMIF('4-Basis ruimtestaat'!B:B,'2-Kosten per locatie'!A30,'4-Basis ruimtestaat'!K:K)</f>
        <v>986</v>
      </c>
      <c r="C30" s="356"/>
      <c r="D30" s="357">
        <f>_xlfn.MAXIFS('4-Basis ruimtestaat'!M:M,'4-Basis ruimtestaat'!B:B,'2-Kosten per locatie'!A30)</f>
        <v>230</v>
      </c>
      <c r="E30" s="357">
        <f>_xlfn.MAXIFS('4-Basis ruimtestaat'!N:N,'4-Basis ruimtestaat'!B:B,'2-Kosten per locatie'!A30)</f>
        <v>200</v>
      </c>
      <c r="F30" s="357">
        <f>_xlfn.MAXIFS('4-Basis ruimtestaat'!O:O,'4-Basis ruimtestaat'!B:B,'2-Kosten per locatie'!A30)</f>
        <v>92</v>
      </c>
      <c r="G30" s="358" t="e">
        <f>SUMIF('4-Basis ruimtestaat'!B:B,'2-Kosten per locatie'!A30,'4-Basis ruimtestaat'!P:P)</f>
        <v>#DIV/0!</v>
      </c>
      <c r="H30" s="358" t="e">
        <f>SUMIF('4-Basis ruimtestaat'!B:B,'2-Kosten per locatie'!A30,'4-Basis ruimtestaat'!Q:Q)</f>
        <v>#DIV/0!</v>
      </c>
      <c r="I30" s="358" t="e">
        <f>SUMIF('4-Basis ruimtestaat'!B:B,'2-Kosten per locatie'!A30,'4-Basis ruimtestaat'!R:R)</f>
        <v>#DIV/0!</v>
      </c>
      <c r="J30" s="358" t="e">
        <f t="shared" si="0"/>
        <v>#DIV/0!</v>
      </c>
      <c r="K30" s="358" t="e">
        <f t="shared" si="1"/>
        <v>#DIV/0!</v>
      </c>
      <c r="L30" s="358" t="e">
        <f t="shared" si="2"/>
        <v>#DIV/0!</v>
      </c>
      <c r="M30" s="358" t="e">
        <f t="shared" si="3"/>
        <v>#DIV/0!</v>
      </c>
      <c r="N30" s="358" t="e">
        <f t="shared" si="4"/>
        <v>#DIV/0!</v>
      </c>
      <c r="O30" s="358" t="e">
        <f t="shared" si="5"/>
        <v>#DIV/0!</v>
      </c>
      <c r="P30" s="42"/>
      <c r="Q30" s="40"/>
      <c r="R30" s="40"/>
      <c r="S30" s="40"/>
      <c r="T30" s="40"/>
      <c r="U30" s="40"/>
      <c r="V30" s="40"/>
      <c r="W30" s="40"/>
      <c r="X30" s="40"/>
      <c r="Y30" s="40"/>
      <c r="Z30" s="40"/>
      <c r="AA30" s="40"/>
      <c r="AB30" s="40"/>
      <c r="AC30" s="40"/>
      <c r="AD30" s="40"/>
      <c r="AE30" s="40"/>
      <c r="AF30" s="40"/>
      <c r="AG30" s="40"/>
    </row>
    <row r="31" spans="1:33" ht="15" customHeight="1">
      <c r="A31" s="359" t="s">
        <v>52</v>
      </c>
      <c r="B31" s="355">
        <f>SUMIF('4-Basis ruimtestaat'!B:B,'2-Kosten per locatie'!A31,'4-Basis ruimtestaat'!K:K)</f>
        <v>1031</v>
      </c>
      <c r="C31" s="356"/>
      <c r="D31" s="357">
        <f>_xlfn.MAXIFS('4-Basis ruimtestaat'!M:M,'4-Basis ruimtestaat'!B:B,'2-Kosten per locatie'!A31)</f>
        <v>230</v>
      </c>
      <c r="E31" s="357">
        <f>_xlfn.MAXIFS('4-Basis ruimtestaat'!N:N,'4-Basis ruimtestaat'!B:B,'2-Kosten per locatie'!A31)</f>
        <v>200</v>
      </c>
      <c r="F31" s="357">
        <f>_xlfn.MAXIFS('4-Basis ruimtestaat'!O:O,'4-Basis ruimtestaat'!B:B,'2-Kosten per locatie'!A31)</f>
        <v>46</v>
      </c>
      <c r="G31" s="358" t="e">
        <f>SUMIF('4-Basis ruimtestaat'!B:B,'2-Kosten per locatie'!A31,'4-Basis ruimtestaat'!P:P)</f>
        <v>#DIV/0!</v>
      </c>
      <c r="H31" s="358" t="e">
        <f>SUMIF('4-Basis ruimtestaat'!B:B,'2-Kosten per locatie'!A31,'4-Basis ruimtestaat'!Q:Q)</f>
        <v>#DIV/0!</v>
      </c>
      <c r="I31" s="358" t="e">
        <f>SUMIF('4-Basis ruimtestaat'!B:B,'2-Kosten per locatie'!A31,'4-Basis ruimtestaat'!R:R)</f>
        <v>#DIV/0!</v>
      </c>
      <c r="J31" s="358" t="e">
        <f t="shared" si="0"/>
        <v>#DIV/0!</v>
      </c>
      <c r="K31" s="358" t="e">
        <f t="shared" si="1"/>
        <v>#DIV/0!</v>
      </c>
      <c r="L31" s="358" t="e">
        <f t="shared" si="2"/>
        <v>#DIV/0!</v>
      </c>
      <c r="M31" s="358" t="e">
        <f t="shared" si="3"/>
        <v>#DIV/0!</v>
      </c>
      <c r="N31" s="358" t="e">
        <f t="shared" si="4"/>
        <v>#DIV/0!</v>
      </c>
      <c r="O31" s="358" t="e">
        <f t="shared" si="5"/>
        <v>#DIV/0!</v>
      </c>
      <c r="P31" s="42"/>
      <c r="Q31" s="40"/>
      <c r="R31" s="40"/>
      <c r="S31" s="40"/>
      <c r="T31" s="40"/>
      <c r="U31" s="40"/>
      <c r="V31" s="40"/>
      <c r="W31" s="40"/>
      <c r="X31" s="40"/>
      <c r="Y31" s="40"/>
      <c r="Z31" s="40"/>
      <c r="AA31" s="40"/>
      <c r="AB31" s="40"/>
      <c r="AC31" s="40"/>
      <c r="AD31" s="40"/>
      <c r="AE31" s="40"/>
      <c r="AF31" s="40"/>
      <c r="AG31" s="40"/>
    </row>
    <row r="32" spans="1:33" ht="15" customHeight="1">
      <c r="A32" s="359" t="s">
        <v>53</v>
      </c>
      <c r="B32" s="355">
        <f>SUMIF('4-Basis ruimtestaat'!B:B,'2-Kosten per locatie'!A32,'4-Basis ruimtestaat'!K:K)</f>
        <v>1041</v>
      </c>
      <c r="C32" s="356"/>
      <c r="D32" s="357">
        <f>_xlfn.MAXIFS('4-Basis ruimtestaat'!M:M,'4-Basis ruimtestaat'!B:B,'2-Kosten per locatie'!A32)</f>
        <v>230</v>
      </c>
      <c r="E32" s="357">
        <f>_xlfn.MAXIFS('4-Basis ruimtestaat'!N:N,'4-Basis ruimtestaat'!B:B,'2-Kosten per locatie'!A32)</f>
        <v>200</v>
      </c>
      <c r="F32" s="357">
        <f>_xlfn.MAXIFS('4-Basis ruimtestaat'!O:O,'4-Basis ruimtestaat'!B:B,'2-Kosten per locatie'!A32)</f>
        <v>46</v>
      </c>
      <c r="G32" s="358" t="e">
        <f>SUMIF('4-Basis ruimtestaat'!B:B,'2-Kosten per locatie'!A32,'4-Basis ruimtestaat'!P:P)</f>
        <v>#DIV/0!</v>
      </c>
      <c r="H32" s="358" t="e">
        <f>SUMIF('4-Basis ruimtestaat'!B:B,'2-Kosten per locatie'!A32,'4-Basis ruimtestaat'!Q:Q)</f>
        <v>#DIV/0!</v>
      </c>
      <c r="I32" s="358" t="e">
        <f>SUMIF('4-Basis ruimtestaat'!B:B,'2-Kosten per locatie'!A32,'4-Basis ruimtestaat'!R:R)</f>
        <v>#DIV/0!</v>
      </c>
      <c r="J32" s="358" t="e">
        <f t="shared" si="0"/>
        <v>#DIV/0!</v>
      </c>
      <c r="K32" s="358" t="e">
        <f t="shared" si="1"/>
        <v>#DIV/0!</v>
      </c>
      <c r="L32" s="358" t="e">
        <f t="shared" si="2"/>
        <v>#DIV/0!</v>
      </c>
      <c r="M32" s="358" t="e">
        <f t="shared" si="3"/>
        <v>#DIV/0!</v>
      </c>
      <c r="N32" s="358" t="e">
        <f t="shared" si="4"/>
        <v>#DIV/0!</v>
      </c>
      <c r="O32" s="358" t="e">
        <f t="shared" si="5"/>
        <v>#DIV/0!</v>
      </c>
      <c r="P32" s="42"/>
      <c r="Q32" s="40"/>
      <c r="R32" s="40"/>
      <c r="S32" s="40"/>
      <c r="T32" s="40"/>
      <c r="U32" s="40"/>
      <c r="V32" s="40"/>
      <c r="W32" s="40"/>
      <c r="X32" s="40"/>
      <c r="Y32" s="40"/>
      <c r="Z32" s="40"/>
      <c r="AA32" s="40"/>
      <c r="AB32" s="40"/>
      <c r="AC32" s="40"/>
      <c r="AD32" s="40"/>
      <c r="AE32" s="40"/>
      <c r="AF32" s="40"/>
      <c r="AG32" s="40"/>
    </row>
    <row r="33" spans="1:33" ht="15" customHeight="1">
      <c r="A33" s="359" t="s">
        <v>54</v>
      </c>
      <c r="B33" s="355">
        <f>SUMIF('4-Basis ruimtestaat'!B:B,'2-Kosten per locatie'!A33,'4-Basis ruimtestaat'!K:K)</f>
        <v>441</v>
      </c>
      <c r="C33" s="356"/>
      <c r="D33" s="357">
        <f>_xlfn.MAXIFS('4-Basis ruimtestaat'!M:M,'4-Basis ruimtestaat'!B:B,'2-Kosten per locatie'!A33)</f>
        <v>230</v>
      </c>
      <c r="E33" s="357">
        <f>_xlfn.MAXIFS('4-Basis ruimtestaat'!N:N,'4-Basis ruimtestaat'!B:B,'2-Kosten per locatie'!A33)</f>
        <v>0</v>
      </c>
      <c r="F33" s="357">
        <f>_xlfn.MAXIFS('4-Basis ruimtestaat'!O:O,'4-Basis ruimtestaat'!B:B,'2-Kosten per locatie'!A33)</f>
        <v>46</v>
      </c>
      <c r="G33" s="358" t="e">
        <f>SUMIF('4-Basis ruimtestaat'!B:B,'2-Kosten per locatie'!A33,'4-Basis ruimtestaat'!P:P)</f>
        <v>#DIV/0!</v>
      </c>
      <c r="H33" s="358">
        <f>SUMIF('4-Basis ruimtestaat'!B:B,'2-Kosten per locatie'!A33,'4-Basis ruimtestaat'!Q:Q)</f>
        <v>0</v>
      </c>
      <c r="I33" s="358" t="e">
        <f>SUMIF('4-Basis ruimtestaat'!B:B,'2-Kosten per locatie'!A33,'4-Basis ruimtestaat'!R:R)</f>
        <v>#DIV/0!</v>
      </c>
      <c r="J33" s="358" t="e">
        <f t="shared" si="0"/>
        <v>#DIV/0!</v>
      </c>
      <c r="K33" s="358">
        <f t="shared" si="1"/>
        <v>0</v>
      </c>
      <c r="L33" s="358" t="e">
        <f t="shared" si="2"/>
        <v>#DIV/0!</v>
      </c>
      <c r="M33" s="358" t="e">
        <f t="shared" si="3"/>
        <v>#DIV/0!</v>
      </c>
      <c r="N33" s="358">
        <f t="shared" si="4"/>
        <v>0</v>
      </c>
      <c r="O33" s="358" t="e">
        <f t="shared" si="5"/>
        <v>#DIV/0!</v>
      </c>
      <c r="P33" s="42"/>
      <c r="Q33" s="40"/>
      <c r="R33" s="40"/>
      <c r="S33" s="40"/>
      <c r="T33" s="40"/>
      <c r="U33" s="40"/>
      <c r="V33" s="40"/>
      <c r="W33" s="40"/>
      <c r="X33" s="40"/>
      <c r="Y33" s="40"/>
      <c r="Z33" s="40"/>
      <c r="AA33" s="40"/>
      <c r="AB33" s="40"/>
      <c r="AC33" s="40"/>
      <c r="AD33" s="40"/>
      <c r="AE33" s="40"/>
      <c r="AF33" s="40"/>
      <c r="AG33" s="40"/>
    </row>
    <row r="34" spans="1:33" ht="15" customHeight="1">
      <c r="A34" s="359" t="s">
        <v>55</v>
      </c>
      <c r="B34" s="355">
        <f>SUMIF('4-Basis ruimtestaat'!B:B,'2-Kosten per locatie'!A34,'4-Basis ruimtestaat'!K:K)</f>
        <v>356</v>
      </c>
      <c r="C34" s="356"/>
      <c r="D34" s="357">
        <f>_xlfn.MAXIFS('4-Basis ruimtestaat'!M:M,'4-Basis ruimtestaat'!B:B,'2-Kosten per locatie'!A34)</f>
        <v>230</v>
      </c>
      <c r="E34" s="357">
        <f>_xlfn.MAXIFS('4-Basis ruimtestaat'!N:N,'4-Basis ruimtestaat'!B:B,'2-Kosten per locatie'!A34)</f>
        <v>0</v>
      </c>
      <c r="F34" s="357">
        <f>_xlfn.MAXIFS('4-Basis ruimtestaat'!O:O,'4-Basis ruimtestaat'!B:B,'2-Kosten per locatie'!A34)</f>
        <v>0</v>
      </c>
      <c r="G34" s="358" t="e">
        <f>SUMIF('4-Basis ruimtestaat'!B:B,'2-Kosten per locatie'!A34,'4-Basis ruimtestaat'!P:P)</f>
        <v>#DIV/0!</v>
      </c>
      <c r="H34" s="358">
        <f>SUMIF('4-Basis ruimtestaat'!B:B,'2-Kosten per locatie'!A34,'4-Basis ruimtestaat'!Q:Q)</f>
        <v>0</v>
      </c>
      <c r="I34" s="358">
        <f>SUMIF('4-Basis ruimtestaat'!B:B,'2-Kosten per locatie'!A34,'4-Basis ruimtestaat'!R:R)</f>
        <v>0</v>
      </c>
      <c r="J34" s="358" t="e">
        <f t="shared" si="0"/>
        <v>#DIV/0!</v>
      </c>
      <c r="K34" s="358">
        <f t="shared" si="1"/>
        <v>0</v>
      </c>
      <c r="L34" s="358">
        <f t="shared" si="2"/>
        <v>0</v>
      </c>
      <c r="M34" s="358" t="e">
        <f t="shared" si="3"/>
        <v>#DIV/0!</v>
      </c>
      <c r="N34" s="358">
        <f t="shared" si="4"/>
        <v>0</v>
      </c>
      <c r="O34" s="358">
        <f t="shared" si="5"/>
        <v>0</v>
      </c>
      <c r="P34" s="42"/>
      <c r="Q34" s="40"/>
      <c r="R34" s="40"/>
      <c r="S34" s="40"/>
      <c r="T34" s="40"/>
      <c r="U34" s="40"/>
      <c r="V34" s="40"/>
      <c r="W34" s="40"/>
      <c r="X34" s="40"/>
      <c r="Y34" s="40"/>
      <c r="Z34" s="40"/>
      <c r="AA34" s="40"/>
      <c r="AB34" s="40"/>
      <c r="AC34" s="40"/>
      <c r="AD34" s="40"/>
      <c r="AE34" s="40"/>
      <c r="AF34" s="40"/>
      <c r="AG34" s="40"/>
    </row>
    <row r="35" spans="1:33" ht="15" customHeight="1">
      <c r="A35" s="359" t="s">
        <v>56</v>
      </c>
      <c r="B35" s="355">
        <f>SUMIF('4-Basis ruimtestaat'!B:B,'2-Kosten per locatie'!A35,'4-Basis ruimtestaat'!K:K)</f>
        <v>486</v>
      </c>
      <c r="C35" s="356"/>
      <c r="D35" s="357">
        <f>_xlfn.MAXIFS('4-Basis ruimtestaat'!M:M,'4-Basis ruimtestaat'!B:B,'2-Kosten per locatie'!A35)</f>
        <v>230</v>
      </c>
      <c r="E35" s="357">
        <f>_xlfn.MAXIFS('4-Basis ruimtestaat'!N:N,'4-Basis ruimtestaat'!B:B,'2-Kosten per locatie'!A35)</f>
        <v>0</v>
      </c>
      <c r="F35" s="357">
        <f>_xlfn.MAXIFS('4-Basis ruimtestaat'!O:O,'4-Basis ruimtestaat'!B:B,'2-Kosten per locatie'!A35)</f>
        <v>46</v>
      </c>
      <c r="G35" s="358" t="e">
        <f>SUMIF('4-Basis ruimtestaat'!B:B,'2-Kosten per locatie'!A35,'4-Basis ruimtestaat'!P:P)</f>
        <v>#DIV/0!</v>
      </c>
      <c r="H35" s="358">
        <f>SUMIF('4-Basis ruimtestaat'!B:B,'2-Kosten per locatie'!A35,'4-Basis ruimtestaat'!Q:Q)</f>
        <v>0</v>
      </c>
      <c r="I35" s="358" t="e">
        <f>SUMIF('4-Basis ruimtestaat'!B:B,'2-Kosten per locatie'!A35,'4-Basis ruimtestaat'!R:R)</f>
        <v>#DIV/0!</v>
      </c>
      <c r="J35" s="358" t="e">
        <f t="shared" si="0"/>
        <v>#DIV/0!</v>
      </c>
      <c r="K35" s="358">
        <f t="shared" si="1"/>
        <v>0</v>
      </c>
      <c r="L35" s="358" t="e">
        <f t="shared" si="2"/>
        <v>#DIV/0!</v>
      </c>
      <c r="M35" s="358" t="e">
        <f t="shared" si="3"/>
        <v>#DIV/0!</v>
      </c>
      <c r="N35" s="358">
        <f t="shared" si="4"/>
        <v>0</v>
      </c>
      <c r="O35" s="358" t="e">
        <f t="shared" si="5"/>
        <v>#DIV/0!</v>
      </c>
      <c r="P35" s="42"/>
      <c r="Q35" s="40"/>
      <c r="R35" s="40"/>
      <c r="S35" s="40"/>
      <c r="T35" s="40"/>
      <c r="U35" s="40"/>
      <c r="V35" s="40"/>
      <c r="W35" s="40"/>
      <c r="X35" s="40"/>
      <c r="Y35" s="40"/>
      <c r="Z35" s="40"/>
      <c r="AA35" s="40"/>
      <c r="AB35" s="40"/>
      <c r="AC35" s="40"/>
      <c r="AD35" s="40"/>
      <c r="AE35" s="40"/>
      <c r="AF35" s="40"/>
      <c r="AG35" s="40"/>
    </row>
    <row r="36" spans="1:33" ht="15" customHeight="1">
      <c r="A36" s="359" t="s">
        <v>57</v>
      </c>
      <c r="B36" s="355">
        <f>SUMIF('4-Basis ruimtestaat'!B:B,'2-Kosten per locatie'!A36,'4-Basis ruimtestaat'!K:K)</f>
        <v>201</v>
      </c>
      <c r="C36" s="356"/>
      <c r="D36" s="357">
        <f>_xlfn.MAXIFS('4-Basis ruimtestaat'!M:M,'4-Basis ruimtestaat'!B:B,'2-Kosten per locatie'!A36)</f>
        <v>230</v>
      </c>
      <c r="E36" s="357">
        <f>_xlfn.MAXIFS('4-Basis ruimtestaat'!N:N,'4-Basis ruimtestaat'!B:B,'2-Kosten per locatie'!A36)</f>
        <v>0</v>
      </c>
      <c r="F36" s="357">
        <f>_xlfn.MAXIFS('4-Basis ruimtestaat'!O:O,'4-Basis ruimtestaat'!B:B,'2-Kosten per locatie'!A36)</f>
        <v>0</v>
      </c>
      <c r="G36" s="358" t="e">
        <f>SUMIF('4-Basis ruimtestaat'!B:B,'2-Kosten per locatie'!A36,'4-Basis ruimtestaat'!P:P)</f>
        <v>#DIV/0!</v>
      </c>
      <c r="H36" s="358">
        <f>SUMIF('4-Basis ruimtestaat'!B:B,'2-Kosten per locatie'!A36,'4-Basis ruimtestaat'!Q:Q)</f>
        <v>0</v>
      </c>
      <c r="I36" s="358">
        <f>SUMIF('4-Basis ruimtestaat'!B:B,'2-Kosten per locatie'!A36,'4-Basis ruimtestaat'!R:R)</f>
        <v>0</v>
      </c>
      <c r="J36" s="358" t="e">
        <f t="shared" si="0"/>
        <v>#DIV/0!</v>
      </c>
      <c r="K36" s="358">
        <f t="shared" si="1"/>
        <v>0</v>
      </c>
      <c r="L36" s="358">
        <f t="shared" si="2"/>
        <v>0</v>
      </c>
      <c r="M36" s="358" t="e">
        <f t="shared" si="3"/>
        <v>#DIV/0!</v>
      </c>
      <c r="N36" s="358">
        <f t="shared" si="4"/>
        <v>0</v>
      </c>
      <c r="O36" s="358">
        <f t="shared" si="5"/>
        <v>0</v>
      </c>
      <c r="P36" s="42"/>
      <c r="Q36" s="40"/>
      <c r="R36" s="40"/>
      <c r="S36" s="40"/>
      <c r="T36" s="40"/>
      <c r="U36" s="40"/>
      <c r="V36" s="40"/>
      <c r="W36" s="40"/>
      <c r="X36" s="40"/>
      <c r="Y36" s="40"/>
      <c r="Z36" s="40"/>
      <c r="AA36" s="40"/>
      <c r="AB36" s="40"/>
      <c r="AC36" s="40"/>
      <c r="AD36" s="40"/>
      <c r="AE36" s="40"/>
      <c r="AF36" s="40"/>
      <c r="AG36" s="40"/>
    </row>
    <row r="37" spans="1:33" ht="15" customHeight="1">
      <c r="A37" s="359" t="s">
        <v>58</v>
      </c>
      <c r="B37" s="355">
        <f>SUMIF('4-Basis ruimtestaat'!B:B,'2-Kosten per locatie'!A37,'4-Basis ruimtestaat'!K:K)</f>
        <v>421</v>
      </c>
      <c r="C37" s="356"/>
      <c r="D37" s="357">
        <f>_xlfn.MAXIFS('4-Basis ruimtestaat'!M:M,'4-Basis ruimtestaat'!B:B,'2-Kosten per locatie'!A37)</f>
        <v>230</v>
      </c>
      <c r="E37" s="357">
        <f>_xlfn.MAXIFS('4-Basis ruimtestaat'!N:N,'4-Basis ruimtestaat'!B:B,'2-Kosten per locatie'!A37)</f>
        <v>0</v>
      </c>
      <c r="F37" s="357">
        <f>_xlfn.MAXIFS('4-Basis ruimtestaat'!O:O,'4-Basis ruimtestaat'!B:B,'2-Kosten per locatie'!A37)</f>
        <v>46</v>
      </c>
      <c r="G37" s="358" t="e">
        <f>SUMIF('4-Basis ruimtestaat'!B:B,'2-Kosten per locatie'!A37,'4-Basis ruimtestaat'!P:P)</f>
        <v>#DIV/0!</v>
      </c>
      <c r="H37" s="358">
        <f>SUMIF('4-Basis ruimtestaat'!B:B,'2-Kosten per locatie'!A37,'4-Basis ruimtestaat'!Q:Q)</f>
        <v>0</v>
      </c>
      <c r="I37" s="358" t="e">
        <f>SUMIF('4-Basis ruimtestaat'!B:B,'2-Kosten per locatie'!A37,'4-Basis ruimtestaat'!R:R)</f>
        <v>#DIV/0!</v>
      </c>
      <c r="J37" s="358" t="e">
        <f t="shared" si="0"/>
        <v>#DIV/0!</v>
      </c>
      <c r="K37" s="358">
        <f t="shared" si="1"/>
        <v>0</v>
      </c>
      <c r="L37" s="358" t="e">
        <f t="shared" si="2"/>
        <v>#DIV/0!</v>
      </c>
      <c r="M37" s="358" t="e">
        <f t="shared" si="3"/>
        <v>#DIV/0!</v>
      </c>
      <c r="N37" s="358">
        <f t="shared" si="4"/>
        <v>0</v>
      </c>
      <c r="O37" s="358" t="e">
        <f t="shared" si="5"/>
        <v>#DIV/0!</v>
      </c>
      <c r="P37" s="42"/>
      <c r="Q37" s="40"/>
      <c r="R37" s="40"/>
      <c r="S37" s="40"/>
      <c r="T37" s="40"/>
      <c r="U37" s="40"/>
      <c r="V37" s="40"/>
      <c r="W37" s="40"/>
      <c r="X37" s="40"/>
      <c r="Y37" s="40"/>
      <c r="Z37" s="40"/>
      <c r="AA37" s="40"/>
      <c r="AB37" s="40"/>
      <c r="AC37" s="40"/>
      <c r="AD37" s="40"/>
      <c r="AE37" s="40"/>
      <c r="AF37" s="40"/>
      <c r="AG37" s="40"/>
    </row>
    <row r="38" spans="1:33" ht="15" customHeight="1">
      <c r="A38" s="359" t="s">
        <v>59</v>
      </c>
      <c r="B38" s="355">
        <f>SUMIF('4-Basis ruimtestaat'!B:B,'2-Kosten per locatie'!A38,'4-Basis ruimtestaat'!K:K)</f>
        <v>1148</v>
      </c>
      <c r="C38" s="356"/>
      <c r="D38" s="357">
        <f>_xlfn.MAXIFS('4-Basis ruimtestaat'!M:M,'4-Basis ruimtestaat'!B:B,'2-Kosten per locatie'!A38)</f>
        <v>230</v>
      </c>
      <c r="E38" s="357">
        <f>_xlfn.MAXIFS('4-Basis ruimtestaat'!N:N,'4-Basis ruimtestaat'!B:B,'2-Kosten per locatie'!A38)</f>
        <v>200</v>
      </c>
      <c r="F38" s="357">
        <f>_xlfn.MAXIFS('4-Basis ruimtestaat'!O:O,'4-Basis ruimtestaat'!B:B,'2-Kosten per locatie'!A38)</f>
        <v>92</v>
      </c>
      <c r="G38" s="358" t="e">
        <f>SUMIF('4-Basis ruimtestaat'!B:B,'2-Kosten per locatie'!A38,'4-Basis ruimtestaat'!P:P)</f>
        <v>#DIV/0!</v>
      </c>
      <c r="H38" s="358" t="e">
        <f>SUMIF('4-Basis ruimtestaat'!B:B,'2-Kosten per locatie'!A38,'4-Basis ruimtestaat'!Q:Q)</f>
        <v>#DIV/0!</v>
      </c>
      <c r="I38" s="358" t="e">
        <f>SUMIF('4-Basis ruimtestaat'!B:B,'2-Kosten per locatie'!A38,'4-Basis ruimtestaat'!R:R)</f>
        <v>#DIV/0!</v>
      </c>
      <c r="J38" s="358" t="e">
        <f t="shared" si="0"/>
        <v>#DIV/0!</v>
      </c>
      <c r="K38" s="358" t="e">
        <f t="shared" si="1"/>
        <v>#DIV/0!</v>
      </c>
      <c r="L38" s="358" t="e">
        <f t="shared" si="2"/>
        <v>#DIV/0!</v>
      </c>
      <c r="M38" s="358" t="e">
        <f t="shared" si="3"/>
        <v>#DIV/0!</v>
      </c>
      <c r="N38" s="358" t="e">
        <f t="shared" si="4"/>
        <v>#DIV/0!</v>
      </c>
      <c r="O38" s="358" t="e">
        <f t="shared" si="5"/>
        <v>#DIV/0!</v>
      </c>
      <c r="P38" s="42"/>
      <c r="Q38" s="40"/>
      <c r="R38" s="40"/>
      <c r="S38" s="40"/>
      <c r="T38" s="40"/>
      <c r="U38" s="40"/>
      <c r="V38" s="40"/>
      <c r="W38" s="40"/>
      <c r="X38" s="40"/>
      <c r="Y38" s="40"/>
      <c r="Z38" s="40"/>
      <c r="AA38" s="40"/>
      <c r="AB38" s="40"/>
      <c r="AC38" s="40"/>
      <c r="AD38" s="40"/>
      <c r="AE38" s="40"/>
      <c r="AF38" s="40"/>
      <c r="AG38" s="40"/>
    </row>
    <row r="39" spans="1:33" ht="15" customHeight="1">
      <c r="A39" s="359" t="s">
        <v>60</v>
      </c>
      <c r="B39" s="355">
        <f>SUMIF('4-Basis ruimtestaat'!B:B,'2-Kosten per locatie'!A39,'4-Basis ruimtestaat'!K:K)</f>
        <v>387</v>
      </c>
      <c r="C39" s="356"/>
      <c r="D39" s="357">
        <f>_xlfn.MAXIFS('4-Basis ruimtestaat'!M:M,'4-Basis ruimtestaat'!B:B,'2-Kosten per locatie'!A39)</f>
        <v>230</v>
      </c>
      <c r="E39" s="357">
        <f>_xlfn.MAXIFS('4-Basis ruimtestaat'!N:N,'4-Basis ruimtestaat'!B:B,'2-Kosten per locatie'!A39)</f>
        <v>0</v>
      </c>
      <c r="F39" s="357">
        <f>_xlfn.MAXIFS('4-Basis ruimtestaat'!O:O,'4-Basis ruimtestaat'!B:B,'2-Kosten per locatie'!A39)</f>
        <v>46</v>
      </c>
      <c r="G39" s="358" t="e">
        <f>SUMIF('4-Basis ruimtestaat'!B:B,'2-Kosten per locatie'!A39,'4-Basis ruimtestaat'!P:P)</f>
        <v>#DIV/0!</v>
      </c>
      <c r="H39" s="358">
        <f>SUMIF('4-Basis ruimtestaat'!B:B,'2-Kosten per locatie'!A39,'4-Basis ruimtestaat'!Q:Q)</f>
        <v>0</v>
      </c>
      <c r="I39" s="358" t="e">
        <f>SUMIF('4-Basis ruimtestaat'!B:B,'2-Kosten per locatie'!A39,'4-Basis ruimtestaat'!R:R)</f>
        <v>#DIV/0!</v>
      </c>
      <c r="J39" s="358" t="e">
        <f t="shared" si="0"/>
        <v>#DIV/0!</v>
      </c>
      <c r="K39" s="358">
        <f t="shared" si="1"/>
        <v>0</v>
      </c>
      <c r="L39" s="358" t="e">
        <f t="shared" si="2"/>
        <v>#DIV/0!</v>
      </c>
      <c r="M39" s="358" t="e">
        <f t="shared" si="3"/>
        <v>#DIV/0!</v>
      </c>
      <c r="N39" s="358">
        <f t="shared" si="4"/>
        <v>0</v>
      </c>
      <c r="O39" s="358" t="e">
        <f t="shared" si="5"/>
        <v>#DIV/0!</v>
      </c>
      <c r="P39" s="42"/>
      <c r="Q39" s="40"/>
      <c r="R39" s="40"/>
      <c r="S39" s="40"/>
      <c r="T39" s="40"/>
      <c r="U39" s="40"/>
      <c r="V39" s="40"/>
      <c r="W39" s="40"/>
      <c r="X39" s="40"/>
      <c r="Y39" s="40"/>
      <c r="Z39" s="40"/>
      <c r="AA39" s="40"/>
      <c r="AB39" s="40"/>
      <c r="AC39" s="40"/>
      <c r="AD39" s="40"/>
      <c r="AE39" s="40"/>
      <c r="AF39" s="40"/>
      <c r="AG39" s="40"/>
    </row>
    <row r="40" spans="1:33" ht="15" customHeight="1">
      <c r="A40" s="359" t="s">
        <v>61</v>
      </c>
      <c r="B40" s="355">
        <f>SUMIF('4-Basis ruimtestaat'!B:B,'2-Kosten per locatie'!A40,'4-Basis ruimtestaat'!K:K)</f>
        <v>395</v>
      </c>
      <c r="C40" s="356"/>
      <c r="D40" s="357">
        <f>_xlfn.MAXIFS('4-Basis ruimtestaat'!M:M,'4-Basis ruimtestaat'!B:B,'2-Kosten per locatie'!A40)</f>
        <v>230</v>
      </c>
      <c r="E40" s="357">
        <f>_xlfn.MAXIFS('4-Basis ruimtestaat'!N:N,'4-Basis ruimtestaat'!B:B,'2-Kosten per locatie'!A40)</f>
        <v>0</v>
      </c>
      <c r="F40" s="357">
        <f>_xlfn.MAXIFS('4-Basis ruimtestaat'!O:O,'4-Basis ruimtestaat'!B:B,'2-Kosten per locatie'!A40)</f>
        <v>46</v>
      </c>
      <c r="G40" s="358" t="e">
        <f>SUMIF('4-Basis ruimtestaat'!B:B,'2-Kosten per locatie'!A40,'4-Basis ruimtestaat'!P:P)</f>
        <v>#DIV/0!</v>
      </c>
      <c r="H40" s="358">
        <f>SUMIF('4-Basis ruimtestaat'!B:B,'2-Kosten per locatie'!A40,'4-Basis ruimtestaat'!Q:Q)</f>
        <v>0</v>
      </c>
      <c r="I40" s="358" t="e">
        <f>SUMIF('4-Basis ruimtestaat'!B:B,'2-Kosten per locatie'!A40,'4-Basis ruimtestaat'!R:R)</f>
        <v>#DIV/0!</v>
      </c>
      <c r="J40" s="358" t="e">
        <f t="shared" si="0"/>
        <v>#DIV/0!</v>
      </c>
      <c r="K40" s="358">
        <f t="shared" si="1"/>
        <v>0</v>
      </c>
      <c r="L40" s="358" t="e">
        <f t="shared" si="2"/>
        <v>#DIV/0!</v>
      </c>
      <c r="M40" s="358" t="e">
        <f t="shared" si="3"/>
        <v>#DIV/0!</v>
      </c>
      <c r="N40" s="358">
        <f t="shared" si="4"/>
        <v>0</v>
      </c>
      <c r="O40" s="358" t="e">
        <f t="shared" si="5"/>
        <v>#DIV/0!</v>
      </c>
      <c r="P40" s="42"/>
      <c r="Q40" s="40"/>
      <c r="R40" s="40"/>
      <c r="S40" s="40"/>
      <c r="T40" s="40"/>
      <c r="U40" s="40"/>
      <c r="V40" s="40"/>
      <c r="W40" s="40"/>
      <c r="X40" s="40"/>
      <c r="Y40" s="40"/>
      <c r="Z40" s="40"/>
      <c r="AA40" s="40"/>
      <c r="AB40" s="40"/>
      <c r="AC40" s="40"/>
      <c r="AD40" s="40"/>
      <c r="AE40" s="40"/>
      <c r="AF40" s="40"/>
      <c r="AG40" s="40"/>
    </row>
    <row r="41" spans="1:33" ht="15" customHeight="1">
      <c r="A41" s="359" t="s">
        <v>62</v>
      </c>
      <c r="B41" s="355">
        <f>SUMIF('4-Basis ruimtestaat'!B:B,'2-Kosten per locatie'!A41,'4-Basis ruimtestaat'!K:K)</f>
        <v>462</v>
      </c>
      <c r="C41" s="356"/>
      <c r="D41" s="357">
        <f>_xlfn.MAXIFS('4-Basis ruimtestaat'!M:M,'4-Basis ruimtestaat'!B:B,'2-Kosten per locatie'!A41)</f>
        <v>230</v>
      </c>
      <c r="E41" s="357">
        <f>_xlfn.MAXIFS('4-Basis ruimtestaat'!N:N,'4-Basis ruimtestaat'!B:B,'2-Kosten per locatie'!A41)</f>
        <v>0</v>
      </c>
      <c r="F41" s="357">
        <f>_xlfn.MAXIFS('4-Basis ruimtestaat'!O:O,'4-Basis ruimtestaat'!B:B,'2-Kosten per locatie'!A41)</f>
        <v>92</v>
      </c>
      <c r="G41" s="358" t="e">
        <f>SUMIF('4-Basis ruimtestaat'!B:B,'2-Kosten per locatie'!A41,'4-Basis ruimtestaat'!P:P)</f>
        <v>#DIV/0!</v>
      </c>
      <c r="H41" s="358">
        <f>SUMIF('4-Basis ruimtestaat'!B:B,'2-Kosten per locatie'!A41,'4-Basis ruimtestaat'!Q:Q)</f>
        <v>0</v>
      </c>
      <c r="I41" s="358" t="e">
        <f>SUMIF('4-Basis ruimtestaat'!B:B,'2-Kosten per locatie'!A41,'4-Basis ruimtestaat'!R:R)</f>
        <v>#DIV/0!</v>
      </c>
      <c r="J41" s="358" t="e">
        <f t="shared" si="0"/>
        <v>#DIV/0!</v>
      </c>
      <c r="K41" s="358">
        <f t="shared" si="1"/>
        <v>0</v>
      </c>
      <c r="L41" s="358" t="e">
        <f t="shared" si="2"/>
        <v>#DIV/0!</v>
      </c>
      <c r="M41" s="358" t="e">
        <f t="shared" si="3"/>
        <v>#DIV/0!</v>
      </c>
      <c r="N41" s="358">
        <f t="shared" si="4"/>
        <v>0</v>
      </c>
      <c r="O41" s="358" t="e">
        <f t="shared" si="5"/>
        <v>#DIV/0!</v>
      </c>
      <c r="P41" s="42"/>
      <c r="Q41" s="40"/>
      <c r="R41" s="40"/>
      <c r="S41" s="40"/>
      <c r="T41" s="40"/>
      <c r="U41" s="40"/>
      <c r="V41" s="40"/>
      <c r="W41" s="40"/>
      <c r="X41" s="40"/>
      <c r="Y41" s="40"/>
      <c r="Z41" s="40"/>
      <c r="AA41" s="40"/>
      <c r="AB41" s="40"/>
      <c r="AC41" s="40"/>
      <c r="AD41" s="40"/>
      <c r="AE41" s="40"/>
      <c r="AF41" s="40"/>
      <c r="AG41" s="40"/>
    </row>
    <row r="42" spans="1:33" ht="15" customHeight="1">
      <c r="A42" s="359" t="s">
        <v>63</v>
      </c>
      <c r="B42" s="355">
        <f>SUMIF('4-Basis ruimtestaat'!B:B,'2-Kosten per locatie'!A42,'4-Basis ruimtestaat'!K:K)</f>
        <v>923.5</v>
      </c>
      <c r="C42" s="356"/>
      <c r="D42" s="357">
        <f>_xlfn.MAXIFS('4-Basis ruimtestaat'!M:M,'4-Basis ruimtestaat'!B:B,'2-Kosten per locatie'!A42)</f>
        <v>230</v>
      </c>
      <c r="E42" s="357">
        <f>_xlfn.MAXIFS('4-Basis ruimtestaat'!N:N,'4-Basis ruimtestaat'!B:B,'2-Kosten per locatie'!A42)</f>
        <v>0</v>
      </c>
      <c r="F42" s="357">
        <f>_xlfn.MAXIFS('4-Basis ruimtestaat'!O:O,'4-Basis ruimtestaat'!B:B,'2-Kosten per locatie'!A42)</f>
        <v>0</v>
      </c>
      <c r="G42" s="358" t="e">
        <f>SUMIF('4-Basis ruimtestaat'!B:B,'2-Kosten per locatie'!A42,'4-Basis ruimtestaat'!P:P)</f>
        <v>#DIV/0!</v>
      </c>
      <c r="H42" s="358">
        <f>SUMIF('4-Basis ruimtestaat'!B:B,'2-Kosten per locatie'!A42,'4-Basis ruimtestaat'!Q:Q)</f>
        <v>0</v>
      </c>
      <c r="I42" s="358">
        <f>SUMIF('4-Basis ruimtestaat'!B:B,'2-Kosten per locatie'!A42,'4-Basis ruimtestaat'!R:R)</f>
        <v>0</v>
      </c>
      <c r="J42" s="358" t="e">
        <f t="shared" si="0"/>
        <v>#DIV/0!</v>
      </c>
      <c r="K42" s="358">
        <f t="shared" si="1"/>
        <v>0</v>
      </c>
      <c r="L42" s="358">
        <f t="shared" si="2"/>
        <v>0</v>
      </c>
      <c r="M42" s="358" t="e">
        <f t="shared" si="3"/>
        <v>#DIV/0!</v>
      </c>
      <c r="N42" s="358">
        <f t="shared" si="4"/>
        <v>0</v>
      </c>
      <c r="O42" s="358">
        <f t="shared" si="5"/>
        <v>0</v>
      </c>
      <c r="P42" s="42"/>
      <c r="Q42" s="40"/>
      <c r="R42" s="40"/>
      <c r="S42" s="40"/>
      <c r="T42" s="40"/>
      <c r="U42" s="40"/>
      <c r="V42" s="40"/>
      <c r="W42" s="40"/>
      <c r="X42" s="40"/>
      <c r="Y42" s="40"/>
      <c r="Z42" s="40"/>
      <c r="AA42" s="40"/>
      <c r="AB42" s="40"/>
      <c r="AC42" s="40"/>
      <c r="AD42" s="40"/>
      <c r="AE42" s="40"/>
      <c r="AF42" s="40"/>
      <c r="AG42" s="40"/>
    </row>
    <row r="43" spans="1:33" ht="15" customHeight="1">
      <c r="A43" s="359" t="s">
        <v>64</v>
      </c>
      <c r="B43" s="355">
        <f>SUMIF('4-Basis ruimtestaat'!B:B,'2-Kosten per locatie'!A43,'4-Basis ruimtestaat'!K:K)</f>
        <v>356</v>
      </c>
      <c r="C43" s="356"/>
      <c r="D43" s="357">
        <f>_xlfn.MAXIFS('4-Basis ruimtestaat'!M:M,'4-Basis ruimtestaat'!B:B,'2-Kosten per locatie'!A43)</f>
        <v>230</v>
      </c>
      <c r="E43" s="357">
        <f>_xlfn.MAXIFS('4-Basis ruimtestaat'!N:N,'4-Basis ruimtestaat'!B:B,'2-Kosten per locatie'!A43)</f>
        <v>0</v>
      </c>
      <c r="F43" s="357">
        <f>_xlfn.MAXIFS('4-Basis ruimtestaat'!O:O,'4-Basis ruimtestaat'!B:B,'2-Kosten per locatie'!A43)</f>
        <v>0</v>
      </c>
      <c r="G43" s="358" t="e">
        <f>SUMIF('4-Basis ruimtestaat'!B:B,'2-Kosten per locatie'!A43,'4-Basis ruimtestaat'!P:P)</f>
        <v>#DIV/0!</v>
      </c>
      <c r="H43" s="358">
        <f>SUMIF('4-Basis ruimtestaat'!B:B,'2-Kosten per locatie'!A43,'4-Basis ruimtestaat'!Q:Q)</f>
        <v>0</v>
      </c>
      <c r="I43" s="358">
        <f>SUMIF('4-Basis ruimtestaat'!B:B,'2-Kosten per locatie'!A43,'4-Basis ruimtestaat'!R:R)</f>
        <v>0</v>
      </c>
      <c r="J43" s="358" t="e">
        <f t="shared" si="0"/>
        <v>#DIV/0!</v>
      </c>
      <c r="K43" s="358">
        <f t="shared" si="1"/>
        <v>0</v>
      </c>
      <c r="L43" s="358">
        <f t="shared" si="2"/>
        <v>0</v>
      </c>
      <c r="M43" s="358" t="e">
        <f t="shared" si="3"/>
        <v>#DIV/0!</v>
      </c>
      <c r="N43" s="358">
        <f t="shared" si="4"/>
        <v>0</v>
      </c>
      <c r="O43" s="358">
        <f t="shared" si="5"/>
        <v>0</v>
      </c>
      <c r="P43" s="42"/>
      <c r="Q43" s="40"/>
      <c r="R43" s="40"/>
      <c r="S43" s="40"/>
      <c r="T43" s="40"/>
      <c r="U43" s="40"/>
      <c r="V43" s="40"/>
      <c r="W43" s="40"/>
      <c r="X43" s="40"/>
      <c r="Y43" s="40"/>
      <c r="Z43" s="40"/>
      <c r="AA43" s="40"/>
      <c r="AB43" s="40"/>
      <c r="AC43" s="40"/>
      <c r="AD43" s="40"/>
      <c r="AE43" s="40"/>
      <c r="AF43" s="40"/>
      <c r="AG43" s="40"/>
    </row>
    <row r="44" spans="1:33" ht="15" customHeight="1">
      <c r="A44" s="359" t="s">
        <v>65</v>
      </c>
      <c r="B44" s="355">
        <f>SUMIF('4-Basis ruimtestaat'!B:B,'2-Kosten per locatie'!A44,'4-Basis ruimtestaat'!K:K)</f>
        <v>389</v>
      </c>
      <c r="C44" s="356"/>
      <c r="D44" s="357">
        <f>_xlfn.MAXIFS('4-Basis ruimtestaat'!M:M,'4-Basis ruimtestaat'!B:B,'2-Kosten per locatie'!A44)</f>
        <v>230</v>
      </c>
      <c r="E44" s="357">
        <f>_xlfn.MAXIFS('4-Basis ruimtestaat'!N:N,'4-Basis ruimtestaat'!B:B,'2-Kosten per locatie'!A44)</f>
        <v>0</v>
      </c>
      <c r="F44" s="357">
        <f>_xlfn.MAXIFS('4-Basis ruimtestaat'!O:O,'4-Basis ruimtestaat'!B:B,'2-Kosten per locatie'!A44)</f>
        <v>46</v>
      </c>
      <c r="G44" s="358" t="e">
        <f>SUMIF('4-Basis ruimtestaat'!B:B,'2-Kosten per locatie'!A44,'4-Basis ruimtestaat'!P:P)</f>
        <v>#DIV/0!</v>
      </c>
      <c r="H44" s="358">
        <f>SUMIF('4-Basis ruimtestaat'!B:B,'2-Kosten per locatie'!A44,'4-Basis ruimtestaat'!Q:Q)</f>
        <v>0</v>
      </c>
      <c r="I44" s="358" t="e">
        <f>SUMIF('4-Basis ruimtestaat'!B:B,'2-Kosten per locatie'!A44,'4-Basis ruimtestaat'!R:R)</f>
        <v>#DIV/0!</v>
      </c>
      <c r="J44" s="358" t="e">
        <f t="shared" si="0"/>
        <v>#DIV/0!</v>
      </c>
      <c r="K44" s="358">
        <f t="shared" si="1"/>
        <v>0</v>
      </c>
      <c r="L44" s="358" t="e">
        <f t="shared" si="2"/>
        <v>#DIV/0!</v>
      </c>
      <c r="M44" s="358" t="e">
        <f t="shared" si="3"/>
        <v>#DIV/0!</v>
      </c>
      <c r="N44" s="358">
        <f t="shared" si="4"/>
        <v>0</v>
      </c>
      <c r="O44" s="358" t="e">
        <f t="shared" si="5"/>
        <v>#DIV/0!</v>
      </c>
      <c r="P44" s="42"/>
      <c r="Q44" s="40"/>
      <c r="R44" s="40"/>
      <c r="S44" s="40"/>
      <c r="T44" s="40"/>
      <c r="U44" s="40"/>
      <c r="V44" s="40"/>
      <c r="W44" s="40"/>
      <c r="X44" s="40"/>
      <c r="Y44" s="40"/>
      <c r="Z44" s="40"/>
      <c r="AA44" s="40"/>
      <c r="AB44" s="40"/>
      <c r="AC44" s="40"/>
      <c r="AD44" s="40"/>
      <c r="AE44" s="40"/>
      <c r="AF44" s="40"/>
      <c r="AG44" s="40"/>
    </row>
    <row r="45" spans="1:33" ht="15" customHeight="1">
      <c r="A45" s="359" t="s">
        <v>66</v>
      </c>
      <c r="B45" s="355">
        <f>SUMIF('4-Basis ruimtestaat'!B:B,'2-Kosten per locatie'!A45,'4-Basis ruimtestaat'!K:K)</f>
        <v>1025.43</v>
      </c>
      <c r="C45" s="356"/>
      <c r="D45" s="357">
        <f>_xlfn.MAXIFS('4-Basis ruimtestaat'!M:M,'4-Basis ruimtestaat'!B:B,'2-Kosten per locatie'!A45)</f>
        <v>230</v>
      </c>
      <c r="E45" s="357">
        <f>_xlfn.MAXIFS('4-Basis ruimtestaat'!N:N,'4-Basis ruimtestaat'!B:B,'2-Kosten per locatie'!A45)</f>
        <v>200</v>
      </c>
      <c r="F45" s="357">
        <f>_xlfn.MAXIFS('4-Basis ruimtestaat'!O:O,'4-Basis ruimtestaat'!B:B,'2-Kosten per locatie'!A45)</f>
        <v>0</v>
      </c>
      <c r="G45" s="358" t="e">
        <f>SUMIF('4-Basis ruimtestaat'!B:B,'2-Kosten per locatie'!A45,'4-Basis ruimtestaat'!P:P)</f>
        <v>#DIV/0!</v>
      </c>
      <c r="H45" s="358" t="e">
        <f>SUMIF('4-Basis ruimtestaat'!B:B,'2-Kosten per locatie'!A45,'4-Basis ruimtestaat'!Q:Q)</f>
        <v>#DIV/0!</v>
      </c>
      <c r="I45" s="358">
        <f>SUMIF('4-Basis ruimtestaat'!B:B,'2-Kosten per locatie'!A45,'4-Basis ruimtestaat'!R:R)</f>
        <v>0</v>
      </c>
      <c r="J45" s="358" t="e">
        <f t="shared" si="0"/>
        <v>#DIV/0!</v>
      </c>
      <c r="K45" s="358" t="e">
        <f t="shared" si="1"/>
        <v>#DIV/0!</v>
      </c>
      <c r="L45" s="358">
        <f t="shared" si="2"/>
        <v>0</v>
      </c>
      <c r="M45" s="358" t="e">
        <f t="shared" si="3"/>
        <v>#DIV/0!</v>
      </c>
      <c r="N45" s="358" t="e">
        <f t="shared" si="4"/>
        <v>#DIV/0!</v>
      </c>
      <c r="O45" s="358">
        <f t="shared" si="5"/>
        <v>0</v>
      </c>
      <c r="P45" s="42"/>
      <c r="Q45" s="40"/>
      <c r="R45" s="40"/>
      <c r="S45" s="40"/>
      <c r="T45" s="40"/>
      <c r="U45" s="40"/>
      <c r="V45" s="40"/>
      <c r="W45" s="40"/>
      <c r="X45" s="40"/>
      <c r="Y45" s="40"/>
      <c r="Z45" s="40"/>
      <c r="AA45" s="40"/>
      <c r="AB45" s="40"/>
      <c r="AC45" s="40"/>
      <c r="AD45" s="40"/>
      <c r="AE45" s="40"/>
      <c r="AF45" s="40"/>
      <c r="AG45" s="40"/>
    </row>
    <row r="46" spans="1:33" ht="15" customHeight="1">
      <c r="A46" s="359" t="s">
        <v>67</v>
      </c>
      <c r="B46" s="355">
        <f>SUMIF('4-Basis ruimtestaat'!B:B,'2-Kosten per locatie'!A46,'4-Basis ruimtestaat'!K:K)</f>
        <v>965</v>
      </c>
      <c r="C46" s="356"/>
      <c r="D46" s="357">
        <f>_xlfn.MAXIFS('4-Basis ruimtestaat'!M:M,'4-Basis ruimtestaat'!B:B,'2-Kosten per locatie'!A46)</f>
        <v>200</v>
      </c>
      <c r="E46" s="357">
        <f>_xlfn.MAXIFS('4-Basis ruimtestaat'!N:N,'4-Basis ruimtestaat'!B:B,'2-Kosten per locatie'!A46)</f>
        <v>0</v>
      </c>
      <c r="F46" s="357">
        <f>_xlfn.MAXIFS('4-Basis ruimtestaat'!O:O,'4-Basis ruimtestaat'!B:B,'2-Kosten per locatie'!A46)</f>
        <v>0</v>
      </c>
      <c r="G46" s="358" t="e">
        <f>SUMIF('4-Basis ruimtestaat'!B:B,'2-Kosten per locatie'!A46,'4-Basis ruimtestaat'!P:P)</f>
        <v>#DIV/0!</v>
      </c>
      <c r="H46" s="358">
        <f>SUMIF('4-Basis ruimtestaat'!B:B,'2-Kosten per locatie'!A46,'4-Basis ruimtestaat'!Q:Q)</f>
        <v>0</v>
      </c>
      <c r="I46" s="358">
        <f>SUMIF('4-Basis ruimtestaat'!B:B,'2-Kosten per locatie'!A46,'4-Basis ruimtestaat'!R:R)</f>
        <v>0</v>
      </c>
      <c r="J46" s="358" t="e">
        <f t="shared" si="0"/>
        <v>#DIV/0!</v>
      </c>
      <c r="K46" s="358">
        <f t="shared" si="1"/>
        <v>0</v>
      </c>
      <c r="L46" s="358">
        <f t="shared" si="2"/>
        <v>0</v>
      </c>
      <c r="M46" s="358" t="e">
        <f t="shared" si="3"/>
        <v>#DIV/0!</v>
      </c>
      <c r="N46" s="358">
        <f t="shared" si="4"/>
        <v>0</v>
      </c>
      <c r="O46" s="358">
        <f t="shared" si="5"/>
        <v>0</v>
      </c>
      <c r="P46" s="42"/>
      <c r="Q46" s="40"/>
      <c r="R46" s="40"/>
      <c r="S46" s="40"/>
      <c r="T46" s="40"/>
      <c r="U46" s="40"/>
      <c r="V46" s="40"/>
      <c r="W46" s="40"/>
      <c r="X46" s="40"/>
      <c r="Y46" s="40"/>
      <c r="Z46" s="40"/>
      <c r="AA46" s="40"/>
      <c r="AB46" s="40"/>
      <c r="AC46" s="40"/>
      <c r="AD46" s="40"/>
      <c r="AE46" s="40"/>
      <c r="AF46" s="40"/>
      <c r="AG46" s="40"/>
    </row>
    <row r="47" spans="1:33" ht="15" customHeight="1">
      <c r="A47" s="359" t="s">
        <v>68</v>
      </c>
      <c r="B47" s="355">
        <f>SUMIF('4-Basis ruimtestaat'!B:B,'2-Kosten per locatie'!A47,'4-Basis ruimtestaat'!K:K)</f>
        <v>138</v>
      </c>
      <c r="C47" s="356"/>
      <c r="D47" s="357">
        <f>_xlfn.MAXIFS('4-Basis ruimtestaat'!M:M,'4-Basis ruimtestaat'!B:B,'2-Kosten per locatie'!A47)</f>
        <v>208</v>
      </c>
      <c r="E47" s="357">
        <f>_xlfn.MAXIFS('4-Basis ruimtestaat'!N:N,'4-Basis ruimtestaat'!B:B,'2-Kosten per locatie'!A47)</f>
        <v>0</v>
      </c>
      <c r="F47" s="357">
        <f>_xlfn.MAXIFS('4-Basis ruimtestaat'!O:O,'4-Basis ruimtestaat'!B:B,'2-Kosten per locatie'!A47)</f>
        <v>0</v>
      </c>
      <c r="G47" s="358" t="e">
        <f>SUMIF('4-Basis ruimtestaat'!B:B,'2-Kosten per locatie'!A47,'4-Basis ruimtestaat'!P:P)</f>
        <v>#DIV/0!</v>
      </c>
      <c r="H47" s="358">
        <f>SUMIF('4-Basis ruimtestaat'!B:B,'2-Kosten per locatie'!A47,'4-Basis ruimtestaat'!Q:Q)</f>
        <v>0</v>
      </c>
      <c r="I47" s="358">
        <f>SUMIF('4-Basis ruimtestaat'!B:B,'2-Kosten per locatie'!A47,'4-Basis ruimtestaat'!R:R)</f>
        <v>0</v>
      </c>
      <c r="J47" s="358" t="e">
        <f t="shared" si="0"/>
        <v>#DIV/0!</v>
      </c>
      <c r="K47" s="358">
        <f t="shared" si="1"/>
        <v>0</v>
      </c>
      <c r="L47" s="358">
        <f t="shared" si="2"/>
        <v>0</v>
      </c>
      <c r="M47" s="358" t="e">
        <f t="shared" si="3"/>
        <v>#DIV/0!</v>
      </c>
      <c r="N47" s="358">
        <f t="shared" si="4"/>
        <v>0</v>
      </c>
      <c r="O47" s="358">
        <f t="shared" si="5"/>
        <v>0</v>
      </c>
      <c r="P47" s="42"/>
      <c r="Q47" s="40"/>
      <c r="R47" s="40"/>
      <c r="S47" s="40"/>
      <c r="T47" s="40"/>
      <c r="U47" s="40"/>
      <c r="V47" s="40"/>
      <c r="W47" s="40"/>
      <c r="X47" s="40"/>
      <c r="Y47" s="40"/>
      <c r="Z47" s="40"/>
      <c r="AA47" s="40"/>
      <c r="AB47" s="40"/>
      <c r="AC47" s="40"/>
      <c r="AD47" s="40"/>
      <c r="AE47" s="40"/>
      <c r="AF47" s="40"/>
      <c r="AG47" s="40"/>
    </row>
    <row r="48" spans="1:33" ht="15" customHeight="1">
      <c r="A48" s="359" t="s">
        <v>69</v>
      </c>
      <c r="B48" s="355">
        <f>SUMIF('4-Basis ruimtestaat'!B:B,'2-Kosten per locatie'!A48,'4-Basis ruimtestaat'!K:K)</f>
        <v>403</v>
      </c>
      <c r="C48" s="356"/>
      <c r="D48" s="357">
        <f>_xlfn.MAXIFS('4-Basis ruimtestaat'!M:M,'4-Basis ruimtestaat'!B:B,'2-Kosten per locatie'!A48)</f>
        <v>255</v>
      </c>
      <c r="E48" s="357">
        <f>_xlfn.MAXIFS('4-Basis ruimtestaat'!N:N,'4-Basis ruimtestaat'!B:B,'2-Kosten per locatie'!A48)</f>
        <v>0</v>
      </c>
      <c r="F48" s="357">
        <f>_xlfn.MAXIFS('4-Basis ruimtestaat'!O:O,'4-Basis ruimtestaat'!B:B,'2-Kosten per locatie'!A48)</f>
        <v>0</v>
      </c>
      <c r="G48" s="358" t="e">
        <f>SUMIF('4-Basis ruimtestaat'!B:B,'2-Kosten per locatie'!A48,'4-Basis ruimtestaat'!P:P)</f>
        <v>#DIV/0!</v>
      </c>
      <c r="H48" s="358">
        <f>SUMIF('4-Basis ruimtestaat'!B:B,'2-Kosten per locatie'!A48,'4-Basis ruimtestaat'!Q:Q)</f>
        <v>0</v>
      </c>
      <c r="I48" s="358">
        <f>SUMIF('4-Basis ruimtestaat'!B:B,'2-Kosten per locatie'!A48,'4-Basis ruimtestaat'!R:R)</f>
        <v>0</v>
      </c>
      <c r="J48" s="358" t="e">
        <f t="shared" si="0"/>
        <v>#DIV/0!</v>
      </c>
      <c r="K48" s="358">
        <f t="shared" si="1"/>
        <v>0</v>
      </c>
      <c r="L48" s="358">
        <f t="shared" si="2"/>
        <v>0</v>
      </c>
      <c r="M48" s="358" t="e">
        <f t="shared" si="3"/>
        <v>#DIV/0!</v>
      </c>
      <c r="N48" s="358">
        <f t="shared" si="4"/>
        <v>0</v>
      </c>
      <c r="O48" s="358">
        <f t="shared" si="5"/>
        <v>0</v>
      </c>
      <c r="P48" s="42"/>
      <c r="Q48" s="40"/>
      <c r="R48" s="40"/>
      <c r="S48" s="40"/>
      <c r="T48" s="40"/>
      <c r="U48" s="40"/>
      <c r="V48" s="40"/>
      <c r="W48" s="40"/>
      <c r="X48" s="40"/>
      <c r="Y48" s="40"/>
      <c r="Z48" s="40"/>
      <c r="AA48" s="40"/>
      <c r="AB48" s="40"/>
      <c r="AC48" s="40"/>
      <c r="AD48" s="40"/>
      <c r="AE48" s="40"/>
      <c r="AF48" s="40"/>
      <c r="AG48" s="40"/>
    </row>
    <row r="49" spans="1:33" ht="15" customHeight="1">
      <c r="A49" s="359" t="s">
        <v>70</v>
      </c>
      <c r="B49" s="355">
        <f>SUMIF('4-Basis ruimtestaat'!B:B,'2-Kosten per locatie'!A49,'4-Basis ruimtestaat'!K:K)</f>
        <v>421</v>
      </c>
      <c r="C49" s="356"/>
      <c r="D49" s="357">
        <f>_xlfn.MAXIFS('4-Basis ruimtestaat'!M:M,'4-Basis ruimtestaat'!B:B,'2-Kosten per locatie'!A49)</f>
        <v>255</v>
      </c>
      <c r="E49" s="357">
        <f>_xlfn.MAXIFS('4-Basis ruimtestaat'!N:N,'4-Basis ruimtestaat'!B:B,'2-Kosten per locatie'!A49)</f>
        <v>0</v>
      </c>
      <c r="F49" s="357">
        <f>_xlfn.MAXIFS('4-Basis ruimtestaat'!O:O,'4-Basis ruimtestaat'!B:B,'2-Kosten per locatie'!A49)</f>
        <v>0</v>
      </c>
      <c r="G49" s="358" t="e">
        <f>SUMIF('4-Basis ruimtestaat'!B:B,'2-Kosten per locatie'!A49,'4-Basis ruimtestaat'!P:P)</f>
        <v>#DIV/0!</v>
      </c>
      <c r="H49" s="358">
        <f>SUMIF('4-Basis ruimtestaat'!B:B,'2-Kosten per locatie'!A49,'4-Basis ruimtestaat'!Q:Q)</f>
        <v>0</v>
      </c>
      <c r="I49" s="358">
        <f>SUMIF('4-Basis ruimtestaat'!B:B,'2-Kosten per locatie'!A49,'4-Basis ruimtestaat'!R:R)</f>
        <v>0</v>
      </c>
      <c r="J49" s="358" t="e">
        <f t="shared" si="0"/>
        <v>#DIV/0!</v>
      </c>
      <c r="K49" s="358">
        <f t="shared" si="1"/>
        <v>0</v>
      </c>
      <c r="L49" s="358">
        <f t="shared" si="2"/>
        <v>0</v>
      </c>
      <c r="M49" s="358" t="e">
        <f t="shared" si="3"/>
        <v>#DIV/0!</v>
      </c>
      <c r="N49" s="358">
        <f t="shared" si="4"/>
        <v>0</v>
      </c>
      <c r="O49" s="358">
        <f t="shared" si="5"/>
        <v>0</v>
      </c>
      <c r="P49" s="42"/>
      <c r="Q49" s="40"/>
      <c r="R49" s="40"/>
      <c r="S49" s="40"/>
      <c r="T49" s="40"/>
      <c r="U49" s="40"/>
      <c r="V49" s="40"/>
      <c r="W49" s="40"/>
      <c r="X49" s="40"/>
      <c r="Y49" s="40"/>
      <c r="Z49" s="40"/>
      <c r="AA49" s="40"/>
      <c r="AB49" s="40"/>
      <c r="AC49" s="40"/>
      <c r="AD49" s="40"/>
      <c r="AE49" s="40"/>
      <c r="AF49" s="40"/>
      <c r="AG49" s="40"/>
    </row>
    <row r="50" spans="1:33" ht="15" customHeight="1">
      <c r="A50" s="359" t="s">
        <v>71</v>
      </c>
      <c r="B50" s="355">
        <f>SUMIF('4-Basis ruimtestaat'!B:B,'2-Kosten per locatie'!A50,'4-Basis ruimtestaat'!K:K)</f>
        <v>1077</v>
      </c>
      <c r="C50" s="356"/>
      <c r="D50" s="357">
        <f>_xlfn.MAXIFS('4-Basis ruimtestaat'!M:M,'4-Basis ruimtestaat'!B:B,'2-Kosten per locatie'!A50)</f>
        <v>230</v>
      </c>
      <c r="E50" s="357">
        <f>_xlfn.MAXIFS('4-Basis ruimtestaat'!N:N,'4-Basis ruimtestaat'!B:B,'2-Kosten per locatie'!A50)</f>
        <v>200</v>
      </c>
      <c r="F50" s="357">
        <f>_xlfn.MAXIFS('4-Basis ruimtestaat'!O:O,'4-Basis ruimtestaat'!B:B,'2-Kosten per locatie'!A50)</f>
        <v>92</v>
      </c>
      <c r="G50" s="358" t="e">
        <f>SUMIF('4-Basis ruimtestaat'!B:B,'2-Kosten per locatie'!A50,'4-Basis ruimtestaat'!P:P)</f>
        <v>#DIV/0!</v>
      </c>
      <c r="H50" s="358" t="e">
        <f>SUMIF('4-Basis ruimtestaat'!B:B,'2-Kosten per locatie'!A50,'4-Basis ruimtestaat'!Q:Q)</f>
        <v>#DIV/0!</v>
      </c>
      <c r="I50" s="358" t="e">
        <f>SUMIF('4-Basis ruimtestaat'!B:B,'2-Kosten per locatie'!A50,'4-Basis ruimtestaat'!R:R)</f>
        <v>#DIV/0!</v>
      </c>
      <c r="J50" s="358" t="e">
        <f t="shared" si="0"/>
        <v>#DIV/0!</v>
      </c>
      <c r="K50" s="358" t="e">
        <f t="shared" si="1"/>
        <v>#DIV/0!</v>
      </c>
      <c r="L50" s="358" t="e">
        <f t="shared" si="2"/>
        <v>#DIV/0!</v>
      </c>
      <c r="M50" s="358" t="e">
        <f t="shared" si="3"/>
        <v>#DIV/0!</v>
      </c>
      <c r="N50" s="358" t="e">
        <f t="shared" si="4"/>
        <v>#DIV/0!</v>
      </c>
      <c r="O50" s="358" t="e">
        <f t="shared" si="5"/>
        <v>#DIV/0!</v>
      </c>
      <c r="P50" s="42"/>
      <c r="Q50" s="40"/>
      <c r="R50" s="40"/>
      <c r="S50" s="40"/>
      <c r="T50" s="40"/>
      <c r="U50" s="40"/>
      <c r="V50" s="40"/>
      <c r="W50" s="40"/>
      <c r="X50" s="40"/>
      <c r="Y50" s="40"/>
      <c r="Z50" s="40"/>
      <c r="AA50" s="40"/>
      <c r="AB50" s="40"/>
      <c r="AC50" s="40"/>
      <c r="AD50" s="40"/>
      <c r="AE50" s="40"/>
      <c r="AF50" s="40"/>
      <c r="AG50" s="40"/>
    </row>
    <row r="51" spans="1:33" ht="15" customHeight="1">
      <c r="A51" s="359" t="s">
        <v>72</v>
      </c>
      <c r="B51" s="355">
        <f>SUMIF('4-Basis ruimtestaat'!B:B,'2-Kosten per locatie'!A51,'4-Basis ruimtestaat'!K:K)</f>
        <v>460</v>
      </c>
      <c r="C51" s="356"/>
      <c r="D51" s="357">
        <f>_xlfn.MAXIFS('4-Basis ruimtestaat'!M:M,'4-Basis ruimtestaat'!B:B,'2-Kosten per locatie'!A51)</f>
        <v>230</v>
      </c>
      <c r="E51" s="357">
        <f>_xlfn.MAXIFS('4-Basis ruimtestaat'!N:N,'4-Basis ruimtestaat'!B:B,'2-Kosten per locatie'!A51)</f>
        <v>0</v>
      </c>
      <c r="F51" s="357">
        <f>_xlfn.MAXIFS('4-Basis ruimtestaat'!O:O,'4-Basis ruimtestaat'!B:B,'2-Kosten per locatie'!A51)</f>
        <v>46</v>
      </c>
      <c r="G51" s="358" t="e">
        <f>SUMIF('4-Basis ruimtestaat'!B:B,'2-Kosten per locatie'!A51,'4-Basis ruimtestaat'!P:P)</f>
        <v>#DIV/0!</v>
      </c>
      <c r="H51" s="358">
        <f>SUMIF('4-Basis ruimtestaat'!B:B,'2-Kosten per locatie'!A51,'4-Basis ruimtestaat'!Q:Q)</f>
        <v>0</v>
      </c>
      <c r="I51" s="358" t="e">
        <f>SUMIF('4-Basis ruimtestaat'!B:B,'2-Kosten per locatie'!A51,'4-Basis ruimtestaat'!R:R)</f>
        <v>#DIV/0!</v>
      </c>
      <c r="J51" s="358" t="e">
        <f t="shared" si="0"/>
        <v>#DIV/0!</v>
      </c>
      <c r="K51" s="358">
        <f t="shared" si="1"/>
        <v>0</v>
      </c>
      <c r="L51" s="358" t="e">
        <f t="shared" si="2"/>
        <v>#DIV/0!</v>
      </c>
      <c r="M51" s="358" t="e">
        <f t="shared" si="3"/>
        <v>#DIV/0!</v>
      </c>
      <c r="N51" s="358">
        <f t="shared" si="4"/>
        <v>0</v>
      </c>
      <c r="O51" s="358" t="e">
        <f t="shared" si="5"/>
        <v>#DIV/0!</v>
      </c>
      <c r="P51" s="42"/>
      <c r="Q51" s="40"/>
      <c r="R51" s="40"/>
      <c r="S51" s="40"/>
      <c r="T51" s="40"/>
      <c r="U51" s="40"/>
      <c r="V51" s="40"/>
      <c r="W51" s="40"/>
      <c r="X51" s="40"/>
      <c r="Y51" s="40"/>
      <c r="Z51" s="40"/>
      <c r="AA51" s="40"/>
      <c r="AB51" s="40"/>
      <c r="AC51" s="40"/>
      <c r="AD51" s="40"/>
      <c r="AE51" s="40"/>
      <c r="AF51" s="40"/>
      <c r="AG51" s="40"/>
    </row>
    <row r="52" spans="1:33" ht="15" customHeight="1">
      <c r="A52" s="359" t="s">
        <v>73</v>
      </c>
      <c r="B52" s="355">
        <f>SUMIF('4-Basis ruimtestaat'!B:B,'2-Kosten per locatie'!A52,'4-Basis ruimtestaat'!K:K)</f>
        <v>186</v>
      </c>
      <c r="C52" s="356"/>
      <c r="D52" s="357">
        <f>_xlfn.MAXIFS('4-Basis ruimtestaat'!M:M,'4-Basis ruimtestaat'!B:B,'2-Kosten per locatie'!A52)</f>
        <v>230</v>
      </c>
      <c r="E52" s="357">
        <f>_xlfn.MAXIFS('4-Basis ruimtestaat'!N:N,'4-Basis ruimtestaat'!B:B,'2-Kosten per locatie'!A52)</f>
        <v>0</v>
      </c>
      <c r="F52" s="357">
        <f>_xlfn.MAXIFS('4-Basis ruimtestaat'!O:O,'4-Basis ruimtestaat'!B:B,'2-Kosten per locatie'!A52)</f>
        <v>0</v>
      </c>
      <c r="G52" s="358" t="e">
        <f>SUMIF('4-Basis ruimtestaat'!B:B,'2-Kosten per locatie'!A52,'4-Basis ruimtestaat'!P:P)</f>
        <v>#DIV/0!</v>
      </c>
      <c r="H52" s="358">
        <f>SUMIF('4-Basis ruimtestaat'!B:B,'2-Kosten per locatie'!A52,'4-Basis ruimtestaat'!Q:Q)</f>
        <v>0</v>
      </c>
      <c r="I52" s="358">
        <f>SUMIF('4-Basis ruimtestaat'!B:B,'2-Kosten per locatie'!A52,'4-Basis ruimtestaat'!R:R)</f>
        <v>0</v>
      </c>
      <c r="J52" s="358" t="e">
        <f t="shared" si="0"/>
        <v>#DIV/0!</v>
      </c>
      <c r="K52" s="358">
        <f t="shared" si="1"/>
        <v>0</v>
      </c>
      <c r="L52" s="358">
        <f t="shared" si="2"/>
        <v>0</v>
      </c>
      <c r="M52" s="358" t="e">
        <f t="shared" si="3"/>
        <v>#DIV/0!</v>
      </c>
      <c r="N52" s="358">
        <f t="shared" si="4"/>
        <v>0</v>
      </c>
      <c r="O52" s="358">
        <f t="shared" si="5"/>
        <v>0</v>
      </c>
      <c r="P52" s="42"/>
      <c r="Q52" s="40"/>
      <c r="R52" s="40"/>
      <c r="S52" s="40"/>
      <c r="T52" s="40"/>
      <c r="U52" s="40"/>
      <c r="V52" s="40"/>
      <c r="W52" s="40"/>
      <c r="X52" s="40"/>
      <c r="Y52" s="40"/>
      <c r="Z52" s="40"/>
      <c r="AA52" s="40"/>
      <c r="AB52" s="40"/>
      <c r="AC52" s="40"/>
      <c r="AD52" s="40"/>
      <c r="AE52" s="40"/>
      <c r="AF52" s="40"/>
      <c r="AG52" s="40"/>
    </row>
    <row r="53" spans="1:33" ht="15" customHeight="1">
      <c r="A53" s="359" t="s">
        <v>74</v>
      </c>
      <c r="B53" s="355">
        <f>SUMIF('4-Basis ruimtestaat'!B:B,'2-Kosten per locatie'!A53,'4-Basis ruimtestaat'!K:K)</f>
        <v>3203.5</v>
      </c>
      <c r="C53" s="356"/>
      <c r="D53" s="357">
        <f>_xlfn.MAXIFS('4-Basis ruimtestaat'!M:M,'4-Basis ruimtestaat'!B:B,'2-Kosten per locatie'!A53)</f>
        <v>230</v>
      </c>
      <c r="E53" s="357">
        <f>_xlfn.MAXIFS('4-Basis ruimtestaat'!N:N,'4-Basis ruimtestaat'!B:B,'2-Kosten per locatie'!A53)</f>
        <v>200</v>
      </c>
      <c r="F53" s="357">
        <f>_xlfn.MAXIFS('4-Basis ruimtestaat'!O:O,'4-Basis ruimtestaat'!B:B,'2-Kosten per locatie'!A53)</f>
        <v>64</v>
      </c>
      <c r="G53" s="358" t="e">
        <f>SUMIF('4-Basis ruimtestaat'!B:B,'2-Kosten per locatie'!A53,'4-Basis ruimtestaat'!P:P)</f>
        <v>#DIV/0!</v>
      </c>
      <c r="H53" s="358" t="e">
        <f>SUMIF('4-Basis ruimtestaat'!B:B,'2-Kosten per locatie'!A53,'4-Basis ruimtestaat'!Q:Q)</f>
        <v>#DIV/0!</v>
      </c>
      <c r="I53" s="358" t="e">
        <f>SUMIF('4-Basis ruimtestaat'!B:B,'2-Kosten per locatie'!A53,'4-Basis ruimtestaat'!R:R)</f>
        <v>#DIV/0!</v>
      </c>
      <c r="J53" s="358" t="e">
        <f t="shared" si="0"/>
        <v>#DIV/0!</v>
      </c>
      <c r="K53" s="358" t="e">
        <f t="shared" si="1"/>
        <v>#DIV/0!</v>
      </c>
      <c r="L53" s="358" t="e">
        <f t="shared" si="2"/>
        <v>#DIV/0!</v>
      </c>
      <c r="M53" s="358" t="e">
        <f t="shared" si="3"/>
        <v>#DIV/0!</v>
      </c>
      <c r="N53" s="358" t="e">
        <f t="shared" si="4"/>
        <v>#DIV/0!</v>
      </c>
      <c r="O53" s="358" t="e">
        <f t="shared" si="5"/>
        <v>#DIV/0!</v>
      </c>
      <c r="P53" s="42"/>
      <c r="Q53" s="40"/>
      <c r="R53" s="40"/>
      <c r="S53" s="40"/>
      <c r="T53" s="40"/>
      <c r="U53" s="40"/>
      <c r="V53" s="40"/>
      <c r="W53" s="40"/>
      <c r="X53" s="40"/>
      <c r="Y53" s="40"/>
      <c r="Z53" s="40"/>
      <c r="AA53" s="40"/>
      <c r="AB53" s="40"/>
      <c r="AC53" s="40"/>
      <c r="AD53" s="40"/>
      <c r="AE53" s="40"/>
      <c r="AF53" s="40"/>
      <c r="AG53" s="40"/>
    </row>
    <row r="54" spans="1:33" ht="15" customHeight="1">
      <c r="A54" s="359" t="s">
        <v>75</v>
      </c>
      <c r="B54" s="355">
        <f>SUMIF('4-Basis ruimtestaat'!B:B,'2-Kosten per locatie'!A54,'4-Basis ruimtestaat'!K:K)</f>
        <v>162.94500000000002</v>
      </c>
      <c r="C54" s="356"/>
      <c r="D54" s="357">
        <f>_xlfn.MAXIFS('4-Basis ruimtestaat'!M:M,'4-Basis ruimtestaat'!B:B,'2-Kosten per locatie'!A54)</f>
        <v>200</v>
      </c>
      <c r="E54" s="357">
        <f>_xlfn.MAXIFS('4-Basis ruimtestaat'!N:N,'4-Basis ruimtestaat'!B:B,'2-Kosten per locatie'!A54)</f>
        <v>0</v>
      </c>
      <c r="F54" s="357">
        <f>_xlfn.MAXIFS('4-Basis ruimtestaat'!O:O,'4-Basis ruimtestaat'!B:B,'2-Kosten per locatie'!A54)</f>
        <v>0</v>
      </c>
      <c r="G54" s="358" t="e">
        <f>SUMIF('4-Basis ruimtestaat'!B:B,'2-Kosten per locatie'!A54,'4-Basis ruimtestaat'!P:P)</f>
        <v>#DIV/0!</v>
      </c>
      <c r="H54" s="358">
        <f>SUMIF('4-Basis ruimtestaat'!B:B,'2-Kosten per locatie'!A54,'4-Basis ruimtestaat'!Q:Q)</f>
        <v>0</v>
      </c>
      <c r="I54" s="358">
        <f>SUMIF('4-Basis ruimtestaat'!B:B,'2-Kosten per locatie'!A54,'4-Basis ruimtestaat'!R:R)</f>
        <v>0</v>
      </c>
      <c r="J54" s="358" t="e">
        <f t="shared" si="0"/>
        <v>#DIV/0!</v>
      </c>
      <c r="K54" s="358">
        <f t="shared" si="1"/>
        <v>0</v>
      </c>
      <c r="L54" s="358">
        <f t="shared" si="2"/>
        <v>0</v>
      </c>
      <c r="M54" s="358" t="e">
        <f t="shared" si="3"/>
        <v>#DIV/0!</v>
      </c>
      <c r="N54" s="358">
        <f t="shared" si="4"/>
        <v>0</v>
      </c>
      <c r="O54" s="358">
        <f t="shared" si="5"/>
        <v>0</v>
      </c>
      <c r="P54" s="42"/>
      <c r="Q54" s="40"/>
      <c r="R54" s="40"/>
      <c r="S54" s="40"/>
      <c r="T54" s="40"/>
      <c r="U54" s="40"/>
      <c r="V54" s="40"/>
      <c r="W54" s="40"/>
      <c r="X54" s="40"/>
      <c r="Y54" s="40"/>
      <c r="Z54" s="40"/>
      <c r="AA54" s="40"/>
      <c r="AB54" s="40"/>
      <c r="AC54" s="40"/>
      <c r="AD54" s="40"/>
      <c r="AE54" s="40"/>
      <c r="AF54" s="40"/>
      <c r="AG54" s="40"/>
    </row>
    <row r="55" spans="1:33" ht="15" customHeight="1">
      <c r="A55" s="359" t="s">
        <v>76</v>
      </c>
      <c r="B55" s="355">
        <f>SUMIF('4-Basis ruimtestaat'!B:B,'2-Kosten per locatie'!A55,'4-Basis ruimtestaat'!K:K)</f>
        <v>2166.9899999999993</v>
      </c>
      <c r="C55" s="356"/>
      <c r="D55" s="357">
        <f>_xlfn.MAXIFS('4-Basis ruimtestaat'!M:M,'4-Basis ruimtestaat'!B:B,'2-Kosten per locatie'!A55)</f>
        <v>230</v>
      </c>
      <c r="E55" s="357">
        <f>_xlfn.MAXIFS('4-Basis ruimtestaat'!N:N,'4-Basis ruimtestaat'!B:B,'2-Kosten per locatie'!A55)</f>
        <v>0</v>
      </c>
      <c r="F55" s="357">
        <f>_xlfn.MAXIFS('4-Basis ruimtestaat'!O:O,'4-Basis ruimtestaat'!B:B,'2-Kosten per locatie'!A55)</f>
        <v>92</v>
      </c>
      <c r="G55" s="358" t="e">
        <f>SUMIF('4-Basis ruimtestaat'!B:B,'2-Kosten per locatie'!A55,'4-Basis ruimtestaat'!P:P)</f>
        <v>#DIV/0!</v>
      </c>
      <c r="H55" s="358">
        <f>SUMIF('4-Basis ruimtestaat'!B:B,'2-Kosten per locatie'!A55,'4-Basis ruimtestaat'!Q:Q)</f>
        <v>0</v>
      </c>
      <c r="I55" s="358" t="e">
        <f>SUMIF('4-Basis ruimtestaat'!B:B,'2-Kosten per locatie'!A55,'4-Basis ruimtestaat'!R:R)</f>
        <v>#DIV/0!</v>
      </c>
      <c r="J55" s="358" t="e">
        <f t="shared" si="0"/>
        <v>#DIV/0!</v>
      </c>
      <c r="K55" s="358">
        <f t="shared" si="1"/>
        <v>0</v>
      </c>
      <c r="L55" s="358" t="e">
        <f t="shared" si="2"/>
        <v>#DIV/0!</v>
      </c>
      <c r="M55" s="358" t="e">
        <f t="shared" si="3"/>
        <v>#DIV/0!</v>
      </c>
      <c r="N55" s="358">
        <f t="shared" si="4"/>
        <v>0</v>
      </c>
      <c r="O55" s="358" t="e">
        <f t="shared" si="5"/>
        <v>#DIV/0!</v>
      </c>
      <c r="P55" s="42"/>
      <c r="Q55" s="40"/>
      <c r="R55" s="40"/>
      <c r="S55" s="40"/>
      <c r="T55" s="40"/>
      <c r="U55" s="40"/>
      <c r="V55" s="40"/>
      <c r="W55" s="40"/>
      <c r="X55" s="40"/>
      <c r="Y55" s="40"/>
      <c r="Z55" s="40"/>
      <c r="AA55" s="40"/>
      <c r="AB55" s="40"/>
      <c r="AC55" s="40"/>
      <c r="AD55" s="40"/>
      <c r="AE55" s="40"/>
      <c r="AF55" s="40"/>
      <c r="AG55" s="40"/>
    </row>
    <row r="56" spans="1:33" ht="15" customHeight="1">
      <c r="A56" s="359" t="s">
        <v>77</v>
      </c>
      <c r="B56" s="355">
        <f>SUMIF('4-Basis ruimtestaat'!B:B,'2-Kosten per locatie'!A56,'4-Basis ruimtestaat'!K:K)</f>
        <v>4615.4999999999982</v>
      </c>
      <c r="C56" s="356"/>
      <c r="D56" s="357">
        <f>_xlfn.MAXIFS('4-Basis ruimtestaat'!M:M,'4-Basis ruimtestaat'!B:B,'2-Kosten per locatie'!A56)</f>
        <v>230</v>
      </c>
      <c r="E56" s="357">
        <f>_xlfn.MAXIFS('4-Basis ruimtestaat'!N:N,'4-Basis ruimtestaat'!B:B,'2-Kosten per locatie'!A56)</f>
        <v>0</v>
      </c>
      <c r="F56" s="357">
        <f>_xlfn.MAXIFS('4-Basis ruimtestaat'!O:O,'4-Basis ruimtestaat'!B:B,'2-Kosten per locatie'!A56)</f>
        <v>92</v>
      </c>
      <c r="G56" s="358" t="e">
        <f>SUMIF('4-Basis ruimtestaat'!B:B,'2-Kosten per locatie'!A56,'4-Basis ruimtestaat'!P:P)</f>
        <v>#DIV/0!</v>
      </c>
      <c r="H56" s="358">
        <f>SUMIF('4-Basis ruimtestaat'!B:B,'2-Kosten per locatie'!A56,'4-Basis ruimtestaat'!Q:Q)</f>
        <v>0</v>
      </c>
      <c r="I56" s="358" t="e">
        <f>SUMIF('4-Basis ruimtestaat'!B:B,'2-Kosten per locatie'!A56,'4-Basis ruimtestaat'!R:R)</f>
        <v>#DIV/0!</v>
      </c>
      <c r="J56" s="358" t="e">
        <f t="shared" si="0"/>
        <v>#DIV/0!</v>
      </c>
      <c r="K56" s="358">
        <f t="shared" si="1"/>
        <v>0</v>
      </c>
      <c r="L56" s="358" t="e">
        <f t="shared" si="2"/>
        <v>#DIV/0!</v>
      </c>
      <c r="M56" s="358" t="e">
        <f t="shared" si="3"/>
        <v>#DIV/0!</v>
      </c>
      <c r="N56" s="358">
        <f t="shared" si="4"/>
        <v>0</v>
      </c>
      <c r="O56" s="358" t="e">
        <f t="shared" si="5"/>
        <v>#DIV/0!</v>
      </c>
      <c r="P56" s="42"/>
      <c r="Q56" s="40"/>
      <c r="R56" s="40"/>
      <c r="S56" s="40"/>
      <c r="T56" s="40"/>
      <c r="U56" s="40"/>
      <c r="V56" s="40"/>
      <c r="W56" s="40"/>
      <c r="X56" s="40"/>
      <c r="Y56" s="40"/>
      <c r="Z56" s="40"/>
      <c r="AA56" s="40"/>
      <c r="AB56" s="40"/>
      <c r="AC56" s="40"/>
      <c r="AD56" s="40"/>
      <c r="AE56" s="40"/>
      <c r="AF56" s="40"/>
      <c r="AG56" s="40"/>
    </row>
    <row r="57" spans="1:33" ht="15" customHeight="1">
      <c r="A57" s="359" t="s">
        <v>78</v>
      </c>
      <c r="B57" s="360">
        <f>SUMIF('4-Basis ruimtestaat'!B:B,'2-Kosten per locatie'!A57,'4-Basis ruimtestaat'!K:K)</f>
        <v>2558</v>
      </c>
      <c r="C57" s="356"/>
      <c r="D57" s="357">
        <f>_xlfn.MAXIFS('4-Basis ruimtestaat'!M:M,'4-Basis ruimtestaat'!B:B,'2-Kosten per locatie'!A57)</f>
        <v>230</v>
      </c>
      <c r="E57" s="357">
        <f>_xlfn.MAXIFS('4-Basis ruimtestaat'!N:N,'4-Basis ruimtestaat'!B:B,'2-Kosten per locatie'!A57)</f>
        <v>0</v>
      </c>
      <c r="F57" s="357">
        <f>_xlfn.MAXIFS('4-Basis ruimtestaat'!O:O,'4-Basis ruimtestaat'!B:B,'2-Kosten per locatie'!A57)</f>
        <v>0</v>
      </c>
      <c r="G57" s="358" t="e">
        <f>SUMIF('4-Basis ruimtestaat'!B:B,'2-Kosten per locatie'!A57,'4-Basis ruimtestaat'!P:P)</f>
        <v>#DIV/0!</v>
      </c>
      <c r="H57" s="358">
        <f>SUMIF('4-Basis ruimtestaat'!B:B,'2-Kosten per locatie'!A57,'4-Basis ruimtestaat'!Q:Q)</f>
        <v>0</v>
      </c>
      <c r="I57" s="358">
        <f>SUMIF('4-Basis ruimtestaat'!B:B,'2-Kosten per locatie'!A57,'4-Basis ruimtestaat'!R:R)</f>
        <v>0</v>
      </c>
      <c r="J57" s="358" t="e">
        <f t="shared" si="0"/>
        <v>#DIV/0!</v>
      </c>
      <c r="K57" s="358">
        <f t="shared" si="1"/>
        <v>0</v>
      </c>
      <c r="L57" s="358">
        <f t="shared" si="2"/>
        <v>0</v>
      </c>
      <c r="M57" s="358" t="e">
        <f t="shared" si="3"/>
        <v>#DIV/0!</v>
      </c>
      <c r="N57" s="358">
        <f t="shared" si="4"/>
        <v>0</v>
      </c>
      <c r="O57" s="358">
        <f t="shared" si="5"/>
        <v>0</v>
      </c>
      <c r="P57" s="42"/>
      <c r="Q57" s="40"/>
      <c r="R57" s="40"/>
      <c r="S57" s="40"/>
      <c r="T57" s="40"/>
      <c r="U57" s="40"/>
      <c r="V57" s="40"/>
      <c r="W57" s="40"/>
      <c r="X57" s="40"/>
      <c r="Y57" s="40"/>
      <c r="Z57" s="40"/>
      <c r="AA57" s="40"/>
      <c r="AB57" s="40"/>
      <c r="AC57" s="40"/>
      <c r="AD57" s="40"/>
      <c r="AE57" s="40"/>
      <c r="AF57" s="40"/>
      <c r="AG57" s="40"/>
    </row>
    <row r="58" spans="1:33" ht="15" customHeight="1">
      <c r="A58" s="359" t="s">
        <v>79</v>
      </c>
      <c r="B58" s="360">
        <f>SUMIF('4-Basis ruimtestaat'!B:B,'2-Kosten per locatie'!A58,'4-Basis ruimtestaat'!K:K)</f>
        <v>1304.5</v>
      </c>
      <c r="C58" s="356"/>
      <c r="D58" s="357">
        <f>_xlfn.MAXIFS('4-Basis ruimtestaat'!M:M,'4-Basis ruimtestaat'!B:B,'2-Kosten per locatie'!A58)</f>
        <v>230</v>
      </c>
      <c r="E58" s="357">
        <f>_xlfn.MAXIFS('4-Basis ruimtestaat'!N:N,'4-Basis ruimtestaat'!B:B,'2-Kosten per locatie'!A58)</f>
        <v>0</v>
      </c>
      <c r="F58" s="357">
        <f>_xlfn.MAXIFS('4-Basis ruimtestaat'!O:O,'4-Basis ruimtestaat'!B:B,'2-Kosten per locatie'!A58)</f>
        <v>46</v>
      </c>
      <c r="G58" s="358" t="e">
        <f>SUMIF('4-Basis ruimtestaat'!B:B,'2-Kosten per locatie'!A58,'4-Basis ruimtestaat'!P:P)</f>
        <v>#DIV/0!</v>
      </c>
      <c r="H58" s="358">
        <f>SUMIF('4-Basis ruimtestaat'!B:B,'2-Kosten per locatie'!A58,'4-Basis ruimtestaat'!Q:Q)</f>
        <v>0</v>
      </c>
      <c r="I58" s="358" t="e">
        <f>SUMIF('4-Basis ruimtestaat'!B:B,'2-Kosten per locatie'!A58,'4-Basis ruimtestaat'!R:R)</f>
        <v>#DIV/0!</v>
      </c>
      <c r="J58" s="358" t="e">
        <f t="shared" si="0"/>
        <v>#DIV/0!</v>
      </c>
      <c r="K58" s="358">
        <f t="shared" si="1"/>
        <v>0</v>
      </c>
      <c r="L58" s="358" t="e">
        <f t="shared" si="2"/>
        <v>#DIV/0!</v>
      </c>
      <c r="M58" s="358" t="e">
        <f t="shared" si="3"/>
        <v>#DIV/0!</v>
      </c>
      <c r="N58" s="358">
        <f t="shared" si="4"/>
        <v>0</v>
      </c>
      <c r="O58" s="358" t="e">
        <f t="shared" si="5"/>
        <v>#DIV/0!</v>
      </c>
      <c r="P58" s="42"/>
      <c r="Q58" s="40"/>
      <c r="R58" s="40"/>
      <c r="S58" s="40"/>
      <c r="T58" s="40"/>
      <c r="U58" s="40"/>
      <c r="V58" s="40"/>
      <c r="W58" s="40"/>
      <c r="X58" s="40"/>
      <c r="Y58" s="40"/>
      <c r="Z58" s="40"/>
      <c r="AA58" s="40"/>
      <c r="AB58" s="40"/>
      <c r="AC58" s="40"/>
      <c r="AD58" s="40"/>
      <c r="AE58" s="40"/>
      <c r="AF58" s="40"/>
      <c r="AG58" s="40"/>
    </row>
    <row r="59" spans="1:33" ht="15" customHeight="1">
      <c r="A59" s="359" t="s">
        <v>80</v>
      </c>
      <c r="B59" s="360">
        <f>SUMIF('4-Basis ruimtestaat'!B:B,'2-Kosten per locatie'!A59,'4-Basis ruimtestaat'!K:K)</f>
        <v>185.2</v>
      </c>
      <c r="C59" s="356"/>
      <c r="D59" s="357">
        <f>_xlfn.MAXIFS('4-Basis ruimtestaat'!M:M,'4-Basis ruimtestaat'!B:B,'2-Kosten per locatie'!A59)</f>
        <v>130</v>
      </c>
      <c r="E59" s="357">
        <f>_xlfn.MAXIFS('4-Basis ruimtestaat'!N:N,'4-Basis ruimtestaat'!B:B,'2-Kosten per locatie'!A59)</f>
        <v>0</v>
      </c>
      <c r="F59" s="357">
        <f>_xlfn.MAXIFS('4-Basis ruimtestaat'!O:O,'4-Basis ruimtestaat'!B:B,'2-Kosten per locatie'!A59)</f>
        <v>0</v>
      </c>
      <c r="G59" s="358" t="e">
        <f>SUMIF('4-Basis ruimtestaat'!B:B,'2-Kosten per locatie'!A59,'4-Basis ruimtestaat'!P:P)</f>
        <v>#DIV/0!</v>
      </c>
      <c r="H59" s="358">
        <f>SUMIF('4-Basis ruimtestaat'!B:B,'2-Kosten per locatie'!A59,'4-Basis ruimtestaat'!Q:Q)</f>
        <v>0</v>
      </c>
      <c r="I59" s="358">
        <f>SUMIF('4-Basis ruimtestaat'!B:B,'2-Kosten per locatie'!A59,'4-Basis ruimtestaat'!R:R)</f>
        <v>0</v>
      </c>
      <c r="J59" s="358" t="e">
        <f t="shared" si="0"/>
        <v>#DIV/0!</v>
      </c>
      <c r="K59" s="358">
        <f t="shared" si="1"/>
        <v>0</v>
      </c>
      <c r="L59" s="358">
        <f t="shared" si="2"/>
        <v>0</v>
      </c>
      <c r="M59" s="358" t="e">
        <f t="shared" si="3"/>
        <v>#DIV/0!</v>
      </c>
      <c r="N59" s="358">
        <f t="shared" si="4"/>
        <v>0</v>
      </c>
      <c r="O59" s="358">
        <f t="shared" si="5"/>
        <v>0</v>
      </c>
      <c r="P59" s="42"/>
      <c r="Q59" s="40"/>
      <c r="R59" s="40"/>
      <c r="S59" s="40"/>
      <c r="T59" s="40"/>
      <c r="U59" s="40"/>
      <c r="V59" s="40"/>
      <c r="W59" s="40"/>
      <c r="X59" s="40"/>
      <c r="Y59" s="40"/>
      <c r="Z59" s="40"/>
      <c r="AA59" s="40"/>
      <c r="AB59" s="40"/>
      <c r="AC59" s="40"/>
      <c r="AD59" s="40"/>
      <c r="AE59" s="40"/>
      <c r="AF59" s="40"/>
      <c r="AG59" s="40"/>
    </row>
    <row r="60" spans="1:33" ht="15" customHeight="1">
      <c r="A60" s="359" t="s">
        <v>81</v>
      </c>
      <c r="B60" s="360">
        <f>SUMIF('4-Basis ruimtestaat'!B:B,'2-Kosten per locatie'!A60,'4-Basis ruimtestaat'!K:K)</f>
        <v>186.09</v>
      </c>
      <c r="C60" s="356"/>
      <c r="D60" s="357">
        <f>_xlfn.MAXIFS('4-Basis ruimtestaat'!M:M,'4-Basis ruimtestaat'!B:B,'2-Kosten per locatie'!A60)</f>
        <v>130</v>
      </c>
      <c r="E60" s="357">
        <f>_xlfn.MAXIFS('4-Basis ruimtestaat'!N:N,'4-Basis ruimtestaat'!B:B,'2-Kosten per locatie'!A60)</f>
        <v>0</v>
      </c>
      <c r="F60" s="357">
        <f>_xlfn.MAXIFS('4-Basis ruimtestaat'!O:O,'4-Basis ruimtestaat'!B:B,'2-Kosten per locatie'!A60)</f>
        <v>0</v>
      </c>
      <c r="G60" s="358" t="e">
        <f>SUMIF('4-Basis ruimtestaat'!B:B,'2-Kosten per locatie'!A60,'4-Basis ruimtestaat'!P:P)</f>
        <v>#DIV/0!</v>
      </c>
      <c r="H60" s="358">
        <f>SUMIF('4-Basis ruimtestaat'!B:B,'2-Kosten per locatie'!A60,'4-Basis ruimtestaat'!Q:Q)</f>
        <v>0</v>
      </c>
      <c r="I60" s="358">
        <f>SUMIF('4-Basis ruimtestaat'!B:B,'2-Kosten per locatie'!A60,'4-Basis ruimtestaat'!R:R)</f>
        <v>0</v>
      </c>
      <c r="J60" s="358" t="e">
        <f t="shared" si="0"/>
        <v>#DIV/0!</v>
      </c>
      <c r="K60" s="358">
        <f t="shared" si="1"/>
        <v>0</v>
      </c>
      <c r="L60" s="358">
        <f t="shared" si="2"/>
        <v>0</v>
      </c>
      <c r="M60" s="358" t="e">
        <f t="shared" si="3"/>
        <v>#DIV/0!</v>
      </c>
      <c r="N60" s="358">
        <f t="shared" si="4"/>
        <v>0</v>
      </c>
      <c r="O60" s="358">
        <f t="shared" si="5"/>
        <v>0</v>
      </c>
      <c r="P60" s="42"/>
      <c r="Q60" s="40"/>
      <c r="R60" s="40"/>
      <c r="S60" s="40"/>
      <c r="T60" s="40"/>
      <c r="U60" s="40"/>
      <c r="V60" s="40"/>
      <c r="W60" s="40"/>
      <c r="X60" s="40"/>
      <c r="Y60" s="40"/>
      <c r="Z60" s="40"/>
      <c r="AA60" s="40"/>
      <c r="AB60" s="40"/>
      <c r="AC60" s="40"/>
      <c r="AD60" s="40"/>
      <c r="AE60" s="40"/>
      <c r="AF60" s="40"/>
      <c r="AG60" s="40"/>
    </row>
    <row r="61" spans="1:33" ht="15" customHeight="1">
      <c r="A61" s="359" t="s">
        <v>82</v>
      </c>
      <c r="B61" s="360">
        <f>SUMIF('4-Basis ruimtestaat'!B:B,'2-Kosten per locatie'!A61,'4-Basis ruimtestaat'!K:K)</f>
        <v>0</v>
      </c>
      <c r="C61" s="356"/>
      <c r="D61" s="357">
        <f>_xlfn.MAXIFS('4-Basis ruimtestaat'!M:M,'4-Basis ruimtestaat'!B:B,'2-Kosten per locatie'!A61)</f>
        <v>0</v>
      </c>
      <c r="E61" s="357">
        <f>_xlfn.MAXIFS('4-Basis ruimtestaat'!N:N,'4-Basis ruimtestaat'!B:B,'2-Kosten per locatie'!A61)</f>
        <v>0</v>
      </c>
      <c r="F61" s="357">
        <f>_xlfn.MAXIFS('4-Basis ruimtestaat'!O:O,'4-Basis ruimtestaat'!B:B,'2-Kosten per locatie'!A61)</f>
        <v>0</v>
      </c>
      <c r="G61" s="358">
        <f>SUMIF('4-Basis ruimtestaat'!B:B,'2-Kosten per locatie'!A61,'4-Basis ruimtestaat'!P:P)</f>
        <v>0</v>
      </c>
      <c r="H61" s="358">
        <f>SUMIF('4-Basis ruimtestaat'!B:B,'2-Kosten per locatie'!A61,'4-Basis ruimtestaat'!Q:Q)</f>
        <v>0</v>
      </c>
      <c r="I61" s="358">
        <f>SUMIF('4-Basis ruimtestaat'!B:B,'2-Kosten per locatie'!A61,'4-Basis ruimtestaat'!R:R)</f>
        <v>0</v>
      </c>
      <c r="J61" s="358">
        <f t="shared" si="0"/>
        <v>0</v>
      </c>
      <c r="K61" s="358">
        <f t="shared" si="1"/>
        <v>0</v>
      </c>
      <c r="L61" s="358">
        <f t="shared" si="2"/>
        <v>0</v>
      </c>
      <c r="M61" s="358">
        <f t="shared" si="3"/>
        <v>0</v>
      </c>
      <c r="N61" s="358">
        <f t="shared" si="4"/>
        <v>0</v>
      </c>
      <c r="O61" s="358">
        <f t="shared" si="5"/>
        <v>0</v>
      </c>
      <c r="P61" s="42"/>
      <c r="Q61" s="40"/>
      <c r="R61" s="40"/>
      <c r="S61" s="40"/>
      <c r="T61" s="40"/>
      <c r="U61" s="40"/>
      <c r="V61" s="40"/>
      <c r="W61" s="40"/>
      <c r="X61" s="40"/>
      <c r="Y61" s="40"/>
      <c r="Z61" s="40"/>
      <c r="AA61" s="40"/>
      <c r="AB61" s="40"/>
      <c r="AC61" s="40"/>
      <c r="AD61" s="40"/>
      <c r="AE61" s="40"/>
      <c r="AF61" s="40"/>
      <c r="AG61" s="40"/>
    </row>
    <row r="62" spans="1:33" s="55" customFormat="1" ht="15" customHeight="1">
      <c r="A62" s="361" t="s">
        <v>83</v>
      </c>
      <c r="B62" s="362">
        <f>SUM(B15:B61)</f>
        <v>37871.554999999993</v>
      </c>
      <c r="C62" s="363"/>
      <c r="D62" s="364"/>
      <c r="E62" s="364"/>
      <c r="F62" s="364"/>
      <c r="G62" s="365" t="e">
        <f t="shared" ref="G62:O62" si="6">SUM(G15:G61)</f>
        <v>#DIV/0!</v>
      </c>
      <c r="H62" s="365" t="e">
        <f t="shared" si="6"/>
        <v>#DIV/0!</v>
      </c>
      <c r="I62" s="365" t="e">
        <f t="shared" si="6"/>
        <v>#DIV/0!</v>
      </c>
      <c r="J62" s="365" t="e">
        <f t="shared" si="6"/>
        <v>#DIV/0!</v>
      </c>
      <c r="K62" s="365" t="e">
        <f t="shared" si="6"/>
        <v>#DIV/0!</v>
      </c>
      <c r="L62" s="365" t="e">
        <f t="shared" si="6"/>
        <v>#DIV/0!</v>
      </c>
      <c r="M62" s="365" t="e">
        <f t="shared" si="6"/>
        <v>#DIV/0!</v>
      </c>
      <c r="N62" s="365" t="e">
        <f t="shared" si="6"/>
        <v>#DIV/0!</v>
      </c>
      <c r="O62" s="365" t="e">
        <f t="shared" si="6"/>
        <v>#DIV/0!</v>
      </c>
      <c r="P62" s="42"/>
    </row>
    <row r="63" spans="1:33" s="54" customFormat="1" ht="14.1" customHeight="1">
      <c r="AD63" s="40"/>
    </row>
    <row r="64" spans="1:33" ht="83.4" customHeight="1">
      <c r="A64" s="366" t="s">
        <v>21</v>
      </c>
      <c r="B64" s="367" t="s">
        <v>84</v>
      </c>
      <c r="C64" s="367" t="s">
        <v>85</v>
      </c>
      <c r="D64" s="367" t="s">
        <v>86</v>
      </c>
      <c r="E64" s="367" t="s">
        <v>87</v>
      </c>
      <c r="F64" s="367" t="s">
        <v>88</v>
      </c>
      <c r="G64" s="367" t="s">
        <v>89</v>
      </c>
      <c r="H64" s="367" t="s">
        <v>90</v>
      </c>
      <c r="I64" s="353" t="s">
        <v>91</v>
      </c>
      <c r="J64" s="367" t="s">
        <v>92</v>
      </c>
      <c r="K64" s="367" t="s">
        <v>93</v>
      </c>
      <c r="L64" s="367" t="s">
        <v>94</v>
      </c>
      <c r="M64" s="367" t="s">
        <v>95</v>
      </c>
      <c r="N64" s="367" t="s">
        <v>96</v>
      </c>
      <c r="AA64" s="54"/>
      <c r="AB64" s="40"/>
      <c r="AC64" s="40"/>
      <c r="AD64" s="40"/>
      <c r="AE64" s="40"/>
      <c r="AF64" s="40"/>
      <c r="AG64" s="40"/>
    </row>
    <row r="65" spans="1:33" ht="15" customHeight="1">
      <c r="A65" s="359" t="str">
        <f t="shared" ref="A65:A111" si="7">A15</f>
        <v>Bijdorplaan 471-477 2713 SZ</v>
      </c>
      <c r="B65" s="368" t="e">
        <f>(G15+J15)*'6-Opbouw uurtarief productie'!$E$47</f>
        <v>#DIV/0!</v>
      </c>
      <c r="C65" s="368" t="e">
        <f>(H15+K15)*'6-Opbouw uurtarief productie'!$E$47</f>
        <v>#DIV/0!</v>
      </c>
      <c r="D65" s="369" t="e">
        <f>(I15+L15)*'6-Opbouw uurtarief productie'!$E$51</f>
        <v>#DIV/0!</v>
      </c>
      <c r="E65" s="370" t="e">
        <f t="shared" ref="E65:E111" si="8">SUM(B65:D65)</f>
        <v>#DIV/0!</v>
      </c>
      <c r="F65" s="370" t="e">
        <f>M15*'7-Opbouw uurtarief toezicht'!$E$47</f>
        <v>#DIV/0!</v>
      </c>
      <c r="G65" s="370" t="e">
        <f>N15*'7-Opbouw uurtarief toezicht'!$E$47</f>
        <v>#DIV/0!</v>
      </c>
      <c r="H65" s="371" t="e">
        <f>O15*'7-Opbouw uurtarief toezicht'!$E$51</f>
        <v>#DIV/0!</v>
      </c>
      <c r="I65" s="372" t="e">
        <f t="shared" ref="I65:I111" si="9">SUM(F65:H65)</f>
        <v>#DIV/0!</v>
      </c>
      <c r="J65" s="373">
        <f>SUMIF('11-Vloeronderhoud'!A:A,'2-Kosten per locatie'!A65,'11-Vloeronderhoud'!I:I)</f>
        <v>0</v>
      </c>
      <c r="K65" s="371">
        <f>SUMIF('8-Additionele kosten'!A:A,'2-Kosten per locatie'!A65,'8-Additionele kosten'!I:I)</f>
        <v>0</v>
      </c>
      <c r="L65" s="371">
        <f>SUMIF('10-Glasbewassing'!A:A,'2-Kosten per locatie'!A65,'10-Glasbewassing'!J:J)</f>
        <v>0</v>
      </c>
      <c r="M65" s="371" t="e">
        <f>E65+I65+J65+K65+L65</f>
        <v>#DIV/0!</v>
      </c>
      <c r="N65" s="371" t="e">
        <f t="shared" ref="N65:N66" si="10">M65/12</f>
        <v>#DIV/0!</v>
      </c>
      <c r="AA65" s="54"/>
      <c r="AB65" s="40"/>
      <c r="AC65" s="40"/>
      <c r="AD65" s="40"/>
      <c r="AE65" s="40"/>
      <c r="AF65" s="40"/>
      <c r="AG65" s="40"/>
    </row>
    <row r="66" spans="1:33" ht="15" customHeight="1">
      <c r="A66" s="359" t="str">
        <f t="shared" si="7"/>
        <v>Broekwegschouw 199 2726 LC</v>
      </c>
      <c r="B66" s="368" t="e">
        <f>(G16+J16)*'6-Opbouw uurtarief productie'!$E$47</f>
        <v>#DIV/0!</v>
      </c>
      <c r="C66" s="368" t="e">
        <f>(H16+K16)*'6-Opbouw uurtarief productie'!$E$47</f>
        <v>#DIV/0!</v>
      </c>
      <c r="D66" s="369" t="e">
        <f>(I16+L16)*'6-Opbouw uurtarief productie'!$E$51</f>
        <v>#DIV/0!</v>
      </c>
      <c r="E66" s="370" t="e">
        <f t="shared" si="8"/>
        <v>#DIV/0!</v>
      </c>
      <c r="F66" s="370" t="e">
        <f>M16*'7-Opbouw uurtarief toezicht'!$E$47</f>
        <v>#DIV/0!</v>
      </c>
      <c r="G66" s="370" t="e">
        <f>N16*'7-Opbouw uurtarief toezicht'!$E$47</f>
        <v>#DIV/0!</v>
      </c>
      <c r="H66" s="371" t="e">
        <f>O16*'7-Opbouw uurtarief toezicht'!$E$51</f>
        <v>#DIV/0!</v>
      </c>
      <c r="I66" s="372" t="e">
        <f t="shared" si="9"/>
        <v>#DIV/0!</v>
      </c>
      <c r="J66" s="373">
        <f>SUMIF('11-Vloeronderhoud'!A:A,'2-Kosten per locatie'!A66,'11-Vloeronderhoud'!I:I)</f>
        <v>0</v>
      </c>
      <c r="K66" s="371">
        <f>SUMIF('8-Additionele kosten'!A:A,'2-Kosten per locatie'!A66,'8-Additionele kosten'!I:I)</f>
        <v>0</v>
      </c>
      <c r="L66" s="371">
        <f>SUMIF('10-Glasbewassing'!A:A,'2-Kosten per locatie'!A66,'10-Glasbewassing'!J:J)</f>
        <v>0</v>
      </c>
      <c r="M66" s="371" t="e">
        <f t="shared" ref="M66:M111" si="11">E66+I66+J66+K66+L66</f>
        <v>#DIV/0!</v>
      </c>
      <c r="N66" s="371" t="e">
        <f t="shared" si="10"/>
        <v>#DIV/0!</v>
      </c>
      <c r="AA66" s="54"/>
      <c r="AB66" s="40"/>
      <c r="AC66" s="40"/>
      <c r="AD66" s="40"/>
      <c r="AE66" s="40"/>
      <c r="AF66" s="40"/>
      <c r="AG66" s="40"/>
    </row>
    <row r="67" spans="1:33" ht="15" customHeight="1">
      <c r="A67" s="359" t="str">
        <f t="shared" si="7"/>
        <v>Hoflaan 2 2717 AW</v>
      </c>
      <c r="B67" s="368" t="e">
        <f>(G17+J17)*'6-Opbouw uurtarief productie'!$E$47</f>
        <v>#DIV/0!</v>
      </c>
      <c r="C67" s="368" t="e">
        <f>(H17+K17)*'6-Opbouw uurtarief productie'!$E$47</f>
        <v>#DIV/0!</v>
      </c>
      <c r="D67" s="369" t="e">
        <f>(I17+L17)*'6-Opbouw uurtarief productie'!$E$51</f>
        <v>#DIV/0!</v>
      </c>
      <c r="E67" s="370" t="e">
        <f t="shared" si="8"/>
        <v>#DIV/0!</v>
      </c>
      <c r="F67" s="370" t="e">
        <f>M17*'7-Opbouw uurtarief toezicht'!$E$47</f>
        <v>#DIV/0!</v>
      </c>
      <c r="G67" s="370" t="e">
        <f>N17*'7-Opbouw uurtarief toezicht'!$E$47</f>
        <v>#DIV/0!</v>
      </c>
      <c r="H67" s="371" t="e">
        <f>O17*'7-Opbouw uurtarief toezicht'!$E$51</f>
        <v>#DIV/0!</v>
      </c>
      <c r="I67" s="372" t="e">
        <f t="shared" si="9"/>
        <v>#DIV/0!</v>
      </c>
      <c r="J67" s="373">
        <f>SUMIF('11-Vloeronderhoud'!A:A,'2-Kosten per locatie'!A67,'11-Vloeronderhoud'!I:I)</f>
        <v>0</v>
      </c>
      <c r="K67" s="371">
        <f>SUMIF('8-Additionele kosten'!A:A,'2-Kosten per locatie'!A67,'8-Additionele kosten'!I:I)</f>
        <v>0</v>
      </c>
      <c r="L67" s="371">
        <f>SUMIF('10-Glasbewassing'!A:A,'2-Kosten per locatie'!A67,'10-Glasbewassing'!J:J)</f>
        <v>0</v>
      </c>
      <c r="M67" s="371" t="e">
        <f t="shared" si="11"/>
        <v>#DIV/0!</v>
      </c>
      <c r="N67" s="371" t="e">
        <f t="shared" ref="N67:N85" si="12">M67/12</f>
        <v>#DIV/0!</v>
      </c>
      <c r="AA67" s="54"/>
      <c r="AB67" s="40"/>
      <c r="AC67" s="40"/>
      <c r="AD67" s="40"/>
      <c r="AE67" s="40"/>
      <c r="AF67" s="40"/>
      <c r="AG67" s="40"/>
    </row>
    <row r="68" spans="1:33" ht="15" customHeight="1">
      <c r="A68" s="359" t="str">
        <f t="shared" si="7"/>
        <v>Nathaliegang 81 2719 CR</v>
      </c>
      <c r="B68" s="368" t="e">
        <f>(G18+J18)*'6-Opbouw uurtarief productie'!$E$47</f>
        <v>#DIV/0!</v>
      </c>
      <c r="C68" s="368" t="e">
        <f>(H18+K18)*'6-Opbouw uurtarief productie'!$E$47</f>
        <v>#DIV/0!</v>
      </c>
      <c r="D68" s="369" t="e">
        <f>(I18+L18)*'6-Opbouw uurtarief productie'!$E$51</f>
        <v>#DIV/0!</v>
      </c>
      <c r="E68" s="370" t="e">
        <f t="shared" si="8"/>
        <v>#DIV/0!</v>
      </c>
      <c r="F68" s="370" t="e">
        <f>M18*'7-Opbouw uurtarief toezicht'!$E$47</f>
        <v>#DIV/0!</v>
      </c>
      <c r="G68" s="370" t="e">
        <f>N18*'7-Opbouw uurtarief toezicht'!$E$47</f>
        <v>#DIV/0!</v>
      </c>
      <c r="H68" s="371" t="e">
        <f>O18*'7-Opbouw uurtarief toezicht'!$E$51</f>
        <v>#DIV/0!</v>
      </c>
      <c r="I68" s="372" t="e">
        <f t="shared" si="9"/>
        <v>#DIV/0!</v>
      </c>
      <c r="J68" s="373">
        <f>SUMIF('11-Vloeronderhoud'!A:A,'2-Kosten per locatie'!A68,'11-Vloeronderhoud'!I:I)</f>
        <v>0</v>
      </c>
      <c r="K68" s="371">
        <f>SUMIF('8-Additionele kosten'!A:A,'2-Kosten per locatie'!A68,'8-Additionele kosten'!I:I)</f>
        <v>0</v>
      </c>
      <c r="L68" s="371">
        <f>SUMIF('10-Glasbewassing'!A:A,'2-Kosten per locatie'!A68,'10-Glasbewassing'!J:J)</f>
        <v>0</v>
      </c>
      <c r="M68" s="371" t="e">
        <f t="shared" si="11"/>
        <v>#DIV/0!</v>
      </c>
      <c r="N68" s="371" t="e">
        <f t="shared" si="12"/>
        <v>#DIV/0!</v>
      </c>
      <c r="AA68" s="54"/>
      <c r="AB68" s="40"/>
      <c r="AC68" s="40"/>
      <c r="AD68" s="40"/>
      <c r="AE68" s="40"/>
      <c r="AF68" s="40"/>
      <c r="AG68" s="40"/>
    </row>
    <row r="69" spans="1:33" ht="15" customHeight="1">
      <c r="A69" s="359" t="str">
        <f t="shared" si="7"/>
        <v>Nathaliegang 79 2719 CR</v>
      </c>
      <c r="B69" s="368" t="e">
        <f>(G19+J19)*'6-Opbouw uurtarief productie'!$E$47</f>
        <v>#DIV/0!</v>
      </c>
      <c r="C69" s="368" t="e">
        <f>(H19+K19)*'6-Opbouw uurtarief productie'!$E$47</f>
        <v>#DIV/0!</v>
      </c>
      <c r="D69" s="369" t="e">
        <f>(I19+L19)*'6-Opbouw uurtarief productie'!$E$51</f>
        <v>#DIV/0!</v>
      </c>
      <c r="E69" s="370" t="e">
        <f t="shared" si="8"/>
        <v>#DIV/0!</v>
      </c>
      <c r="F69" s="370" t="e">
        <f>M19*'7-Opbouw uurtarief toezicht'!$E$47</f>
        <v>#DIV/0!</v>
      </c>
      <c r="G69" s="370" t="e">
        <f>N19*'7-Opbouw uurtarief toezicht'!$E$47</f>
        <v>#DIV/0!</v>
      </c>
      <c r="H69" s="371" t="e">
        <f>O19*'7-Opbouw uurtarief toezicht'!$E$51</f>
        <v>#DIV/0!</v>
      </c>
      <c r="I69" s="372" t="e">
        <f t="shared" si="9"/>
        <v>#DIV/0!</v>
      </c>
      <c r="J69" s="373">
        <f>SUMIF('11-Vloeronderhoud'!A:A,'2-Kosten per locatie'!A69,'11-Vloeronderhoud'!I:I)</f>
        <v>0</v>
      </c>
      <c r="K69" s="371">
        <f>SUMIF('8-Additionele kosten'!A:A,'2-Kosten per locatie'!A69,'8-Additionele kosten'!I:I)</f>
        <v>0</v>
      </c>
      <c r="L69" s="371">
        <f>SUMIF('10-Glasbewassing'!A:A,'2-Kosten per locatie'!A69,'10-Glasbewassing'!J:J)</f>
        <v>0</v>
      </c>
      <c r="M69" s="371" t="e">
        <f t="shared" si="11"/>
        <v>#DIV/0!</v>
      </c>
      <c r="N69" s="371" t="e">
        <f t="shared" si="12"/>
        <v>#DIV/0!</v>
      </c>
      <c r="AA69" s="54"/>
      <c r="AB69" s="40"/>
      <c r="AC69" s="40"/>
      <c r="AD69" s="40"/>
      <c r="AE69" s="40"/>
      <c r="AF69" s="40"/>
      <c r="AG69" s="40"/>
    </row>
    <row r="70" spans="1:33" ht="15" customHeight="1">
      <c r="A70" s="359" t="str">
        <f t="shared" si="7"/>
        <v>Oosterheemplein 198 2729 GE</v>
      </c>
      <c r="B70" s="368" t="e">
        <f>(G20+J20)*'6-Opbouw uurtarief productie'!$E$47</f>
        <v>#DIV/0!</v>
      </c>
      <c r="C70" s="368" t="e">
        <f>(H20+K20)*'6-Opbouw uurtarief productie'!$E$47</f>
        <v>#DIV/0!</v>
      </c>
      <c r="D70" s="369" t="e">
        <f>(I20+L20)*'6-Opbouw uurtarief productie'!$E$51</f>
        <v>#DIV/0!</v>
      </c>
      <c r="E70" s="370" t="e">
        <f t="shared" si="8"/>
        <v>#DIV/0!</v>
      </c>
      <c r="F70" s="370" t="e">
        <f>M20*'7-Opbouw uurtarief toezicht'!$E$47</f>
        <v>#DIV/0!</v>
      </c>
      <c r="G70" s="370" t="e">
        <f>N20*'7-Opbouw uurtarief toezicht'!$E$47</f>
        <v>#DIV/0!</v>
      </c>
      <c r="H70" s="371" t="e">
        <f>O20*'7-Opbouw uurtarief toezicht'!$E$51</f>
        <v>#DIV/0!</v>
      </c>
      <c r="I70" s="372" t="e">
        <f t="shared" si="9"/>
        <v>#DIV/0!</v>
      </c>
      <c r="J70" s="373">
        <f>SUMIF('11-Vloeronderhoud'!A:A,'2-Kosten per locatie'!A70,'11-Vloeronderhoud'!I:I)</f>
        <v>0</v>
      </c>
      <c r="K70" s="371">
        <f>SUMIF('8-Additionele kosten'!A:A,'2-Kosten per locatie'!A70,'8-Additionele kosten'!I:I)</f>
        <v>0</v>
      </c>
      <c r="L70" s="374">
        <f>SUMIF('10-Glasbewassing'!A:A,'2-Kosten per locatie'!A70,'10-Glasbewassing'!J:J)</f>
        <v>0</v>
      </c>
      <c r="M70" s="371" t="e">
        <f t="shared" si="11"/>
        <v>#DIV/0!</v>
      </c>
      <c r="N70" s="371" t="e">
        <f t="shared" si="12"/>
        <v>#DIV/0!</v>
      </c>
      <c r="AA70" s="54"/>
      <c r="AB70" s="40"/>
      <c r="AC70" s="40"/>
      <c r="AD70" s="40"/>
      <c r="AE70" s="40"/>
      <c r="AF70" s="40"/>
      <c r="AG70" s="40"/>
    </row>
    <row r="71" spans="1:33" ht="15" customHeight="1">
      <c r="A71" s="359" t="str">
        <f t="shared" si="7"/>
        <v>Uiterwaard 21-31 2716 VA</v>
      </c>
      <c r="B71" s="368" t="e">
        <f>(G21+J21)*'6-Opbouw uurtarief productie'!$E$47</f>
        <v>#DIV/0!</v>
      </c>
      <c r="C71" s="368" t="e">
        <f>(H21+K21)*'6-Opbouw uurtarief productie'!$E$47</f>
        <v>#DIV/0!</v>
      </c>
      <c r="D71" s="369" t="e">
        <f>(I21+L21)*'6-Opbouw uurtarief productie'!$E$51</f>
        <v>#DIV/0!</v>
      </c>
      <c r="E71" s="370" t="e">
        <f t="shared" si="8"/>
        <v>#DIV/0!</v>
      </c>
      <c r="F71" s="370" t="e">
        <f>M21*'7-Opbouw uurtarief toezicht'!$E$47</f>
        <v>#DIV/0!</v>
      </c>
      <c r="G71" s="370" t="e">
        <f>N21*'7-Opbouw uurtarief toezicht'!$E$47</f>
        <v>#DIV/0!</v>
      </c>
      <c r="H71" s="371" t="e">
        <f>O21*'7-Opbouw uurtarief toezicht'!$E$51</f>
        <v>#DIV/0!</v>
      </c>
      <c r="I71" s="372" t="e">
        <f t="shared" si="9"/>
        <v>#DIV/0!</v>
      </c>
      <c r="J71" s="373">
        <f>SUMIF('11-Vloeronderhoud'!A:A,'2-Kosten per locatie'!A71,'11-Vloeronderhoud'!I:I)</f>
        <v>0</v>
      </c>
      <c r="K71" s="371">
        <f>SUMIF('8-Additionele kosten'!A:A,'2-Kosten per locatie'!A71,'8-Additionele kosten'!I:I)</f>
        <v>0</v>
      </c>
      <c r="L71" s="371">
        <f>SUMIF('10-Glasbewassing'!A:A,'2-Kosten per locatie'!A71,'10-Glasbewassing'!J:J)</f>
        <v>0</v>
      </c>
      <c r="M71" s="371" t="e">
        <f t="shared" si="11"/>
        <v>#DIV/0!</v>
      </c>
      <c r="N71" s="371" t="e">
        <f>M71/12</f>
        <v>#DIV/0!</v>
      </c>
      <c r="AA71" s="54"/>
      <c r="AB71" s="40"/>
      <c r="AC71" s="40"/>
      <c r="AD71" s="40"/>
      <c r="AE71" s="40"/>
      <c r="AF71" s="40"/>
      <c r="AG71" s="40"/>
    </row>
    <row r="72" spans="1:33" ht="15" customHeight="1">
      <c r="A72" s="359" t="str">
        <f t="shared" si="7"/>
        <v>Petuniatuin 7a 2724 NB</v>
      </c>
      <c r="B72" s="368" t="e">
        <f>(G22+J22)*'6-Opbouw uurtarief productie'!$E$47</f>
        <v>#DIV/0!</v>
      </c>
      <c r="C72" s="368" t="e">
        <f>(H22+K22)*'6-Opbouw uurtarief productie'!$E$47</f>
        <v>#DIV/0!</v>
      </c>
      <c r="D72" s="369" t="e">
        <f>(I22+L22)*'6-Opbouw uurtarief productie'!$E$51</f>
        <v>#DIV/0!</v>
      </c>
      <c r="E72" s="370" t="e">
        <f t="shared" si="8"/>
        <v>#DIV/0!</v>
      </c>
      <c r="F72" s="370" t="e">
        <f>M22*'7-Opbouw uurtarief toezicht'!$E$47</f>
        <v>#DIV/0!</v>
      </c>
      <c r="G72" s="370" t="e">
        <f>N22*'7-Opbouw uurtarief toezicht'!$E$47</f>
        <v>#DIV/0!</v>
      </c>
      <c r="H72" s="371" t="e">
        <f>O22*'7-Opbouw uurtarief toezicht'!$E$51</f>
        <v>#DIV/0!</v>
      </c>
      <c r="I72" s="372" t="e">
        <f t="shared" si="9"/>
        <v>#DIV/0!</v>
      </c>
      <c r="J72" s="373">
        <f>SUMIF('11-Vloeronderhoud'!A:A,'2-Kosten per locatie'!A72,'11-Vloeronderhoud'!I:I)</f>
        <v>0</v>
      </c>
      <c r="K72" s="371">
        <f>SUMIF('8-Additionele kosten'!A:A,'2-Kosten per locatie'!A72,'8-Additionele kosten'!I:I)</f>
        <v>0</v>
      </c>
      <c r="L72" s="371">
        <f>SUMIF('10-Glasbewassing'!A:A,'2-Kosten per locatie'!A72,'10-Glasbewassing'!J:J)</f>
        <v>0</v>
      </c>
      <c r="M72" s="371" t="e">
        <f t="shared" si="11"/>
        <v>#DIV/0!</v>
      </c>
      <c r="N72" s="371" t="e">
        <f t="shared" ref="N72" si="13">M72/12</f>
        <v>#DIV/0!</v>
      </c>
      <c r="AA72" s="54"/>
      <c r="AB72" s="40"/>
      <c r="AC72" s="40"/>
      <c r="AD72" s="40"/>
      <c r="AE72" s="40"/>
      <c r="AF72" s="40"/>
      <c r="AG72" s="40"/>
    </row>
    <row r="73" spans="1:33" ht="15" customHeight="1">
      <c r="A73" s="359" t="str">
        <f t="shared" si="7"/>
        <v>Croesinckplein 24-26</v>
      </c>
      <c r="B73" s="368" t="e">
        <f>(G23+J23)*'6-Opbouw uurtarief productie'!$E$47</f>
        <v>#DIV/0!</v>
      </c>
      <c r="C73" s="368" t="e">
        <f>(H23+K23)*'6-Opbouw uurtarief productie'!$E$47</f>
        <v>#DIV/0!</v>
      </c>
      <c r="D73" s="369" t="e">
        <f>(I23+L23)*'6-Opbouw uurtarief productie'!$E$51</f>
        <v>#DIV/0!</v>
      </c>
      <c r="E73" s="370" t="e">
        <f t="shared" si="8"/>
        <v>#DIV/0!</v>
      </c>
      <c r="F73" s="370" t="e">
        <f>M23*'7-Opbouw uurtarief toezicht'!$E$47</f>
        <v>#DIV/0!</v>
      </c>
      <c r="G73" s="370" t="e">
        <f>N23*'7-Opbouw uurtarief toezicht'!$E$47</f>
        <v>#DIV/0!</v>
      </c>
      <c r="H73" s="371" t="e">
        <f>O23*'7-Opbouw uurtarief toezicht'!$E$51</f>
        <v>#DIV/0!</v>
      </c>
      <c r="I73" s="372" t="e">
        <f t="shared" si="9"/>
        <v>#DIV/0!</v>
      </c>
      <c r="J73" s="373">
        <f>SUMIF('11-Vloeronderhoud'!A:A,'2-Kosten per locatie'!A73,'11-Vloeronderhoud'!I:I)</f>
        <v>0</v>
      </c>
      <c r="K73" s="371">
        <f>SUMIF('8-Additionele kosten'!A:A,'2-Kosten per locatie'!A73,'8-Additionele kosten'!I:I)</f>
        <v>0</v>
      </c>
      <c r="L73" s="371">
        <f>SUMIF('10-Glasbewassing'!A:A,'2-Kosten per locatie'!A73,'10-Glasbewassing'!J:J)</f>
        <v>0</v>
      </c>
      <c r="M73" s="371" t="e">
        <f t="shared" si="11"/>
        <v>#DIV/0!</v>
      </c>
      <c r="N73" s="371" t="e">
        <f t="shared" si="12"/>
        <v>#DIV/0!</v>
      </c>
      <c r="AA73" s="54"/>
      <c r="AB73" s="40"/>
      <c r="AC73" s="40"/>
      <c r="AD73" s="40"/>
      <c r="AE73" s="40"/>
      <c r="AF73" s="40"/>
      <c r="AG73" s="40"/>
    </row>
    <row r="74" spans="1:33" ht="15" customHeight="1">
      <c r="A74" s="359" t="str">
        <f t="shared" si="7"/>
        <v>Fonteinbos 1b</v>
      </c>
      <c r="B74" s="368" t="e">
        <f>(G24+J24)*'6-Opbouw uurtarief productie'!$E$47</f>
        <v>#DIV/0!</v>
      </c>
      <c r="C74" s="368" t="e">
        <f>(H24+K24)*'6-Opbouw uurtarief productie'!$E$47</f>
        <v>#DIV/0!</v>
      </c>
      <c r="D74" s="369" t="e">
        <f>(I24+L24)*'6-Opbouw uurtarief productie'!$E$51</f>
        <v>#DIV/0!</v>
      </c>
      <c r="E74" s="370" t="e">
        <f t="shared" si="8"/>
        <v>#DIV/0!</v>
      </c>
      <c r="F74" s="370" t="e">
        <f>M24*'7-Opbouw uurtarief toezicht'!$E$47</f>
        <v>#DIV/0!</v>
      </c>
      <c r="G74" s="370" t="e">
        <f>N24*'7-Opbouw uurtarief toezicht'!$E$47</f>
        <v>#DIV/0!</v>
      </c>
      <c r="H74" s="371" t="e">
        <f>O24*'7-Opbouw uurtarief toezicht'!$E$51</f>
        <v>#DIV/0!</v>
      </c>
      <c r="I74" s="372" t="e">
        <f t="shared" si="9"/>
        <v>#DIV/0!</v>
      </c>
      <c r="J74" s="373">
        <f>SUMIF('11-Vloeronderhoud'!A:A,'2-Kosten per locatie'!A74,'11-Vloeronderhoud'!I:I)</f>
        <v>0</v>
      </c>
      <c r="K74" s="371">
        <f>SUMIF('8-Additionele kosten'!A:A,'2-Kosten per locatie'!A74,'8-Additionele kosten'!I:I)</f>
        <v>0</v>
      </c>
      <c r="L74" s="374">
        <f>SUMIF('10-Glasbewassing'!A:A,'2-Kosten per locatie'!A74,'10-Glasbewassing'!J:J)</f>
        <v>0</v>
      </c>
      <c r="M74" s="371" t="e">
        <f t="shared" si="11"/>
        <v>#DIV/0!</v>
      </c>
      <c r="N74" s="371" t="e">
        <f t="shared" si="12"/>
        <v>#DIV/0!</v>
      </c>
      <c r="AA74" s="54"/>
      <c r="AB74" s="40"/>
      <c r="AC74" s="40"/>
      <c r="AD74" s="40"/>
      <c r="AE74" s="40"/>
      <c r="AF74" s="40"/>
      <c r="AG74" s="40"/>
    </row>
    <row r="75" spans="1:33" ht="15" customHeight="1">
      <c r="A75" s="359" t="str">
        <f t="shared" si="7"/>
        <v>Boerhavelaan</v>
      </c>
      <c r="B75" s="368" t="e">
        <f>(G25+J25)*'6-Opbouw uurtarief productie'!$E$47</f>
        <v>#DIV/0!</v>
      </c>
      <c r="C75" s="368" t="e">
        <f>(H25+K25)*'6-Opbouw uurtarief productie'!$E$47</f>
        <v>#DIV/0!</v>
      </c>
      <c r="D75" s="369" t="e">
        <f>(I25+L25)*'6-Opbouw uurtarief productie'!$E$51</f>
        <v>#DIV/0!</v>
      </c>
      <c r="E75" s="370" t="e">
        <f t="shared" si="8"/>
        <v>#DIV/0!</v>
      </c>
      <c r="F75" s="370" t="e">
        <f>M25*'7-Opbouw uurtarief toezicht'!$E$47</f>
        <v>#DIV/0!</v>
      </c>
      <c r="G75" s="370" t="e">
        <f>N25*'7-Opbouw uurtarief toezicht'!$E$47</f>
        <v>#DIV/0!</v>
      </c>
      <c r="H75" s="371" t="e">
        <f>O25*'7-Opbouw uurtarief toezicht'!$E$51</f>
        <v>#DIV/0!</v>
      </c>
      <c r="I75" s="372" t="e">
        <f t="shared" si="9"/>
        <v>#DIV/0!</v>
      </c>
      <c r="J75" s="373">
        <f>SUMIF('11-Vloeronderhoud'!A:A,'2-Kosten per locatie'!A75,'11-Vloeronderhoud'!I:I)</f>
        <v>0</v>
      </c>
      <c r="K75" s="371">
        <f>SUMIF('8-Additionele kosten'!A:A,'2-Kosten per locatie'!A75,'8-Additionele kosten'!I:I)</f>
        <v>0</v>
      </c>
      <c r="L75" s="374">
        <f>SUMIF('10-Glasbewassing'!A:A,'2-Kosten per locatie'!A75,'10-Glasbewassing'!J:J)</f>
        <v>0</v>
      </c>
      <c r="M75" s="371" t="e">
        <f t="shared" si="11"/>
        <v>#DIV/0!</v>
      </c>
      <c r="N75" s="371" t="e">
        <f t="shared" si="12"/>
        <v>#DIV/0!</v>
      </c>
      <c r="AA75" s="54"/>
      <c r="AB75" s="40"/>
      <c r="AC75" s="40"/>
      <c r="AD75" s="40"/>
      <c r="AE75" s="40"/>
      <c r="AF75" s="40"/>
      <c r="AG75" s="40"/>
    </row>
    <row r="76" spans="1:33" ht="15" customHeight="1">
      <c r="A76" s="359" t="str">
        <f t="shared" si="7"/>
        <v>Carmenschouw 9, 2726 KG</v>
      </c>
      <c r="B76" s="368" t="e">
        <f>(G26+J26)*'6-Opbouw uurtarief productie'!$E$47</f>
        <v>#DIV/0!</v>
      </c>
      <c r="C76" s="368" t="e">
        <f>(H26+K26)*'6-Opbouw uurtarief productie'!$E$47</f>
        <v>#DIV/0!</v>
      </c>
      <c r="D76" s="369" t="e">
        <f>(I26+L26)*'6-Opbouw uurtarief productie'!$E$51</f>
        <v>#DIV/0!</v>
      </c>
      <c r="E76" s="370" t="e">
        <f t="shared" si="8"/>
        <v>#DIV/0!</v>
      </c>
      <c r="F76" s="370" t="e">
        <f>M26*'7-Opbouw uurtarief toezicht'!$E$47</f>
        <v>#DIV/0!</v>
      </c>
      <c r="G76" s="370" t="e">
        <f>N26*'7-Opbouw uurtarief toezicht'!$E$47</f>
        <v>#DIV/0!</v>
      </c>
      <c r="H76" s="371" t="e">
        <f>O26*'7-Opbouw uurtarief toezicht'!$E$51</f>
        <v>#DIV/0!</v>
      </c>
      <c r="I76" s="372" t="e">
        <f t="shared" si="9"/>
        <v>#DIV/0!</v>
      </c>
      <c r="J76" s="373">
        <f>SUMIF('11-Vloeronderhoud'!A:A,'2-Kosten per locatie'!A76,'11-Vloeronderhoud'!I:I)</f>
        <v>0</v>
      </c>
      <c r="K76" s="371">
        <f>SUMIF('8-Additionele kosten'!A:A,'2-Kosten per locatie'!A76,'8-Additionele kosten'!I:I)</f>
        <v>0</v>
      </c>
      <c r="L76" s="374">
        <f>SUMIF('10-Glasbewassing'!A:A,'2-Kosten per locatie'!A76,'10-Glasbewassing'!J:J)</f>
        <v>0</v>
      </c>
      <c r="M76" s="371" t="e">
        <f t="shared" si="11"/>
        <v>#DIV/0!</v>
      </c>
      <c r="N76" s="371" t="e">
        <f t="shared" si="12"/>
        <v>#DIV/0!</v>
      </c>
      <c r="AA76" s="54"/>
      <c r="AB76" s="40"/>
      <c r="AC76" s="40"/>
      <c r="AD76" s="40"/>
      <c r="AE76" s="40"/>
      <c r="AF76" s="40"/>
      <c r="AG76" s="40"/>
    </row>
    <row r="77" spans="1:33" ht="15" customHeight="1">
      <c r="A77" s="359" t="str">
        <f t="shared" si="7"/>
        <v>Cesar Franckrode 60a, 2717 BG</v>
      </c>
      <c r="B77" s="368" t="e">
        <f>(G27+J27)*'6-Opbouw uurtarief productie'!$E$47</f>
        <v>#DIV/0!</v>
      </c>
      <c r="C77" s="368" t="e">
        <f>(H27+K27)*'6-Opbouw uurtarief productie'!$E$47</f>
        <v>#DIV/0!</v>
      </c>
      <c r="D77" s="369" t="e">
        <f>(I27+L27)*'6-Opbouw uurtarief productie'!$E$51</f>
        <v>#DIV/0!</v>
      </c>
      <c r="E77" s="370" t="e">
        <f t="shared" si="8"/>
        <v>#DIV/0!</v>
      </c>
      <c r="F77" s="370" t="e">
        <f>M27*'7-Opbouw uurtarief toezicht'!$E$47</f>
        <v>#DIV/0!</v>
      </c>
      <c r="G77" s="370" t="e">
        <f>N27*'7-Opbouw uurtarief toezicht'!$E$47</f>
        <v>#DIV/0!</v>
      </c>
      <c r="H77" s="371" t="e">
        <f>O27*'7-Opbouw uurtarief toezicht'!$E$51</f>
        <v>#DIV/0!</v>
      </c>
      <c r="I77" s="372" t="e">
        <f t="shared" si="9"/>
        <v>#DIV/0!</v>
      </c>
      <c r="J77" s="373">
        <f>SUMIF('11-Vloeronderhoud'!A:A,'2-Kosten per locatie'!A77,'11-Vloeronderhoud'!I:I)</f>
        <v>0</v>
      </c>
      <c r="K77" s="371">
        <f>SUMIF('8-Additionele kosten'!A:A,'2-Kosten per locatie'!A77,'8-Additionele kosten'!I:I)</f>
        <v>0</v>
      </c>
      <c r="L77" s="374">
        <f>SUMIF('10-Glasbewassing'!A:A,'2-Kosten per locatie'!A77,'10-Glasbewassing'!J:J)</f>
        <v>0</v>
      </c>
      <c r="M77" s="371" t="e">
        <f t="shared" si="11"/>
        <v>#DIV/0!</v>
      </c>
      <c r="N77" s="371" t="e">
        <f t="shared" si="12"/>
        <v>#DIV/0!</v>
      </c>
      <c r="AA77" s="54"/>
      <c r="AB77" s="40"/>
      <c r="AC77" s="40"/>
      <c r="AD77" s="40"/>
      <c r="AE77" s="40"/>
      <c r="AF77" s="40"/>
      <c r="AG77" s="40"/>
    </row>
    <row r="78" spans="1:33" ht="15" customHeight="1">
      <c r="A78" s="359" t="str">
        <f t="shared" si="7"/>
        <v>Den Brabanderhove 20, 2717 WJ</v>
      </c>
      <c r="B78" s="368" t="e">
        <f>(G28+J28)*'6-Opbouw uurtarief productie'!$E$47</f>
        <v>#DIV/0!</v>
      </c>
      <c r="C78" s="368" t="e">
        <f>(H28+K28)*'6-Opbouw uurtarief productie'!$E$47</f>
        <v>#DIV/0!</v>
      </c>
      <c r="D78" s="369" t="e">
        <f>(I28+L28)*'6-Opbouw uurtarief productie'!$E$51</f>
        <v>#DIV/0!</v>
      </c>
      <c r="E78" s="370" t="e">
        <f t="shared" si="8"/>
        <v>#DIV/0!</v>
      </c>
      <c r="F78" s="370" t="e">
        <f>M28*'7-Opbouw uurtarief toezicht'!$E$47</f>
        <v>#DIV/0!</v>
      </c>
      <c r="G78" s="370" t="e">
        <f>N28*'7-Opbouw uurtarief toezicht'!$E$47</f>
        <v>#DIV/0!</v>
      </c>
      <c r="H78" s="371" t="e">
        <f>O28*'7-Opbouw uurtarief toezicht'!$E$51</f>
        <v>#DIV/0!</v>
      </c>
      <c r="I78" s="372" t="e">
        <f t="shared" si="9"/>
        <v>#DIV/0!</v>
      </c>
      <c r="J78" s="373">
        <f>SUMIF('11-Vloeronderhoud'!A:A,'2-Kosten per locatie'!A78,'11-Vloeronderhoud'!I:I)</f>
        <v>0</v>
      </c>
      <c r="K78" s="371">
        <f>SUMIF('8-Additionele kosten'!A:A,'2-Kosten per locatie'!A78,'8-Additionele kosten'!I:I)</f>
        <v>0</v>
      </c>
      <c r="L78" s="374">
        <f>SUMIF('10-Glasbewassing'!A:A,'2-Kosten per locatie'!A78,'10-Glasbewassing'!J:J)</f>
        <v>0</v>
      </c>
      <c r="M78" s="371" t="e">
        <f t="shared" si="11"/>
        <v>#DIV/0!</v>
      </c>
      <c r="N78" s="371" t="e">
        <f t="shared" si="12"/>
        <v>#DIV/0!</v>
      </c>
      <c r="AA78" s="54"/>
      <c r="AB78" s="40"/>
      <c r="AC78" s="40"/>
      <c r="AD78" s="40"/>
      <c r="AE78" s="40"/>
      <c r="AF78" s="40"/>
      <c r="AG78" s="40"/>
    </row>
    <row r="79" spans="1:33" ht="15" customHeight="1">
      <c r="A79" s="359" t="str">
        <f t="shared" si="7"/>
        <v>Fivelingo 88, 2716 BG</v>
      </c>
      <c r="B79" s="368" t="e">
        <f>(G29+J29)*'6-Opbouw uurtarief productie'!$E$47</f>
        <v>#DIV/0!</v>
      </c>
      <c r="C79" s="368" t="e">
        <f>(H29+K29)*'6-Opbouw uurtarief productie'!$E$47</f>
        <v>#DIV/0!</v>
      </c>
      <c r="D79" s="369" t="e">
        <f>(I29+L29)*'6-Opbouw uurtarief productie'!$E$51</f>
        <v>#DIV/0!</v>
      </c>
      <c r="E79" s="370" t="e">
        <f t="shared" si="8"/>
        <v>#DIV/0!</v>
      </c>
      <c r="F79" s="370" t="e">
        <f>M29*'7-Opbouw uurtarief toezicht'!$E$47</f>
        <v>#DIV/0!</v>
      </c>
      <c r="G79" s="370" t="e">
        <f>N29*'7-Opbouw uurtarief toezicht'!$E$47</f>
        <v>#DIV/0!</v>
      </c>
      <c r="H79" s="371" t="e">
        <f>O29*'7-Opbouw uurtarief toezicht'!$E$51</f>
        <v>#DIV/0!</v>
      </c>
      <c r="I79" s="372" t="e">
        <f t="shared" si="9"/>
        <v>#DIV/0!</v>
      </c>
      <c r="J79" s="373">
        <f>SUMIF('11-Vloeronderhoud'!A:A,'2-Kosten per locatie'!A79,'11-Vloeronderhoud'!I:I)</f>
        <v>0</v>
      </c>
      <c r="K79" s="371">
        <f>SUMIF('8-Additionele kosten'!A:A,'2-Kosten per locatie'!A79,'8-Additionele kosten'!I:I)</f>
        <v>0</v>
      </c>
      <c r="L79" s="374">
        <f>SUMIF('10-Glasbewassing'!A:A,'2-Kosten per locatie'!A79,'10-Glasbewassing'!J:J)</f>
        <v>0</v>
      </c>
      <c r="M79" s="371" t="e">
        <f t="shared" si="11"/>
        <v>#DIV/0!</v>
      </c>
      <c r="N79" s="371" t="e">
        <f t="shared" si="12"/>
        <v>#DIV/0!</v>
      </c>
      <c r="AA79" s="54"/>
      <c r="AB79" s="40"/>
      <c r="AC79" s="40"/>
      <c r="AD79" s="40"/>
      <c r="AE79" s="40"/>
      <c r="AF79" s="40"/>
      <c r="AG79" s="40"/>
    </row>
    <row r="80" spans="1:33" ht="15" customHeight="1">
      <c r="A80" s="359" t="str">
        <f t="shared" si="7"/>
        <v>Forelsloot 5, 2724 CA</v>
      </c>
      <c r="B80" s="368" t="e">
        <f>(G30+J30)*'6-Opbouw uurtarief productie'!$E$47</f>
        <v>#DIV/0!</v>
      </c>
      <c r="C80" s="368" t="e">
        <f>(H30+K30)*'6-Opbouw uurtarief productie'!$E$47</f>
        <v>#DIV/0!</v>
      </c>
      <c r="D80" s="369" t="e">
        <f>(I30+L30)*'6-Opbouw uurtarief productie'!$E$51</f>
        <v>#DIV/0!</v>
      </c>
      <c r="E80" s="370" t="e">
        <f t="shared" si="8"/>
        <v>#DIV/0!</v>
      </c>
      <c r="F80" s="370" t="e">
        <f>M30*'7-Opbouw uurtarief toezicht'!$E$47</f>
        <v>#DIV/0!</v>
      </c>
      <c r="G80" s="370" t="e">
        <f>N30*'7-Opbouw uurtarief toezicht'!$E$47</f>
        <v>#DIV/0!</v>
      </c>
      <c r="H80" s="371" t="e">
        <f>O30*'7-Opbouw uurtarief toezicht'!$E$51</f>
        <v>#DIV/0!</v>
      </c>
      <c r="I80" s="372" t="e">
        <f t="shared" si="9"/>
        <v>#DIV/0!</v>
      </c>
      <c r="J80" s="373">
        <f>SUMIF('11-Vloeronderhoud'!A:A,'2-Kosten per locatie'!A80,'11-Vloeronderhoud'!I:I)</f>
        <v>0</v>
      </c>
      <c r="K80" s="371">
        <f>SUMIF('8-Additionele kosten'!A:A,'2-Kosten per locatie'!A80,'8-Additionele kosten'!I:I)</f>
        <v>0</v>
      </c>
      <c r="L80" s="374">
        <f>SUMIF('10-Glasbewassing'!A:A,'2-Kosten per locatie'!A80,'10-Glasbewassing'!J:J)</f>
        <v>0</v>
      </c>
      <c r="M80" s="371" t="e">
        <f t="shared" si="11"/>
        <v>#DIV/0!</v>
      </c>
      <c r="N80" s="371" t="e">
        <f t="shared" si="12"/>
        <v>#DIV/0!</v>
      </c>
      <c r="AA80" s="54"/>
      <c r="AB80" s="40"/>
      <c r="AC80" s="40"/>
      <c r="AD80" s="40"/>
      <c r="AE80" s="40"/>
      <c r="AF80" s="40"/>
      <c r="AG80" s="40"/>
    </row>
    <row r="81" spans="1:33" ht="15" customHeight="1">
      <c r="A81" s="359" t="str">
        <f t="shared" si="7"/>
        <v>Groenblauwlaan 121, 2718 GH</v>
      </c>
      <c r="B81" s="368" t="e">
        <f>(G31+J31)*'6-Opbouw uurtarief productie'!$E$47</f>
        <v>#DIV/0!</v>
      </c>
      <c r="C81" s="368" t="e">
        <f>(H31+K31)*'6-Opbouw uurtarief productie'!$E$47</f>
        <v>#DIV/0!</v>
      </c>
      <c r="D81" s="369" t="e">
        <f>(I31+L31)*'6-Opbouw uurtarief productie'!$E$51</f>
        <v>#DIV/0!</v>
      </c>
      <c r="E81" s="370" t="e">
        <f t="shared" si="8"/>
        <v>#DIV/0!</v>
      </c>
      <c r="F81" s="370" t="e">
        <f>M31*'7-Opbouw uurtarief toezicht'!$E$47</f>
        <v>#DIV/0!</v>
      </c>
      <c r="G81" s="370" t="e">
        <f>N31*'7-Opbouw uurtarief toezicht'!$E$47</f>
        <v>#DIV/0!</v>
      </c>
      <c r="H81" s="371" t="e">
        <f>O31*'7-Opbouw uurtarief toezicht'!$E$51</f>
        <v>#DIV/0!</v>
      </c>
      <c r="I81" s="372" t="e">
        <f t="shared" si="9"/>
        <v>#DIV/0!</v>
      </c>
      <c r="J81" s="373">
        <f>SUMIF('11-Vloeronderhoud'!A:A,'2-Kosten per locatie'!A81,'11-Vloeronderhoud'!I:I)</f>
        <v>0</v>
      </c>
      <c r="K81" s="371">
        <f>SUMIF('8-Additionele kosten'!A:A,'2-Kosten per locatie'!A81,'8-Additionele kosten'!I:I)</f>
        <v>0</v>
      </c>
      <c r="L81" s="374">
        <f>SUMIF('10-Glasbewassing'!A:A,'2-Kosten per locatie'!A81,'10-Glasbewassing'!J:J)</f>
        <v>0</v>
      </c>
      <c r="M81" s="371" t="e">
        <f t="shared" si="11"/>
        <v>#DIV/0!</v>
      </c>
      <c r="N81" s="371" t="e">
        <f t="shared" si="12"/>
        <v>#DIV/0!</v>
      </c>
      <c r="AA81" s="54"/>
      <c r="AB81" s="40"/>
      <c r="AC81" s="40"/>
      <c r="AD81" s="40"/>
      <c r="AE81" s="40"/>
      <c r="AF81" s="40"/>
      <c r="AG81" s="40"/>
    </row>
    <row r="82" spans="1:33" ht="15" customHeight="1">
      <c r="A82" s="359" t="str">
        <f t="shared" si="7"/>
        <v>Hodenpijlstraat 12, 2729 EA</v>
      </c>
      <c r="B82" s="368" t="e">
        <f>(G32+J32)*'6-Opbouw uurtarief productie'!$E$47</f>
        <v>#DIV/0!</v>
      </c>
      <c r="C82" s="368" t="e">
        <f>(H32+K32)*'6-Opbouw uurtarief productie'!$E$47</f>
        <v>#DIV/0!</v>
      </c>
      <c r="D82" s="369" t="e">
        <f>(I32+L32)*'6-Opbouw uurtarief productie'!$E$51</f>
        <v>#DIV/0!</v>
      </c>
      <c r="E82" s="370" t="e">
        <f t="shared" si="8"/>
        <v>#DIV/0!</v>
      </c>
      <c r="F82" s="370" t="e">
        <f>M32*'7-Opbouw uurtarief toezicht'!$E$47</f>
        <v>#DIV/0!</v>
      </c>
      <c r="G82" s="370" t="e">
        <f>N32*'7-Opbouw uurtarief toezicht'!$E$47</f>
        <v>#DIV/0!</v>
      </c>
      <c r="H82" s="371" t="e">
        <f>O32*'7-Opbouw uurtarief toezicht'!$E$51</f>
        <v>#DIV/0!</v>
      </c>
      <c r="I82" s="372" t="e">
        <f t="shared" si="9"/>
        <v>#DIV/0!</v>
      </c>
      <c r="J82" s="373">
        <f>SUMIF('11-Vloeronderhoud'!A:A,'2-Kosten per locatie'!A82,'11-Vloeronderhoud'!I:I)</f>
        <v>0</v>
      </c>
      <c r="K82" s="371">
        <f>SUMIF('8-Additionele kosten'!A:A,'2-Kosten per locatie'!A82,'8-Additionele kosten'!I:I)</f>
        <v>0</v>
      </c>
      <c r="L82" s="374">
        <f>SUMIF('10-Glasbewassing'!A:A,'2-Kosten per locatie'!A82,'10-Glasbewassing'!J:J)</f>
        <v>0</v>
      </c>
      <c r="M82" s="371" t="e">
        <f t="shared" si="11"/>
        <v>#DIV/0!</v>
      </c>
      <c r="N82" s="371" t="e">
        <f t="shared" si="12"/>
        <v>#DIV/0!</v>
      </c>
      <c r="AA82" s="54"/>
      <c r="AB82" s="40"/>
      <c r="AC82" s="40"/>
      <c r="AD82" s="40"/>
      <c r="AE82" s="40"/>
      <c r="AF82" s="40"/>
      <c r="AG82" s="40"/>
    </row>
    <row r="83" spans="1:33" ht="15" customHeight="1">
      <c r="A83" s="359" t="str">
        <f t="shared" si="7"/>
        <v>Irisvaart 10, 2724 TT</v>
      </c>
      <c r="B83" s="368" t="e">
        <f>(G33+J33)*'6-Opbouw uurtarief productie'!$E$47</f>
        <v>#DIV/0!</v>
      </c>
      <c r="C83" s="368" t="e">
        <f>(H33+K33)*'6-Opbouw uurtarief productie'!$E$47</f>
        <v>#DIV/0!</v>
      </c>
      <c r="D83" s="369" t="e">
        <f>(I33+L33)*'6-Opbouw uurtarief productie'!$E$51</f>
        <v>#DIV/0!</v>
      </c>
      <c r="E83" s="370" t="e">
        <f t="shared" si="8"/>
        <v>#DIV/0!</v>
      </c>
      <c r="F83" s="370" t="e">
        <f>M33*'7-Opbouw uurtarief toezicht'!$E$47</f>
        <v>#DIV/0!</v>
      </c>
      <c r="G83" s="370" t="e">
        <f>N33*'7-Opbouw uurtarief toezicht'!$E$47</f>
        <v>#DIV/0!</v>
      </c>
      <c r="H83" s="371" t="e">
        <f>O33*'7-Opbouw uurtarief toezicht'!$E$51</f>
        <v>#DIV/0!</v>
      </c>
      <c r="I83" s="372" t="e">
        <f t="shared" si="9"/>
        <v>#DIV/0!</v>
      </c>
      <c r="J83" s="373">
        <f>SUMIF('11-Vloeronderhoud'!A:A,'2-Kosten per locatie'!A83,'11-Vloeronderhoud'!I:I)</f>
        <v>0</v>
      </c>
      <c r="K83" s="371">
        <f>SUMIF('8-Additionele kosten'!A:A,'2-Kosten per locatie'!A83,'8-Additionele kosten'!I:I)</f>
        <v>0</v>
      </c>
      <c r="L83" s="374">
        <f>SUMIF('10-Glasbewassing'!A:A,'2-Kosten per locatie'!A83,'10-Glasbewassing'!J:J)</f>
        <v>0</v>
      </c>
      <c r="M83" s="371" t="e">
        <f t="shared" si="11"/>
        <v>#DIV/0!</v>
      </c>
      <c r="N83" s="371" t="e">
        <f t="shared" si="12"/>
        <v>#DIV/0!</v>
      </c>
      <c r="AA83" s="54"/>
      <c r="AB83" s="40"/>
      <c r="AC83" s="40"/>
      <c r="AD83" s="40"/>
      <c r="AE83" s="40"/>
      <c r="AF83" s="40"/>
      <c r="AG83" s="40"/>
    </row>
    <row r="84" spans="1:33" ht="15" customHeight="1">
      <c r="A84" s="359" t="str">
        <f t="shared" si="7"/>
        <v>Kadelaan 206, 2725 BR</v>
      </c>
      <c r="B84" s="368" t="e">
        <f>(G34+J34)*'6-Opbouw uurtarief productie'!$E$47</f>
        <v>#DIV/0!</v>
      </c>
      <c r="C84" s="368" t="e">
        <f>(H34+K34)*'6-Opbouw uurtarief productie'!$E$47</f>
        <v>#DIV/0!</v>
      </c>
      <c r="D84" s="369" t="e">
        <f>(I34+L34)*'6-Opbouw uurtarief productie'!$E$51</f>
        <v>#DIV/0!</v>
      </c>
      <c r="E84" s="370" t="e">
        <f t="shared" si="8"/>
        <v>#DIV/0!</v>
      </c>
      <c r="F84" s="370" t="e">
        <f>M34*'7-Opbouw uurtarief toezicht'!$E$47</f>
        <v>#DIV/0!</v>
      </c>
      <c r="G84" s="370" t="e">
        <f>N34*'7-Opbouw uurtarief toezicht'!$E$47</f>
        <v>#DIV/0!</v>
      </c>
      <c r="H84" s="371" t="e">
        <f>O34*'7-Opbouw uurtarief toezicht'!$E$51</f>
        <v>#DIV/0!</v>
      </c>
      <c r="I84" s="372" t="e">
        <f t="shared" si="9"/>
        <v>#DIV/0!</v>
      </c>
      <c r="J84" s="373">
        <f>SUMIF('11-Vloeronderhoud'!A:A,'2-Kosten per locatie'!A84,'11-Vloeronderhoud'!I:I)</f>
        <v>0</v>
      </c>
      <c r="K84" s="371">
        <f>SUMIF('8-Additionele kosten'!A:A,'2-Kosten per locatie'!A84,'8-Additionele kosten'!I:I)</f>
        <v>0</v>
      </c>
      <c r="L84" s="374">
        <f>SUMIF('10-Glasbewassing'!A:A,'2-Kosten per locatie'!A84,'10-Glasbewassing'!J:J)</f>
        <v>0</v>
      </c>
      <c r="M84" s="371" t="e">
        <f t="shared" si="11"/>
        <v>#DIV/0!</v>
      </c>
      <c r="N84" s="371" t="e">
        <f t="shared" si="12"/>
        <v>#DIV/0!</v>
      </c>
      <c r="AA84" s="54"/>
      <c r="AB84" s="40"/>
      <c r="AC84" s="40"/>
      <c r="AD84" s="40"/>
      <c r="AE84" s="40"/>
      <c r="AF84" s="40"/>
      <c r="AG84" s="40"/>
    </row>
    <row r="85" spans="1:33" ht="15" customHeight="1">
      <c r="A85" s="359" t="str">
        <f t="shared" si="7"/>
        <v>Kerkenbos 10, 2715 RP</v>
      </c>
      <c r="B85" s="368" t="e">
        <f>(G35+J35)*'6-Opbouw uurtarief productie'!$E$47</f>
        <v>#DIV/0!</v>
      </c>
      <c r="C85" s="368" t="e">
        <f>(H35+K35)*'6-Opbouw uurtarief productie'!$E$47</f>
        <v>#DIV/0!</v>
      </c>
      <c r="D85" s="369" t="e">
        <f>(I35+L35)*'6-Opbouw uurtarief productie'!$E$51</f>
        <v>#DIV/0!</v>
      </c>
      <c r="E85" s="370" t="e">
        <f t="shared" si="8"/>
        <v>#DIV/0!</v>
      </c>
      <c r="F85" s="370" t="e">
        <f>M35*'7-Opbouw uurtarief toezicht'!$E$47</f>
        <v>#DIV/0!</v>
      </c>
      <c r="G85" s="370" t="e">
        <f>N35*'7-Opbouw uurtarief toezicht'!$E$47</f>
        <v>#DIV/0!</v>
      </c>
      <c r="H85" s="371" t="e">
        <f>O35*'7-Opbouw uurtarief toezicht'!$E$51</f>
        <v>#DIV/0!</v>
      </c>
      <c r="I85" s="372" t="e">
        <f t="shared" si="9"/>
        <v>#DIV/0!</v>
      </c>
      <c r="J85" s="373">
        <f>SUMIF('11-Vloeronderhoud'!A:A,'2-Kosten per locatie'!A85,'11-Vloeronderhoud'!I:I)</f>
        <v>0</v>
      </c>
      <c r="K85" s="371">
        <f>SUMIF('8-Additionele kosten'!A:A,'2-Kosten per locatie'!A85,'8-Additionele kosten'!I:I)</f>
        <v>0</v>
      </c>
      <c r="L85" s="374">
        <f>SUMIF('10-Glasbewassing'!A:A,'2-Kosten per locatie'!A85,'10-Glasbewassing'!J:J)</f>
        <v>0</v>
      </c>
      <c r="M85" s="371" t="e">
        <f t="shared" si="11"/>
        <v>#DIV/0!</v>
      </c>
      <c r="N85" s="371" t="e">
        <f t="shared" si="12"/>
        <v>#DIV/0!</v>
      </c>
      <c r="AA85" s="54"/>
      <c r="AB85" s="40"/>
      <c r="AC85" s="40"/>
      <c r="AD85" s="40"/>
      <c r="AE85" s="40"/>
      <c r="AF85" s="40"/>
      <c r="AG85" s="40"/>
    </row>
    <row r="86" spans="1:33" ht="15" customHeight="1">
      <c r="A86" s="359" t="str">
        <f t="shared" si="7"/>
        <v>Kerkenbos 30, 2715 RP</v>
      </c>
      <c r="B86" s="368" t="e">
        <f>(G36+J36)*'6-Opbouw uurtarief productie'!$E$47</f>
        <v>#DIV/0!</v>
      </c>
      <c r="C86" s="368" t="e">
        <f>(H36+K36)*'6-Opbouw uurtarief productie'!$E$47</f>
        <v>#DIV/0!</v>
      </c>
      <c r="D86" s="369" t="e">
        <f>(I36+L36)*'6-Opbouw uurtarief productie'!$E$51</f>
        <v>#DIV/0!</v>
      </c>
      <c r="E86" s="370" t="e">
        <f t="shared" si="8"/>
        <v>#DIV/0!</v>
      </c>
      <c r="F86" s="370" t="e">
        <f>M36*'7-Opbouw uurtarief toezicht'!$E$47</f>
        <v>#DIV/0!</v>
      </c>
      <c r="G86" s="370" t="e">
        <f>N36*'7-Opbouw uurtarief toezicht'!$E$47</f>
        <v>#DIV/0!</v>
      </c>
      <c r="H86" s="371" t="e">
        <f>O36*'7-Opbouw uurtarief toezicht'!$E$51</f>
        <v>#DIV/0!</v>
      </c>
      <c r="I86" s="372" t="e">
        <f t="shared" si="9"/>
        <v>#DIV/0!</v>
      </c>
      <c r="J86" s="373">
        <f>SUMIF('11-Vloeronderhoud'!A:A,'2-Kosten per locatie'!A86,'11-Vloeronderhoud'!I:I)</f>
        <v>0</v>
      </c>
      <c r="K86" s="371">
        <f>SUMIF('8-Additionele kosten'!A:A,'2-Kosten per locatie'!A86,'8-Additionele kosten'!I:I)</f>
        <v>0</v>
      </c>
      <c r="L86" s="374">
        <f>SUMIF('10-Glasbewassing'!A:A,'2-Kosten per locatie'!A86,'10-Glasbewassing'!J:J)</f>
        <v>0</v>
      </c>
      <c r="M86" s="371" t="e">
        <f t="shared" si="11"/>
        <v>#DIV/0!</v>
      </c>
      <c r="N86" s="371" t="e">
        <f t="shared" ref="N86:N108" si="14">M86/12</f>
        <v>#DIV/0!</v>
      </c>
      <c r="AA86" s="54"/>
      <c r="AB86" s="40"/>
      <c r="AC86" s="40"/>
      <c r="AD86" s="40"/>
      <c r="AE86" s="40"/>
      <c r="AF86" s="40"/>
      <c r="AG86" s="40"/>
    </row>
    <row r="87" spans="1:33" ht="15" customHeight="1">
      <c r="A87" s="359" t="str">
        <f t="shared" si="7"/>
        <v>Kruiswater 197, 2715 EP</v>
      </c>
      <c r="B87" s="368" t="e">
        <f>(G37+J37)*'6-Opbouw uurtarief productie'!$E$47</f>
        <v>#DIV/0!</v>
      </c>
      <c r="C87" s="368" t="e">
        <f>(H37+K37)*'6-Opbouw uurtarief productie'!$E$47</f>
        <v>#DIV/0!</v>
      </c>
      <c r="D87" s="369" t="e">
        <f>(I37+L37)*'6-Opbouw uurtarief productie'!$E$51</f>
        <v>#DIV/0!</v>
      </c>
      <c r="E87" s="370" t="e">
        <f t="shared" si="8"/>
        <v>#DIV/0!</v>
      </c>
      <c r="F87" s="370" t="e">
        <f>M37*'7-Opbouw uurtarief toezicht'!$E$47</f>
        <v>#DIV/0!</v>
      </c>
      <c r="G87" s="370" t="e">
        <f>N37*'7-Opbouw uurtarief toezicht'!$E$47</f>
        <v>#DIV/0!</v>
      </c>
      <c r="H87" s="371" t="e">
        <f>O37*'7-Opbouw uurtarief toezicht'!$E$51</f>
        <v>#DIV/0!</v>
      </c>
      <c r="I87" s="372" t="e">
        <f t="shared" si="9"/>
        <v>#DIV/0!</v>
      </c>
      <c r="J87" s="373">
        <f>SUMIF('11-Vloeronderhoud'!A:A,'2-Kosten per locatie'!A87,'11-Vloeronderhoud'!I:I)</f>
        <v>0</v>
      </c>
      <c r="K87" s="371">
        <f>SUMIF('8-Additionele kosten'!A:A,'2-Kosten per locatie'!A87,'8-Additionele kosten'!I:I)</f>
        <v>0</v>
      </c>
      <c r="L87" s="374">
        <f>SUMIF('10-Glasbewassing'!A:A,'2-Kosten per locatie'!A87,'10-Glasbewassing'!J:J)</f>
        <v>0</v>
      </c>
      <c r="M87" s="371" t="e">
        <f t="shared" si="11"/>
        <v>#DIV/0!</v>
      </c>
      <c r="N87" s="371" t="e">
        <f t="shared" si="14"/>
        <v>#DIV/0!</v>
      </c>
      <c r="AA87" s="54"/>
      <c r="AB87" s="40"/>
      <c r="AC87" s="40"/>
      <c r="AD87" s="40"/>
      <c r="AE87" s="40"/>
      <c r="AF87" s="40"/>
      <c r="AG87" s="40"/>
    </row>
    <row r="88" spans="1:33" ht="15" customHeight="1">
      <c r="A88" s="359" t="str">
        <f t="shared" si="7"/>
        <v>Lijnbaan 311, 2728 AG</v>
      </c>
      <c r="B88" s="368" t="e">
        <f>(G38+J38)*'6-Opbouw uurtarief productie'!$E$47</f>
        <v>#DIV/0!</v>
      </c>
      <c r="C88" s="368" t="e">
        <f>(H38+K38)*'6-Opbouw uurtarief productie'!$E$47</f>
        <v>#DIV/0!</v>
      </c>
      <c r="D88" s="369" t="e">
        <f>(I38+L38)*'6-Opbouw uurtarief productie'!$E$51</f>
        <v>#DIV/0!</v>
      </c>
      <c r="E88" s="370" t="e">
        <f t="shared" si="8"/>
        <v>#DIV/0!</v>
      </c>
      <c r="F88" s="370" t="e">
        <f>M38*'7-Opbouw uurtarief toezicht'!$E$47</f>
        <v>#DIV/0!</v>
      </c>
      <c r="G88" s="370" t="e">
        <f>N38*'7-Opbouw uurtarief toezicht'!$E$47</f>
        <v>#DIV/0!</v>
      </c>
      <c r="H88" s="371" t="e">
        <f>O38*'7-Opbouw uurtarief toezicht'!$E$51</f>
        <v>#DIV/0!</v>
      </c>
      <c r="I88" s="372" t="e">
        <f t="shared" si="9"/>
        <v>#DIV/0!</v>
      </c>
      <c r="J88" s="373">
        <f>SUMIF('11-Vloeronderhoud'!A:A,'2-Kosten per locatie'!A88,'11-Vloeronderhoud'!I:I)</f>
        <v>0</v>
      </c>
      <c r="K88" s="371">
        <f>SUMIF('8-Additionele kosten'!A:A,'2-Kosten per locatie'!A88,'8-Additionele kosten'!I:I)</f>
        <v>0</v>
      </c>
      <c r="L88" s="374">
        <f>SUMIF('10-Glasbewassing'!A:A,'2-Kosten per locatie'!A88,'10-Glasbewassing'!J:J)</f>
        <v>0</v>
      </c>
      <c r="M88" s="371" t="e">
        <f t="shared" si="11"/>
        <v>#DIV/0!</v>
      </c>
      <c r="N88" s="371" t="e">
        <f t="shared" si="14"/>
        <v>#DIV/0!</v>
      </c>
      <c r="AA88" s="54"/>
      <c r="AB88" s="40"/>
      <c r="AC88" s="40"/>
      <c r="AD88" s="40"/>
      <c r="AE88" s="40"/>
      <c r="AF88" s="40"/>
      <c r="AG88" s="40"/>
    </row>
    <row r="89" spans="1:33" ht="15" customHeight="1">
      <c r="A89" s="359" t="str">
        <f t="shared" si="7"/>
        <v>Nesciohove 115, 2726 BL</v>
      </c>
      <c r="B89" s="368" t="e">
        <f>(G39+J39)*'6-Opbouw uurtarief productie'!$E$47</f>
        <v>#DIV/0!</v>
      </c>
      <c r="C89" s="368" t="e">
        <f>(H39+K39)*'6-Opbouw uurtarief productie'!$E$47</f>
        <v>#DIV/0!</v>
      </c>
      <c r="D89" s="369" t="e">
        <f>(I39+L39)*'6-Opbouw uurtarief productie'!$E$51</f>
        <v>#DIV/0!</v>
      </c>
      <c r="E89" s="370" t="e">
        <f t="shared" si="8"/>
        <v>#DIV/0!</v>
      </c>
      <c r="F89" s="370" t="e">
        <f>M39*'7-Opbouw uurtarief toezicht'!$E$47</f>
        <v>#DIV/0!</v>
      </c>
      <c r="G89" s="370" t="e">
        <f>N39*'7-Opbouw uurtarief toezicht'!$E$47</f>
        <v>#DIV/0!</v>
      </c>
      <c r="H89" s="371" t="e">
        <f>O39*'7-Opbouw uurtarief toezicht'!$E$51</f>
        <v>#DIV/0!</v>
      </c>
      <c r="I89" s="372" t="e">
        <f t="shared" si="9"/>
        <v>#DIV/0!</v>
      </c>
      <c r="J89" s="373">
        <f>SUMIF('11-Vloeronderhoud'!A:A,'2-Kosten per locatie'!A89,'11-Vloeronderhoud'!I:I)</f>
        <v>0</v>
      </c>
      <c r="K89" s="371">
        <f>SUMIF('8-Additionele kosten'!A:A,'2-Kosten per locatie'!A89,'8-Additionele kosten'!I:I)</f>
        <v>0</v>
      </c>
      <c r="L89" s="374">
        <f>SUMIF('10-Glasbewassing'!A:A,'2-Kosten per locatie'!A89,'10-Glasbewassing'!J:J)</f>
        <v>0</v>
      </c>
      <c r="M89" s="371" t="e">
        <f t="shared" si="11"/>
        <v>#DIV/0!</v>
      </c>
      <c r="N89" s="371" t="e">
        <f t="shared" si="14"/>
        <v>#DIV/0!</v>
      </c>
      <c r="AA89" s="54"/>
      <c r="AB89" s="40"/>
      <c r="AC89" s="40"/>
      <c r="AD89" s="40"/>
      <c r="AE89" s="40"/>
      <c r="AF89" s="40"/>
      <c r="AG89" s="40"/>
    </row>
    <row r="90" spans="1:33" ht="15" customHeight="1">
      <c r="A90" s="359" t="str">
        <f t="shared" si="7"/>
        <v>Schansbos 7, 2716 GV</v>
      </c>
      <c r="B90" s="368" t="e">
        <f>(G40+J40)*'6-Opbouw uurtarief productie'!$E$47</f>
        <v>#DIV/0!</v>
      </c>
      <c r="C90" s="368" t="e">
        <f>(H40+K40)*'6-Opbouw uurtarief productie'!$E$47</f>
        <v>#DIV/0!</v>
      </c>
      <c r="D90" s="369" t="e">
        <f>(I40+L40)*'6-Opbouw uurtarief productie'!$E$51</f>
        <v>#DIV/0!</v>
      </c>
      <c r="E90" s="370" t="e">
        <f t="shared" si="8"/>
        <v>#DIV/0!</v>
      </c>
      <c r="F90" s="370" t="e">
        <f>M40*'7-Opbouw uurtarief toezicht'!$E$47</f>
        <v>#DIV/0!</v>
      </c>
      <c r="G90" s="370" t="e">
        <f>N40*'7-Opbouw uurtarief toezicht'!$E$47</f>
        <v>#DIV/0!</v>
      </c>
      <c r="H90" s="371" t="e">
        <f>O40*'7-Opbouw uurtarief toezicht'!$E$51</f>
        <v>#DIV/0!</v>
      </c>
      <c r="I90" s="372" t="e">
        <f t="shared" si="9"/>
        <v>#DIV/0!</v>
      </c>
      <c r="J90" s="373">
        <f>SUMIF('11-Vloeronderhoud'!A:A,'2-Kosten per locatie'!A90,'11-Vloeronderhoud'!I:I)</f>
        <v>0</v>
      </c>
      <c r="K90" s="371">
        <f>SUMIF('8-Additionele kosten'!A:A,'2-Kosten per locatie'!A90,'8-Additionele kosten'!I:I)</f>
        <v>0</v>
      </c>
      <c r="L90" s="374">
        <f>SUMIF('10-Glasbewassing'!A:A,'2-Kosten per locatie'!A90,'10-Glasbewassing'!J:J)</f>
        <v>0</v>
      </c>
      <c r="M90" s="371" t="e">
        <f t="shared" si="11"/>
        <v>#DIV/0!</v>
      </c>
      <c r="N90" s="371" t="e">
        <f t="shared" si="14"/>
        <v>#DIV/0!</v>
      </c>
      <c r="AA90" s="54"/>
      <c r="AB90" s="40"/>
      <c r="AC90" s="40"/>
      <c r="AD90" s="40"/>
      <c r="AE90" s="40"/>
      <c r="AF90" s="40"/>
      <c r="AG90" s="40"/>
    </row>
    <row r="91" spans="1:33" ht="15" customHeight="1">
      <c r="A91" s="359" t="str">
        <f t="shared" si="7"/>
        <v>Steeneikzoom 3, 2719 HN</v>
      </c>
      <c r="B91" s="368" t="e">
        <f>(G41+J41)*'6-Opbouw uurtarief productie'!$E$47</f>
        <v>#DIV/0!</v>
      </c>
      <c r="C91" s="368" t="e">
        <f>(H41+K41)*'6-Opbouw uurtarief productie'!$E$47</f>
        <v>#DIV/0!</v>
      </c>
      <c r="D91" s="369" t="e">
        <f>(I41+L41)*'6-Opbouw uurtarief productie'!$E$51</f>
        <v>#DIV/0!</v>
      </c>
      <c r="E91" s="370" t="e">
        <f t="shared" si="8"/>
        <v>#DIV/0!</v>
      </c>
      <c r="F91" s="370" t="e">
        <f>M41*'7-Opbouw uurtarief toezicht'!$E$47</f>
        <v>#DIV/0!</v>
      </c>
      <c r="G91" s="370" t="e">
        <f>N41*'7-Opbouw uurtarief toezicht'!$E$47</f>
        <v>#DIV/0!</v>
      </c>
      <c r="H91" s="371" t="e">
        <f>O41*'7-Opbouw uurtarief toezicht'!$E$51</f>
        <v>#DIV/0!</v>
      </c>
      <c r="I91" s="372" t="e">
        <f t="shared" si="9"/>
        <v>#DIV/0!</v>
      </c>
      <c r="J91" s="373">
        <f>SUMIF('11-Vloeronderhoud'!A:A,'2-Kosten per locatie'!A91,'11-Vloeronderhoud'!I:I)</f>
        <v>0</v>
      </c>
      <c r="K91" s="371">
        <f>SUMIF('8-Additionele kosten'!A:A,'2-Kosten per locatie'!A91,'8-Additionele kosten'!I:I)</f>
        <v>0</v>
      </c>
      <c r="L91" s="374">
        <f>SUMIF('10-Glasbewassing'!A:A,'2-Kosten per locatie'!A91,'10-Glasbewassing'!J:J)</f>
        <v>0</v>
      </c>
      <c r="M91" s="371" t="e">
        <f t="shared" si="11"/>
        <v>#DIV/0!</v>
      </c>
      <c r="N91" s="371" t="e">
        <f t="shared" si="14"/>
        <v>#DIV/0!</v>
      </c>
      <c r="AA91" s="54"/>
      <c r="AB91" s="40"/>
      <c r="AC91" s="40"/>
      <c r="AD91" s="40"/>
      <c r="AE91" s="40"/>
      <c r="AF91" s="40"/>
      <c r="AG91" s="40"/>
    </row>
    <row r="92" spans="1:33" ht="15" customHeight="1">
      <c r="A92" s="359" t="str">
        <f t="shared" si="7"/>
        <v>Doornenplantsoen v. 21, 2722 ZA</v>
      </c>
      <c r="B92" s="368" t="e">
        <f>(G42+J42)*'6-Opbouw uurtarief productie'!$E$47</f>
        <v>#DIV/0!</v>
      </c>
      <c r="C92" s="368" t="e">
        <f>(H42+K42)*'6-Opbouw uurtarief productie'!$E$47</f>
        <v>#DIV/0!</v>
      </c>
      <c r="D92" s="369" t="e">
        <f>(I42+L42)*'6-Opbouw uurtarief productie'!$E$51</f>
        <v>#DIV/0!</v>
      </c>
      <c r="E92" s="370" t="e">
        <f t="shared" si="8"/>
        <v>#DIV/0!</v>
      </c>
      <c r="F92" s="370" t="e">
        <f>M42*'7-Opbouw uurtarief toezicht'!$E$47</f>
        <v>#DIV/0!</v>
      </c>
      <c r="G92" s="370" t="e">
        <f>N42*'7-Opbouw uurtarief toezicht'!$E$47</f>
        <v>#DIV/0!</v>
      </c>
      <c r="H92" s="371" t="e">
        <f>O42*'7-Opbouw uurtarief toezicht'!$E$51</f>
        <v>#DIV/0!</v>
      </c>
      <c r="I92" s="372" t="e">
        <f t="shared" si="9"/>
        <v>#DIV/0!</v>
      </c>
      <c r="J92" s="373">
        <f>SUMIF('11-Vloeronderhoud'!A:A,'2-Kosten per locatie'!A92,'11-Vloeronderhoud'!I:I)</f>
        <v>0</v>
      </c>
      <c r="K92" s="371">
        <f>SUMIF('8-Additionele kosten'!A:A,'2-Kosten per locatie'!A92,'8-Additionele kosten'!I:I)</f>
        <v>0</v>
      </c>
      <c r="L92" s="374">
        <f>SUMIF('10-Glasbewassing'!A:A,'2-Kosten per locatie'!A92,'10-Glasbewassing'!J:J)</f>
        <v>0</v>
      </c>
      <c r="M92" s="371" t="e">
        <f t="shared" si="11"/>
        <v>#DIV/0!</v>
      </c>
      <c r="N92" s="371" t="e">
        <f t="shared" si="14"/>
        <v>#DIV/0!</v>
      </c>
      <c r="AA92" s="54"/>
      <c r="AB92" s="40"/>
      <c r="AC92" s="40"/>
      <c r="AD92" s="40"/>
      <c r="AE92" s="40"/>
      <c r="AF92" s="40"/>
      <c r="AG92" s="40"/>
    </row>
    <row r="93" spans="1:33" ht="15" customHeight="1">
      <c r="A93" s="359" t="str">
        <f t="shared" si="7"/>
        <v>Velddreef 84, 2727 CM</v>
      </c>
      <c r="B93" s="368" t="e">
        <f>(G43+J43)*'6-Opbouw uurtarief productie'!$E$47</f>
        <v>#DIV/0!</v>
      </c>
      <c r="C93" s="368" t="e">
        <f>(H43+K43)*'6-Opbouw uurtarief productie'!$E$47</f>
        <v>#DIV/0!</v>
      </c>
      <c r="D93" s="369" t="e">
        <f>(I43+L43)*'6-Opbouw uurtarief productie'!$E$51</f>
        <v>#DIV/0!</v>
      </c>
      <c r="E93" s="370" t="e">
        <f t="shared" si="8"/>
        <v>#DIV/0!</v>
      </c>
      <c r="F93" s="370" t="e">
        <f>M43*'7-Opbouw uurtarief toezicht'!$E$47</f>
        <v>#DIV/0!</v>
      </c>
      <c r="G93" s="370" t="e">
        <f>N43*'7-Opbouw uurtarief toezicht'!$E$47</f>
        <v>#DIV/0!</v>
      </c>
      <c r="H93" s="371" t="e">
        <f>O43*'7-Opbouw uurtarief toezicht'!$E$51</f>
        <v>#DIV/0!</v>
      </c>
      <c r="I93" s="372" t="e">
        <f t="shared" si="9"/>
        <v>#DIV/0!</v>
      </c>
      <c r="J93" s="373">
        <f>SUMIF('11-Vloeronderhoud'!A:A,'2-Kosten per locatie'!A93,'11-Vloeronderhoud'!I:I)</f>
        <v>0</v>
      </c>
      <c r="K93" s="371">
        <f>SUMIF('8-Additionele kosten'!A:A,'2-Kosten per locatie'!A93,'8-Additionele kosten'!I:I)</f>
        <v>0</v>
      </c>
      <c r="L93" s="374">
        <f>SUMIF('10-Glasbewassing'!A:A,'2-Kosten per locatie'!A93,'10-Glasbewassing'!J:J)</f>
        <v>0</v>
      </c>
      <c r="M93" s="371" t="e">
        <f t="shared" si="11"/>
        <v>#DIV/0!</v>
      </c>
      <c r="N93" s="371" t="e">
        <f t="shared" si="14"/>
        <v>#DIV/0!</v>
      </c>
      <c r="AA93" s="54"/>
      <c r="AB93" s="40"/>
      <c r="AC93" s="40"/>
      <c r="AD93" s="40"/>
      <c r="AE93" s="40"/>
      <c r="AF93" s="40"/>
      <c r="AG93" s="40"/>
    </row>
    <row r="94" spans="1:33" ht="15" customHeight="1">
      <c r="A94" s="359" t="str">
        <f t="shared" si="7"/>
        <v>Velddreef 330, 2727 CV</v>
      </c>
      <c r="B94" s="368" t="e">
        <f>(G44+J44)*'6-Opbouw uurtarief productie'!$E$47</f>
        <v>#DIV/0!</v>
      </c>
      <c r="C94" s="368" t="e">
        <f>(H44+K44)*'6-Opbouw uurtarief productie'!$E$47</f>
        <v>#DIV/0!</v>
      </c>
      <c r="D94" s="369" t="e">
        <f>(I44+L44)*'6-Opbouw uurtarief productie'!$E$51</f>
        <v>#DIV/0!</v>
      </c>
      <c r="E94" s="370" t="e">
        <f t="shared" si="8"/>
        <v>#DIV/0!</v>
      </c>
      <c r="F94" s="370" t="e">
        <f>M44*'7-Opbouw uurtarief toezicht'!$E$47</f>
        <v>#DIV/0!</v>
      </c>
      <c r="G94" s="370" t="e">
        <f>N44*'7-Opbouw uurtarief toezicht'!$E$47</f>
        <v>#DIV/0!</v>
      </c>
      <c r="H94" s="371" t="e">
        <f>O44*'7-Opbouw uurtarief toezicht'!$E$51</f>
        <v>#DIV/0!</v>
      </c>
      <c r="I94" s="372" t="e">
        <f t="shared" si="9"/>
        <v>#DIV/0!</v>
      </c>
      <c r="J94" s="373">
        <f>SUMIF('11-Vloeronderhoud'!A:A,'2-Kosten per locatie'!A94,'11-Vloeronderhoud'!I:I)</f>
        <v>0</v>
      </c>
      <c r="K94" s="371">
        <f>SUMIF('8-Additionele kosten'!A:A,'2-Kosten per locatie'!A94,'8-Additionele kosten'!I:I)</f>
        <v>0</v>
      </c>
      <c r="L94" s="374">
        <f>SUMIF('10-Glasbewassing'!A:A,'2-Kosten per locatie'!A94,'10-Glasbewassing'!J:J)</f>
        <v>0</v>
      </c>
      <c r="M94" s="371" t="e">
        <f t="shared" si="11"/>
        <v>#DIV/0!</v>
      </c>
      <c r="N94" s="371" t="e">
        <f t="shared" si="14"/>
        <v>#DIV/0!</v>
      </c>
      <c r="AA94" s="54"/>
      <c r="AB94" s="40"/>
      <c r="AC94" s="40"/>
      <c r="AD94" s="40"/>
      <c r="AE94" s="40"/>
      <c r="AF94" s="40"/>
      <c r="AG94" s="40"/>
    </row>
    <row r="95" spans="1:33" ht="15" customHeight="1">
      <c r="A95" s="359" t="str">
        <f t="shared" si="7"/>
        <v>Willem Alexanderplantsoen 4-6, 2713 VM</v>
      </c>
      <c r="B95" s="368" t="e">
        <f>(G45+J45)*'6-Opbouw uurtarief productie'!$E$47</f>
        <v>#DIV/0!</v>
      </c>
      <c r="C95" s="368" t="e">
        <f>(H45+K45)*'6-Opbouw uurtarief productie'!$E$47</f>
        <v>#DIV/0!</v>
      </c>
      <c r="D95" s="369" t="e">
        <f>(I45+L45)*'6-Opbouw uurtarief productie'!$E$51</f>
        <v>#DIV/0!</v>
      </c>
      <c r="E95" s="370" t="e">
        <f t="shared" si="8"/>
        <v>#DIV/0!</v>
      </c>
      <c r="F95" s="370" t="e">
        <f>M45*'7-Opbouw uurtarief toezicht'!$E$47</f>
        <v>#DIV/0!</v>
      </c>
      <c r="G95" s="370" t="e">
        <f>N45*'7-Opbouw uurtarief toezicht'!$E$47</f>
        <v>#DIV/0!</v>
      </c>
      <c r="H95" s="371" t="e">
        <f>O45*'7-Opbouw uurtarief toezicht'!$E$51</f>
        <v>#DIV/0!</v>
      </c>
      <c r="I95" s="372" t="e">
        <f t="shared" si="9"/>
        <v>#DIV/0!</v>
      </c>
      <c r="J95" s="373">
        <f>SUMIF('11-Vloeronderhoud'!A:A,'2-Kosten per locatie'!A95,'11-Vloeronderhoud'!I:I)</f>
        <v>0</v>
      </c>
      <c r="K95" s="371">
        <f>SUMIF('8-Additionele kosten'!A:A,'2-Kosten per locatie'!A95,'8-Additionele kosten'!I:I)</f>
        <v>0</v>
      </c>
      <c r="L95" s="374">
        <f>SUMIF('10-Glasbewassing'!A:A,'2-Kosten per locatie'!A95,'10-Glasbewassing'!J:J)</f>
        <v>0</v>
      </c>
      <c r="M95" s="371" t="e">
        <f t="shared" si="11"/>
        <v>#DIV/0!</v>
      </c>
      <c r="N95" s="371" t="e">
        <f t="shared" si="14"/>
        <v>#DIV/0!</v>
      </c>
      <c r="AA95" s="54"/>
      <c r="AB95" s="40"/>
      <c r="AC95" s="40"/>
      <c r="AD95" s="40"/>
      <c r="AE95" s="40"/>
      <c r="AF95" s="40"/>
      <c r="AG95" s="40"/>
    </row>
    <row r="96" spans="1:33" ht="15" customHeight="1">
      <c r="A96" s="359" t="str">
        <f t="shared" si="7"/>
        <v>Rakkersveld 137, 2722 BN</v>
      </c>
      <c r="B96" s="368" t="e">
        <f>(G46+J46)*'6-Opbouw uurtarief productie'!$E$47</f>
        <v>#DIV/0!</v>
      </c>
      <c r="C96" s="368" t="e">
        <f>(H46+K46)*'6-Opbouw uurtarief productie'!$E$47</f>
        <v>#DIV/0!</v>
      </c>
      <c r="D96" s="369" t="e">
        <f>(I46+L46)*'6-Opbouw uurtarief productie'!$E$51</f>
        <v>#DIV/0!</v>
      </c>
      <c r="E96" s="370" t="e">
        <f t="shared" si="8"/>
        <v>#DIV/0!</v>
      </c>
      <c r="F96" s="370" t="e">
        <f>M46*'7-Opbouw uurtarief toezicht'!$E$47</f>
        <v>#DIV/0!</v>
      </c>
      <c r="G96" s="370" t="e">
        <f>N46*'7-Opbouw uurtarief toezicht'!$E$47</f>
        <v>#DIV/0!</v>
      </c>
      <c r="H96" s="371" t="e">
        <f>O46*'7-Opbouw uurtarief toezicht'!$E$51</f>
        <v>#DIV/0!</v>
      </c>
      <c r="I96" s="372" t="e">
        <f t="shared" si="9"/>
        <v>#DIV/0!</v>
      </c>
      <c r="J96" s="373">
        <f>SUMIF('11-Vloeronderhoud'!A:A,'2-Kosten per locatie'!A96,'11-Vloeronderhoud'!I:I)</f>
        <v>0</v>
      </c>
      <c r="K96" s="371">
        <f>SUMIF('8-Additionele kosten'!A:A,'2-Kosten per locatie'!A96,'8-Additionele kosten'!I:I)</f>
        <v>0</v>
      </c>
      <c r="L96" s="374">
        <f>SUMIF('10-Glasbewassing'!A:A,'2-Kosten per locatie'!A96,'10-Glasbewassing'!J:J)</f>
        <v>0</v>
      </c>
      <c r="M96" s="371" t="e">
        <f t="shared" si="11"/>
        <v>#DIV/0!</v>
      </c>
      <c r="N96" s="371" t="e">
        <f t="shared" si="14"/>
        <v>#DIV/0!</v>
      </c>
      <c r="W96" s="54"/>
      <c r="X96" s="54"/>
      <c r="Y96" s="54"/>
      <c r="Z96" s="54"/>
      <c r="AA96" s="54"/>
      <c r="AB96" s="40"/>
      <c r="AC96" s="40"/>
      <c r="AD96" s="40"/>
      <c r="AE96" s="40"/>
      <c r="AF96" s="40"/>
      <c r="AG96" s="40"/>
    </row>
    <row r="97" spans="1:33" ht="15" customHeight="1">
      <c r="A97" s="359" t="str">
        <f t="shared" si="7"/>
        <v>Rakkersveld 147, 2722 BN</v>
      </c>
      <c r="B97" s="368" t="e">
        <f>(G47+J47)*'6-Opbouw uurtarief productie'!$E$47</f>
        <v>#DIV/0!</v>
      </c>
      <c r="C97" s="368" t="e">
        <f>(H47+K47)*'6-Opbouw uurtarief productie'!$E$47</f>
        <v>#DIV/0!</v>
      </c>
      <c r="D97" s="369" t="e">
        <f>(I47+L47)*'6-Opbouw uurtarief productie'!$E$51</f>
        <v>#DIV/0!</v>
      </c>
      <c r="E97" s="370" t="e">
        <f t="shared" si="8"/>
        <v>#DIV/0!</v>
      </c>
      <c r="F97" s="370" t="e">
        <f>M47*'7-Opbouw uurtarief toezicht'!$E$47</f>
        <v>#DIV/0!</v>
      </c>
      <c r="G97" s="370" t="e">
        <f>N47*'7-Opbouw uurtarief toezicht'!$E$47</f>
        <v>#DIV/0!</v>
      </c>
      <c r="H97" s="371" t="e">
        <f>O47*'7-Opbouw uurtarief toezicht'!$E$51</f>
        <v>#DIV/0!</v>
      </c>
      <c r="I97" s="372" t="e">
        <f t="shared" si="9"/>
        <v>#DIV/0!</v>
      </c>
      <c r="J97" s="373">
        <f>SUMIF('11-Vloeronderhoud'!A:A,'2-Kosten per locatie'!A97,'11-Vloeronderhoud'!I:I)</f>
        <v>0</v>
      </c>
      <c r="K97" s="371">
        <f>SUMIF('8-Additionele kosten'!A:A,'2-Kosten per locatie'!A97,'8-Additionele kosten'!I:I)</f>
        <v>0</v>
      </c>
      <c r="L97" s="374">
        <f>SUMIF('10-Glasbewassing'!A:A,'2-Kosten per locatie'!A97,'10-Glasbewassing'!J:J)</f>
        <v>0</v>
      </c>
      <c r="M97" s="371" t="e">
        <f t="shared" si="11"/>
        <v>#DIV/0!</v>
      </c>
      <c r="N97" s="371" t="e">
        <f t="shared" si="14"/>
        <v>#DIV/0!</v>
      </c>
      <c r="W97" s="54"/>
      <c r="X97" s="54"/>
      <c r="Y97" s="54"/>
      <c r="Z97" s="54"/>
      <c r="AA97" s="54"/>
      <c r="AB97" s="40"/>
      <c r="AC97" s="40"/>
      <c r="AD97" s="40"/>
      <c r="AE97" s="40"/>
      <c r="AF97" s="40"/>
      <c r="AG97" s="40"/>
    </row>
    <row r="98" spans="1:33" ht="15" customHeight="1">
      <c r="A98" s="359" t="str">
        <f t="shared" si="7"/>
        <v>Rakkersveld 249-251, 2722 BN</v>
      </c>
      <c r="B98" s="368" t="e">
        <f>(G48+J48)*'6-Opbouw uurtarief productie'!$E$47</f>
        <v>#DIV/0!</v>
      </c>
      <c r="C98" s="368" t="e">
        <f>(H48+K48)*'6-Opbouw uurtarief productie'!$E$47</f>
        <v>#DIV/0!</v>
      </c>
      <c r="D98" s="369" t="e">
        <f>(I48+L48)*'6-Opbouw uurtarief productie'!$E$51</f>
        <v>#DIV/0!</v>
      </c>
      <c r="E98" s="370" t="e">
        <f t="shared" si="8"/>
        <v>#DIV/0!</v>
      </c>
      <c r="F98" s="370" t="e">
        <f>M48*'7-Opbouw uurtarief toezicht'!$E$47</f>
        <v>#DIV/0!</v>
      </c>
      <c r="G98" s="370" t="e">
        <f>N48*'7-Opbouw uurtarief toezicht'!$E$47</f>
        <v>#DIV/0!</v>
      </c>
      <c r="H98" s="371" t="e">
        <f>O48*'7-Opbouw uurtarief toezicht'!$E$51</f>
        <v>#DIV/0!</v>
      </c>
      <c r="I98" s="372" t="e">
        <f t="shared" si="9"/>
        <v>#DIV/0!</v>
      </c>
      <c r="J98" s="373">
        <f>SUMIF('11-Vloeronderhoud'!A:A,'2-Kosten per locatie'!A98,'11-Vloeronderhoud'!I:I)</f>
        <v>0</v>
      </c>
      <c r="K98" s="371">
        <f>SUMIF('8-Additionele kosten'!A:A,'2-Kosten per locatie'!A98,'8-Additionele kosten'!I:I)</f>
        <v>0</v>
      </c>
      <c r="L98" s="374">
        <f>SUMIF('10-Glasbewassing'!A:A,'2-Kosten per locatie'!A98,'10-Glasbewassing'!J:J)</f>
        <v>0</v>
      </c>
      <c r="M98" s="371" t="e">
        <f t="shared" si="11"/>
        <v>#DIV/0!</v>
      </c>
      <c r="N98" s="371" t="e">
        <f t="shared" si="14"/>
        <v>#DIV/0!</v>
      </c>
      <c r="W98" s="54"/>
      <c r="X98" s="54"/>
      <c r="Y98" s="54"/>
      <c r="Z98" s="54"/>
      <c r="AA98" s="54"/>
      <c r="AB98" s="40"/>
      <c r="AC98" s="40"/>
      <c r="AD98" s="40"/>
      <c r="AE98" s="40"/>
      <c r="AF98" s="40"/>
      <c r="AG98" s="40"/>
    </row>
    <row r="99" spans="1:33" ht="15" customHeight="1">
      <c r="A99" s="359" t="str">
        <f t="shared" si="7"/>
        <v>Rakkersveld 253, 2722 BN</v>
      </c>
      <c r="B99" s="368" t="e">
        <f>(G49+J49)*'6-Opbouw uurtarief productie'!$E$47</f>
        <v>#DIV/0!</v>
      </c>
      <c r="C99" s="368" t="e">
        <f>(H49+K49)*'6-Opbouw uurtarief productie'!$E$47</f>
        <v>#DIV/0!</v>
      </c>
      <c r="D99" s="369" t="e">
        <f>(I49+L49)*'6-Opbouw uurtarief productie'!$E$51</f>
        <v>#DIV/0!</v>
      </c>
      <c r="E99" s="370" t="e">
        <f t="shared" si="8"/>
        <v>#DIV/0!</v>
      </c>
      <c r="F99" s="370" t="e">
        <f>M49*'7-Opbouw uurtarief toezicht'!$E$47</f>
        <v>#DIV/0!</v>
      </c>
      <c r="G99" s="370" t="e">
        <f>N49*'7-Opbouw uurtarief toezicht'!$E$47</f>
        <v>#DIV/0!</v>
      </c>
      <c r="H99" s="371" t="e">
        <f>O49*'7-Opbouw uurtarief toezicht'!$E$51</f>
        <v>#DIV/0!</v>
      </c>
      <c r="I99" s="372" t="e">
        <f t="shared" si="9"/>
        <v>#DIV/0!</v>
      </c>
      <c r="J99" s="373">
        <f>SUMIF('11-Vloeronderhoud'!A:A,'2-Kosten per locatie'!A99,'11-Vloeronderhoud'!I:I)</f>
        <v>0</v>
      </c>
      <c r="K99" s="371">
        <f>SUMIF('8-Additionele kosten'!A:A,'2-Kosten per locatie'!A99,'8-Additionele kosten'!I:I)</f>
        <v>0</v>
      </c>
      <c r="L99" s="374">
        <f>SUMIF('10-Glasbewassing'!A:A,'2-Kosten per locatie'!A99,'10-Glasbewassing'!J:J)</f>
        <v>0</v>
      </c>
      <c r="M99" s="371" t="e">
        <f t="shared" si="11"/>
        <v>#DIV/0!</v>
      </c>
      <c r="N99" s="371" t="e">
        <f t="shared" si="14"/>
        <v>#DIV/0!</v>
      </c>
      <c r="W99" s="54"/>
      <c r="X99" s="54"/>
      <c r="Y99" s="54"/>
      <c r="Z99" s="54"/>
      <c r="AA99" s="54"/>
      <c r="AB99" s="40"/>
      <c r="AC99" s="40"/>
      <c r="AD99" s="40"/>
      <c r="AE99" s="40"/>
      <c r="AF99" s="40"/>
      <c r="AG99" s="40"/>
    </row>
    <row r="100" spans="1:33" ht="15" customHeight="1">
      <c r="A100" s="359" t="str">
        <f t="shared" si="7"/>
        <v>Rakkersveld 255, 2722 BN</v>
      </c>
      <c r="B100" s="368" t="e">
        <f>(G50+J50)*'6-Opbouw uurtarief productie'!$E$47</f>
        <v>#DIV/0!</v>
      </c>
      <c r="C100" s="368" t="e">
        <f>(H50+K50)*'6-Opbouw uurtarief productie'!$E$47</f>
        <v>#DIV/0!</v>
      </c>
      <c r="D100" s="369" t="e">
        <f>(I50+L50)*'6-Opbouw uurtarief productie'!$E$51</f>
        <v>#DIV/0!</v>
      </c>
      <c r="E100" s="370" t="e">
        <f t="shared" si="8"/>
        <v>#DIV/0!</v>
      </c>
      <c r="F100" s="370" t="e">
        <f>M50*'7-Opbouw uurtarief toezicht'!$E$47</f>
        <v>#DIV/0!</v>
      </c>
      <c r="G100" s="370" t="e">
        <f>N50*'7-Opbouw uurtarief toezicht'!$E$47</f>
        <v>#DIV/0!</v>
      </c>
      <c r="H100" s="371" t="e">
        <f>O50*'7-Opbouw uurtarief toezicht'!$E$51</f>
        <v>#DIV/0!</v>
      </c>
      <c r="I100" s="372" t="e">
        <f t="shared" si="9"/>
        <v>#DIV/0!</v>
      </c>
      <c r="J100" s="373">
        <f>SUMIF('11-Vloeronderhoud'!A:A,'2-Kosten per locatie'!A100,'11-Vloeronderhoud'!I:I)</f>
        <v>0</v>
      </c>
      <c r="K100" s="371">
        <f>SUMIF('8-Additionele kosten'!A:A,'2-Kosten per locatie'!A100,'8-Additionele kosten'!I:I)</f>
        <v>0</v>
      </c>
      <c r="L100" s="374">
        <f>SUMIF('10-Glasbewassing'!A:A,'2-Kosten per locatie'!A100,'10-Glasbewassing'!J:J)</f>
        <v>0</v>
      </c>
      <c r="M100" s="371" t="e">
        <f t="shared" si="11"/>
        <v>#DIV/0!</v>
      </c>
      <c r="N100" s="371" t="e">
        <f t="shared" si="14"/>
        <v>#DIV/0!</v>
      </c>
      <c r="W100" s="54"/>
      <c r="X100" s="54"/>
      <c r="Y100" s="54"/>
      <c r="Z100" s="54"/>
      <c r="AA100" s="54"/>
      <c r="AB100" s="40"/>
      <c r="AC100" s="40"/>
      <c r="AD100" s="40"/>
      <c r="AE100" s="40"/>
      <c r="AF100" s="40"/>
      <c r="AG100" s="40"/>
    </row>
    <row r="101" spans="1:33" ht="15" customHeight="1">
      <c r="A101" s="359" t="str">
        <f t="shared" si="7"/>
        <v>Spitsbergen 1, 2721 GP</v>
      </c>
      <c r="B101" s="368" t="e">
        <f>(G51+J51)*'6-Opbouw uurtarief productie'!$E$47</f>
        <v>#DIV/0!</v>
      </c>
      <c r="C101" s="368" t="e">
        <f>(H51+K51)*'6-Opbouw uurtarief productie'!$E$47</f>
        <v>#DIV/0!</v>
      </c>
      <c r="D101" s="369" t="e">
        <f>(I51+L51)*'6-Opbouw uurtarief productie'!$E$51</f>
        <v>#DIV/0!</v>
      </c>
      <c r="E101" s="370" t="e">
        <f t="shared" si="8"/>
        <v>#DIV/0!</v>
      </c>
      <c r="F101" s="370" t="e">
        <f>M51*'7-Opbouw uurtarief toezicht'!$E$47</f>
        <v>#DIV/0!</v>
      </c>
      <c r="G101" s="370" t="e">
        <f>N51*'7-Opbouw uurtarief toezicht'!$E$47</f>
        <v>#DIV/0!</v>
      </c>
      <c r="H101" s="371" t="e">
        <f>O51*'7-Opbouw uurtarief toezicht'!$E$51</f>
        <v>#DIV/0!</v>
      </c>
      <c r="I101" s="372" t="e">
        <f t="shared" si="9"/>
        <v>#DIV/0!</v>
      </c>
      <c r="J101" s="373">
        <f>SUMIF('11-Vloeronderhoud'!A:A,'2-Kosten per locatie'!A101,'11-Vloeronderhoud'!I:I)</f>
        <v>0</v>
      </c>
      <c r="K101" s="371">
        <f>SUMIF('8-Additionele kosten'!A:A,'2-Kosten per locatie'!A101,'8-Additionele kosten'!I:I)</f>
        <v>0</v>
      </c>
      <c r="L101" s="374">
        <f>SUMIF('10-Glasbewassing'!A:A,'2-Kosten per locatie'!A101,'10-Glasbewassing'!J:J)</f>
        <v>0</v>
      </c>
      <c r="M101" s="371" t="e">
        <f t="shared" si="11"/>
        <v>#DIV/0!</v>
      </c>
      <c r="N101" s="371" t="e">
        <f t="shared" si="14"/>
        <v>#DIV/0!</v>
      </c>
      <c r="W101" s="54"/>
      <c r="X101" s="54"/>
      <c r="Y101" s="54"/>
      <c r="Z101" s="54"/>
      <c r="AA101" s="54"/>
      <c r="AB101" s="40"/>
      <c r="AC101" s="40"/>
      <c r="AD101" s="40"/>
      <c r="AE101" s="40"/>
      <c r="AF101" s="40"/>
      <c r="AG101" s="40"/>
    </row>
    <row r="102" spans="1:33" ht="15" customHeight="1">
      <c r="A102" s="359" t="str">
        <f t="shared" si="7"/>
        <v>Zanzibarplein 5, 2721 GE</v>
      </c>
      <c r="B102" s="368" t="e">
        <f>(G52+J52)*'6-Opbouw uurtarief productie'!$E$47</f>
        <v>#DIV/0!</v>
      </c>
      <c r="C102" s="368" t="e">
        <f>(H52+K52)*'6-Opbouw uurtarief productie'!$E$47</f>
        <v>#DIV/0!</v>
      </c>
      <c r="D102" s="369" t="e">
        <f>(I52+L52)*'6-Opbouw uurtarief productie'!$E$51</f>
        <v>#DIV/0!</v>
      </c>
      <c r="E102" s="370" t="e">
        <f t="shared" si="8"/>
        <v>#DIV/0!</v>
      </c>
      <c r="F102" s="370" t="e">
        <f>M52*'7-Opbouw uurtarief toezicht'!$E$47</f>
        <v>#DIV/0!</v>
      </c>
      <c r="G102" s="370" t="e">
        <f>N52*'7-Opbouw uurtarief toezicht'!$E$47</f>
        <v>#DIV/0!</v>
      </c>
      <c r="H102" s="371" t="e">
        <f>O52*'7-Opbouw uurtarief toezicht'!$E$51</f>
        <v>#DIV/0!</v>
      </c>
      <c r="I102" s="372" t="e">
        <f t="shared" si="9"/>
        <v>#DIV/0!</v>
      </c>
      <c r="J102" s="373">
        <f>SUMIF('11-Vloeronderhoud'!A:A,'2-Kosten per locatie'!A102,'11-Vloeronderhoud'!I:I)</f>
        <v>0</v>
      </c>
      <c r="K102" s="371">
        <f>SUMIF('8-Additionele kosten'!A:A,'2-Kosten per locatie'!A102,'8-Additionele kosten'!I:I)</f>
        <v>0</v>
      </c>
      <c r="L102" s="374">
        <f>SUMIF('10-Glasbewassing'!A:A,'2-Kosten per locatie'!A102,'10-Glasbewassing'!J:J)</f>
        <v>0</v>
      </c>
      <c r="M102" s="371" t="e">
        <f t="shared" si="11"/>
        <v>#DIV/0!</v>
      </c>
      <c r="N102" s="371" t="e">
        <f t="shared" si="14"/>
        <v>#DIV/0!</v>
      </c>
      <c r="W102" s="54"/>
      <c r="X102" s="54"/>
      <c r="Y102" s="54"/>
      <c r="Z102" s="54"/>
      <c r="AA102" s="54"/>
      <c r="AB102" s="40"/>
      <c r="AC102" s="40"/>
      <c r="AD102" s="40"/>
      <c r="AE102" s="40"/>
      <c r="AF102" s="40"/>
      <c r="AG102" s="40"/>
    </row>
    <row r="103" spans="1:33" ht="15" customHeight="1">
      <c r="A103" s="359" t="str">
        <f t="shared" si="7"/>
        <v>Zanzibarplein 20, 2721 GE</v>
      </c>
      <c r="B103" s="368" t="e">
        <f>(G53+J53)*'6-Opbouw uurtarief productie'!$E$47</f>
        <v>#DIV/0!</v>
      </c>
      <c r="C103" s="368" t="e">
        <f>(H53+K53)*'6-Opbouw uurtarief productie'!$E$47</f>
        <v>#DIV/0!</v>
      </c>
      <c r="D103" s="369" t="e">
        <f>(I53+L53)*'6-Opbouw uurtarief productie'!$E$51</f>
        <v>#DIV/0!</v>
      </c>
      <c r="E103" s="370" t="e">
        <f t="shared" si="8"/>
        <v>#DIV/0!</v>
      </c>
      <c r="F103" s="370" t="e">
        <f>M53*'7-Opbouw uurtarief toezicht'!$E$47</f>
        <v>#DIV/0!</v>
      </c>
      <c r="G103" s="370" t="e">
        <f>N53*'7-Opbouw uurtarief toezicht'!$E$47</f>
        <v>#DIV/0!</v>
      </c>
      <c r="H103" s="371" t="e">
        <f>O53*'7-Opbouw uurtarief toezicht'!$E$51</f>
        <v>#DIV/0!</v>
      </c>
      <c r="I103" s="372" t="e">
        <f t="shared" si="9"/>
        <v>#DIV/0!</v>
      </c>
      <c r="J103" s="373">
        <f>SUMIF('11-Vloeronderhoud'!A:A,'2-Kosten per locatie'!A103,'11-Vloeronderhoud'!I:I)</f>
        <v>0</v>
      </c>
      <c r="K103" s="371">
        <f>SUMIF('8-Additionele kosten'!A:A,'2-Kosten per locatie'!A103,'8-Additionele kosten'!I:I)</f>
        <v>0</v>
      </c>
      <c r="L103" s="374">
        <f>SUMIF('10-Glasbewassing'!A:A,'2-Kosten per locatie'!A103,'10-Glasbewassing'!J:J)</f>
        <v>0</v>
      </c>
      <c r="M103" s="371" t="e">
        <f t="shared" si="11"/>
        <v>#DIV/0!</v>
      </c>
      <c r="N103" s="371" t="e">
        <f t="shared" si="14"/>
        <v>#DIV/0!</v>
      </c>
      <c r="W103" s="54"/>
      <c r="X103" s="54"/>
      <c r="Y103" s="54"/>
      <c r="Z103" s="54"/>
      <c r="AA103" s="54"/>
      <c r="AB103" s="40"/>
      <c r="AC103" s="40"/>
      <c r="AD103" s="40"/>
      <c r="AE103" s="40"/>
      <c r="AF103" s="40"/>
      <c r="AG103" s="40"/>
    </row>
    <row r="104" spans="1:33" ht="15" customHeight="1">
      <c r="A104" s="359" t="str">
        <f t="shared" si="7"/>
        <v>Rakkersveld 139, 2722 BN</v>
      </c>
      <c r="B104" s="368" t="e">
        <f>(G54+J54)*'6-Opbouw uurtarief productie'!$E$47</f>
        <v>#DIV/0!</v>
      </c>
      <c r="C104" s="368" t="e">
        <f>(H54+K54)*'6-Opbouw uurtarief productie'!$E$47</f>
        <v>#DIV/0!</v>
      </c>
      <c r="D104" s="369" t="e">
        <f>(I54+L54)*'6-Opbouw uurtarief productie'!$E$51</f>
        <v>#DIV/0!</v>
      </c>
      <c r="E104" s="370" t="e">
        <f t="shared" si="8"/>
        <v>#DIV/0!</v>
      </c>
      <c r="F104" s="370" t="e">
        <f>M54*'7-Opbouw uurtarief toezicht'!$E$47</f>
        <v>#DIV/0!</v>
      </c>
      <c r="G104" s="370" t="e">
        <f>N54*'7-Opbouw uurtarief toezicht'!$E$47</f>
        <v>#DIV/0!</v>
      </c>
      <c r="H104" s="371" t="e">
        <f>O54*'7-Opbouw uurtarief toezicht'!$E$51</f>
        <v>#DIV/0!</v>
      </c>
      <c r="I104" s="372" t="e">
        <f t="shared" si="9"/>
        <v>#DIV/0!</v>
      </c>
      <c r="J104" s="373">
        <f>SUMIF('11-Vloeronderhoud'!A:A,'2-Kosten per locatie'!A104,'11-Vloeronderhoud'!I:I)</f>
        <v>0</v>
      </c>
      <c r="K104" s="371">
        <f>SUMIF('8-Additionele kosten'!A:A,'2-Kosten per locatie'!A104,'8-Additionele kosten'!I:I)</f>
        <v>0</v>
      </c>
      <c r="L104" s="374">
        <f>SUMIF('10-Glasbewassing'!A:A,'2-Kosten per locatie'!A104,'10-Glasbewassing'!J:J)</f>
        <v>0</v>
      </c>
      <c r="M104" s="371" t="e">
        <f t="shared" si="11"/>
        <v>#DIV/0!</v>
      </c>
      <c r="N104" s="371" t="e">
        <f t="shared" si="14"/>
        <v>#DIV/0!</v>
      </c>
      <c r="W104" s="54"/>
      <c r="X104" s="54"/>
      <c r="Y104" s="54"/>
      <c r="Z104" s="54"/>
      <c r="AA104" s="54"/>
      <c r="AB104" s="40"/>
      <c r="AC104" s="40"/>
      <c r="AD104" s="40"/>
      <c r="AE104" s="40"/>
      <c r="AF104" s="40"/>
      <c r="AG104" s="40"/>
    </row>
    <row r="105" spans="1:33" ht="15" customHeight="1">
      <c r="A105" s="359" t="str">
        <f t="shared" si="7"/>
        <v>Buytenparklaan 6, 2717 AX</v>
      </c>
      <c r="B105" s="368" t="e">
        <f>(G55+J55)*'6-Opbouw uurtarief productie'!$E$47</f>
        <v>#DIV/0!</v>
      </c>
      <c r="C105" s="368" t="e">
        <f>(H55+K55)*'6-Opbouw uurtarief productie'!$E$47</f>
        <v>#DIV/0!</v>
      </c>
      <c r="D105" s="369" t="e">
        <f>(I55+L55)*'6-Opbouw uurtarief productie'!$E$51</f>
        <v>#DIV/0!</v>
      </c>
      <c r="E105" s="370" t="e">
        <f t="shared" si="8"/>
        <v>#DIV/0!</v>
      </c>
      <c r="F105" s="370" t="e">
        <f>M55*'7-Opbouw uurtarief toezicht'!$E$47</f>
        <v>#DIV/0!</v>
      </c>
      <c r="G105" s="370" t="e">
        <f>N55*'7-Opbouw uurtarief toezicht'!$E$47</f>
        <v>#DIV/0!</v>
      </c>
      <c r="H105" s="371" t="e">
        <f>O55*'7-Opbouw uurtarief toezicht'!$E$51</f>
        <v>#DIV/0!</v>
      </c>
      <c r="I105" s="372" t="e">
        <f t="shared" si="9"/>
        <v>#DIV/0!</v>
      </c>
      <c r="J105" s="373">
        <f>SUMIF('11-Vloeronderhoud'!A:A,'2-Kosten per locatie'!A105,'11-Vloeronderhoud'!I:I)</f>
        <v>0</v>
      </c>
      <c r="K105" s="371">
        <f>SUMIF('8-Additionele kosten'!A:A,'2-Kosten per locatie'!A105,'8-Additionele kosten'!I:I)</f>
        <v>0</v>
      </c>
      <c r="L105" s="374">
        <f>SUMIF('10-Glasbewassing'!A:A,'2-Kosten per locatie'!A105,'10-Glasbewassing'!J:J)</f>
        <v>0</v>
      </c>
      <c r="M105" s="371" t="e">
        <f t="shared" si="11"/>
        <v>#DIV/0!</v>
      </c>
      <c r="N105" s="371" t="e">
        <f t="shared" si="14"/>
        <v>#DIV/0!</v>
      </c>
      <c r="W105" s="54"/>
      <c r="X105" s="54"/>
      <c r="Y105" s="54"/>
      <c r="Z105" s="54"/>
      <c r="AA105" s="54"/>
      <c r="AB105" s="40"/>
      <c r="AC105" s="40"/>
      <c r="AD105" s="40"/>
      <c r="AE105" s="40"/>
      <c r="AF105" s="40"/>
      <c r="AG105" s="40"/>
    </row>
    <row r="106" spans="1:33" ht="15" customHeight="1">
      <c r="A106" s="359" t="str">
        <f t="shared" si="7"/>
        <v>Amerikaweg 135, 2717 AV</v>
      </c>
      <c r="B106" s="368" t="e">
        <f>(G56+J56)*'6-Opbouw uurtarief productie'!$E$47</f>
        <v>#DIV/0!</v>
      </c>
      <c r="C106" s="368" t="e">
        <f>(H56+K56)*'6-Opbouw uurtarief productie'!$E$47</f>
        <v>#DIV/0!</v>
      </c>
      <c r="D106" s="369" t="e">
        <f>(I56+L56)*'6-Opbouw uurtarief productie'!$E$51</f>
        <v>#DIV/0!</v>
      </c>
      <c r="E106" s="370" t="e">
        <f t="shared" si="8"/>
        <v>#DIV/0!</v>
      </c>
      <c r="F106" s="370" t="e">
        <f>M56*'7-Opbouw uurtarief toezicht'!$E$47</f>
        <v>#DIV/0!</v>
      </c>
      <c r="G106" s="370" t="e">
        <f>N56*'7-Opbouw uurtarief toezicht'!$E$47</f>
        <v>#DIV/0!</v>
      </c>
      <c r="H106" s="371" t="e">
        <f>O56*'7-Opbouw uurtarief toezicht'!$E$51</f>
        <v>#DIV/0!</v>
      </c>
      <c r="I106" s="372" t="e">
        <f t="shared" si="9"/>
        <v>#DIV/0!</v>
      </c>
      <c r="J106" s="373">
        <f>SUMIF('11-Vloeronderhoud'!A:A,'2-Kosten per locatie'!A106,'11-Vloeronderhoud'!I:I)</f>
        <v>0</v>
      </c>
      <c r="K106" s="371">
        <f>SUMIF('8-Additionele kosten'!A:A,'2-Kosten per locatie'!A106,'8-Additionele kosten'!I:I)</f>
        <v>0</v>
      </c>
      <c r="L106" s="374">
        <f>SUMIF('10-Glasbewassing'!A:A,'2-Kosten per locatie'!A106,'10-Glasbewassing'!J:J)</f>
        <v>0</v>
      </c>
      <c r="M106" s="371" t="e">
        <f t="shared" si="11"/>
        <v>#DIV/0!</v>
      </c>
      <c r="N106" s="371" t="e">
        <f t="shared" si="14"/>
        <v>#DIV/0!</v>
      </c>
      <c r="W106" s="54"/>
      <c r="X106" s="54"/>
      <c r="Y106" s="54"/>
      <c r="Z106" s="54"/>
      <c r="AA106" s="54"/>
      <c r="AB106" s="40"/>
      <c r="AC106" s="40"/>
      <c r="AD106" s="40"/>
      <c r="AE106" s="40"/>
      <c r="AF106" s="40"/>
      <c r="AG106" s="40"/>
    </row>
    <row r="107" spans="1:33" ht="15" customHeight="1">
      <c r="A107" s="359" t="str">
        <f t="shared" si="7"/>
        <v>Prismalaan 40, 2718 CX</v>
      </c>
      <c r="B107" s="368" t="e">
        <f>(G57+J57)*'6-Opbouw uurtarief productie'!$E$47</f>
        <v>#DIV/0!</v>
      </c>
      <c r="C107" s="368" t="e">
        <f>(H57+K57)*'6-Opbouw uurtarief productie'!$E$47</f>
        <v>#DIV/0!</v>
      </c>
      <c r="D107" s="369" t="e">
        <f>(I57+L57)*'6-Opbouw uurtarief productie'!$E$51</f>
        <v>#DIV/0!</v>
      </c>
      <c r="E107" s="370" t="e">
        <f t="shared" si="8"/>
        <v>#DIV/0!</v>
      </c>
      <c r="F107" s="370" t="e">
        <f>M57*'7-Opbouw uurtarief toezicht'!$E$47</f>
        <v>#DIV/0!</v>
      </c>
      <c r="G107" s="370" t="e">
        <f>N57*'7-Opbouw uurtarief toezicht'!$E$47</f>
        <v>#DIV/0!</v>
      </c>
      <c r="H107" s="371" t="e">
        <f>O57*'7-Opbouw uurtarief toezicht'!$E$51</f>
        <v>#DIV/0!</v>
      </c>
      <c r="I107" s="372" t="e">
        <f t="shared" si="9"/>
        <v>#DIV/0!</v>
      </c>
      <c r="J107" s="373">
        <f>SUMIF('11-Vloeronderhoud'!A:A,'2-Kosten per locatie'!A107,'11-Vloeronderhoud'!I:I)</f>
        <v>0</v>
      </c>
      <c r="K107" s="371">
        <f>SUMIF('8-Additionele kosten'!A:A,'2-Kosten per locatie'!A107,'8-Additionele kosten'!I:I)</f>
        <v>0</v>
      </c>
      <c r="L107" s="374">
        <f>SUMIF('10-Glasbewassing'!A:A,'2-Kosten per locatie'!A107,'10-Glasbewassing'!J:J)</f>
        <v>0</v>
      </c>
      <c r="M107" s="371" t="e">
        <f t="shared" si="11"/>
        <v>#DIV/0!</v>
      </c>
      <c r="N107" s="371" t="e">
        <f t="shared" si="14"/>
        <v>#DIV/0!</v>
      </c>
      <c r="W107" s="54"/>
      <c r="X107" s="54"/>
      <c r="Y107" s="54"/>
      <c r="Z107" s="54"/>
      <c r="AA107" s="54"/>
      <c r="AB107" s="40"/>
      <c r="AC107" s="40"/>
      <c r="AD107" s="40"/>
      <c r="AE107" s="40"/>
      <c r="AF107" s="40"/>
      <c r="AG107" s="40"/>
    </row>
    <row r="108" spans="1:33" ht="15" customHeight="1">
      <c r="A108" s="359" t="str">
        <f t="shared" si="7"/>
        <v>v Stolberglaan 1, 2712 RB</v>
      </c>
      <c r="B108" s="368" t="e">
        <f>(G58+J58)*'6-Opbouw uurtarief productie'!$E$47</f>
        <v>#DIV/0!</v>
      </c>
      <c r="C108" s="368" t="e">
        <f>(H58+K58)*'6-Opbouw uurtarief productie'!$E$47</f>
        <v>#DIV/0!</v>
      </c>
      <c r="D108" s="369" t="e">
        <f>(I58+L58)*'6-Opbouw uurtarief productie'!$E$51</f>
        <v>#DIV/0!</v>
      </c>
      <c r="E108" s="370" t="e">
        <f t="shared" si="8"/>
        <v>#DIV/0!</v>
      </c>
      <c r="F108" s="370" t="e">
        <f>M58*'7-Opbouw uurtarief toezicht'!$E$47</f>
        <v>#DIV/0!</v>
      </c>
      <c r="G108" s="370" t="e">
        <f>N58*'7-Opbouw uurtarief toezicht'!$E$47</f>
        <v>#DIV/0!</v>
      </c>
      <c r="H108" s="371" t="e">
        <f>O58*'7-Opbouw uurtarief toezicht'!$E$51</f>
        <v>#DIV/0!</v>
      </c>
      <c r="I108" s="372" t="e">
        <f t="shared" si="9"/>
        <v>#DIV/0!</v>
      </c>
      <c r="J108" s="373">
        <f>SUMIF('11-Vloeronderhoud'!A:A,'2-Kosten per locatie'!A108,'11-Vloeronderhoud'!I:I)</f>
        <v>0</v>
      </c>
      <c r="K108" s="371">
        <f>SUMIF('8-Additionele kosten'!A:A,'2-Kosten per locatie'!A108,'8-Additionele kosten'!I:I)</f>
        <v>0</v>
      </c>
      <c r="L108" s="374">
        <f>SUMIF('10-Glasbewassing'!A:A,'2-Kosten per locatie'!A108,'10-Glasbewassing'!J:J)</f>
        <v>0</v>
      </c>
      <c r="M108" s="371" t="e">
        <f t="shared" si="11"/>
        <v>#DIV/0!</v>
      </c>
      <c r="N108" s="371" t="e">
        <f t="shared" si="14"/>
        <v>#DIV/0!</v>
      </c>
      <c r="W108" s="54"/>
      <c r="X108" s="54"/>
      <c r="Y108" s="54"/>
      <c r="Z108" s="54"/>
      <c r="AA108" s="54"/>
      <c r="AB108" s="40"/>
      <c r="AC108" s="40"/>
      <c r="AD108" s="40"/>
      <c r="AE108" s="40"/>
      <c r="AF108" s="40"/>
      <c r="AG108" s="40"/>
    </row>
    <row r="109" spans="1:33" ht="15" customHeight="1">
      <c r="A109" s="359" t="str">
        <f t="shared" si="7"/>
        <v>Vd Hagenstraat 23 a</v>
      </c>
      <c r="B109" s="368" t="e">
        <f>(G59+J59)*'6-Opbouw uurtarief productie'!$E$47</f>
        <v>#DIV/0!</v>
      </c>
      <c r="C109" s="368" t="e">
        <f>(H59+K59)*'6-Opbouw uurtarief productie'!$E$47</f>
        <v>#DIV/0!</v>
      </c>
      <c r="D109" s="369" t="e">
        <f>(I59+L59)*'6-Opbouw uurtarief productie'!$E$51</f>
        <v>#DIV/0!</v>
      </c>
      <c r="E109" s="370" t="e">
        <f t="shared" si="8"/>
        <v>#DIV/0!</v>
      </c>
      <c r="F109" s="370" t="e">
        <f>M59*'7-Opbouw uurtarief toezicht'!$E$47</f>
        <v>#DIV/0!</v>
      </c>
      <c r="G109" s="370" t="e">
        <f>N59*'7-Opbouw uurtarief toezicht'!$E$47</f>
        <v>#DIV/0!</v>
      </c>
      <c r="H109" s="371" t="e">
        <f>O59*'7-Opbouw uurtarief toezicht'!$E$51</f>
        <v>#DIV/0!</v>
      </c>
      <c r="I109" s="372" t="e">
        <f t="shared" si="9"/>
        <v>#DIV/0!</v>
      </c>
      <c r="J109" s="373">
        <f>SUMIF('11-Vloeronderhoud'!A:A,'2-Kosten per locatie'!A109,'11-Vloeronderhoud'!I:I)</f>
        <v>0</v>
      </c>
      <c r="K109" s="371">
        <f>SUMIF('8-Additionele kosten'!A:A,'2-Kosten per locatie'!A109,'8-Additionele kosten'!I:I)</f>
        <v>0</v>
      </c>
      <c r="L109" s="374">
        <f>SUMIF('10-Glasbewassing'!A:A,'2-Kosten per locatie'!A109,'10-Glasbewassing'!J:J)</f>
        <v>0</v>
      </c>
      <c r="M109" s="371" t="e">
        <f t="shared" si="11"/>
        <v>#DIV/0!</v>
      </c>
      <c r="N109" s="371" t="e">
        <f t="shared" ref="N109:N111" si="15">M109/12</f>
        <v>#DIV/0!</v>
      </c>
      <c r="W109" s="54"/>
      <c r="X109" s="54"/>
      <c r="Y109" s="54"/>
      <c r="Z109" s="54"/>
      <c r="AA109" s="54"/>
      <c r="AB109" s="40"/>
      <c r="AC109" s="40"/>
      <c r="AD109" s="40"/>
      <c r="AE109" s="40"/>
      <c r="AF109" s="40"/>
      <c r="AG109" s="40"/>
    </row>
    <row r="110" spans="1:33" ht="15" customHeight="1">
      <c r="A110" s="359" t="str">
        <f t="shared" si="7"/>
        <v>Vd Hagenstraat 19</v>
      </c>
      <c r="B110" s="368" t="e">
        <f>(G60+J60)*'6-Opbouw uurtarief productie'!$E$47</f>
        <v>#DIV/0!</v>
      </c>
      <c r="C110" s="368" t="e">
        <f>(H60+K60)*'6-Opbouw uurtarief productie'!$E$47</f>
        <v>#DIV/0!</v>
      </c>
      <c r="D110" s="369" t="e">
        <f>(I60+L60)*'6-Opbouw uurtarief productie'!$E$51</f>
        <v>#DIV/0!</v>
      </c>
      <c r="E110" s="370" t="e">
        <f t="shared" si="8"/>
        <v>#DIV/0!</v>
      </c>
      <c r="F110" s="370" t="e">
        <f>M60*'7-Opbouw uurtarief toezicht'!$E$47</f>
        <v>#DIV/0!</v>
      </c>
      <c r="G110" s="370" t="e">
        <f>N60*'7-Opbouw uurtarief toezicht'!$E$47</f>
        <v>#DIV/0!</v>
      </c>
      <c r="H110" s="371" t="e">
        <f>O60*'7-Opbouw uurtarief toezicht'!$E$51</f>
        <v>#DIV/0!</v>
      </c>
      <c r="I110" s="372" t="e">
        <f t="shared" si="9"/>
        <v>#DIV/0!</v>
      </c>
      <c r="J110" s="373">
        <f>SUMIF('11-Vloeronderhoud'!A:A,'2-Kosten per locatie'!A110,'11-Vloeronderhoud'!I:I)</f>
        <v>0</v>
      </c>
      <c r="K110" s="371">
        <f>SUMIF('8-Additionele kosten'!A:A,'2-Kosten per locatie'!A110,'8-Additionele kosten'!I:I)</f>
        <v>0</v>
      </c>
      <c r="L110" s="374">
        <f>SUMIF('10-Glasbewassing'!A:A,'2-Kosten per locatie'!A110,'10-Glasbewassing'!J:J)</f>
        <v>0</v>
      </c>
      <c r="M110" s="371" t="e">
        <f t="shared" si="11"/>
        <v>#DIV/0!</v>
      </c>
      <c r="N110" s="371" t="e">
        <f t="shared" si="15"/>
        <v>#DIV/0!</v>
      </c>
      <c r="W110" s="54"/>
      <c r="X110" s="54"/>
      <c r="Y110" s="54"/>
      <c r="Z110" s="54"/>
      <c r="AA110" s="54"/>
      <c r="AB110" s="40"/>
      <c r="AC110" s="40"/>
      <c r="AD110" s="40"/>
      <c r="AE110" s="40"/>
      <c r="AF110" s="40"/>
      <c r="AG110" s="40"/>
    </row>
    <row r="111" spans="1:33" ht="15" customHeight="1">
      <c r="A111" s="359" t="str">
        <f t="shared" si="7"/>
        <v>Amsterdamstraat 5</v>
      </c>
      <c r="B111" s="368" t="e">
        <f>(G61+J61)*'6-Opbouw uurtarief productie'!$E$47</f>
        <v>#DIV/0!</v>
      </c>
      <c r="C111" s="368" t="e">
        <f>(H61+K61)*'6-Opbouw uurtarief productie'!$E$47</f>
        <v>#DIV/0!</v>
      </c>
      <c r="D111" s="369" t="e">
        <f>(I61+L61)*'6-Opbouw uurtarief productie'!$E$51</f>
        <v>#DIV/0!</v>
      </c>
      <c r="E111" s="370" t="e">
        <f t="shared" si="8"/>
        <v>#DIV/0!</v>
      </c>
      <c r="F111" s="370" t="e">
        <f>M61*'7-Opbouw uurtarief toezicht'!$E$47</f>
        <v>#DIV/0!</v>
      </c>
      <c r="G111" s="370" t="e">
        <f>N61*'7-Opbouw uurtarief toezicht'!$E$47</f>
        <v>#DIV/0!</v>
      </c>
      <c r="H111" s="371" t="e">
        <f>O61*'7-Opbouw uurtarief toezicht'!$E$51</f>
        <v>#DIV/0!</v>
      </c>
      <c r="I111" s="372" t="e">
        <f t="shared" si="9"/>
        <v>#DIV/0!</v>
      </c>
      <c r="J111" s="373">
        <f>SUMIF('11-Vloeronderhoud'!A:A,'2-Kosten per locatie'!A111,'11-Vloeronderhoud'!I:I)</f>
        <v>0</v>
      </c>
      <c r="K111" s="371">
        <f>SUMIF('8-Additionele kosten'!A:A,'2-Kosten per locatie'!A111,'8-Additionele kosten'!I:I)</f>
        <v>0</v>
      </c>
      <c r="L111" s="374">
        <f>SUMIF('10-Glasbewassing'!A:A,'2-Kosten per locatie'!A111,'10-Glasbewassing'!J:J)</f>
        <v>0</v>
      </c>
      <c r="M111" s="371" t="e">
        <f t="shared" si="11"/>
        <v>#DIV/0!</v>
      </c>
      <c r="N111" s="371" t="e">
        <f t="shared" si="15"/>
        <v>#DIV/0!</v>
      </c>
      <c r="W111" s="54"/>
      <c r="X111" s="54"/>
      <c r="Y111" s="54"/>
      <c r="Z111" s="54"/>
      <c r="AA111" s="54"/>
      <c r="AB111" s="40"/>
      <c r="AC111" s="40"/>
      <c r="AD111" s="40"/>
      <c r="AE111" s="40"/>
      <c r="AF111" s="40"/>
      <c r="AG111" s="40"/>
    </row>
    <row r="112" spans="1:33" s="55" customFormat="1" ht="15" customHeight="1">
      <c r="A112" s="361" t="s">
        <v>83</v>
      </c>
      <c r="B112" s="375" t="e">
        <f t="shared" ref="B112:N112" si="16">SUM(B65:B111)</f>
        <v>#DIV/0!</v>
      </c>
      <c r="C112" s="375" t="e">
        <f t="shared" si="16"/>
        <v>#DIV/0!</v>
      </c>
      <c r="D112" s="375" t="e">
        <f t="shared" si="16"/>
        <v>#DIV/0!</v>
      </c>
      <c r="E112" s="375" t="e">
        <f t="shared" si="16"/>
        <v>#DIV/0!</v>
      </c>
      <c r="F112" s="375" t="e">
        <f t="shared" si="16"/>
        <v>#DIV/0!</v>
      </c>
      <c r="G112" s="375" t="e">
        <f t="shared" si="16"/>
        <v>#DIV/0!</v>
      </c>
      <c r="H112" s="375" t="e">
        <f t="shared" si="16"/>
        <v>#DIV/0!</v>
      </c>
      <c r="I112" s="375" t="e">
        <f t="shared" si="16"/>
        <v>#DIV/0!</v>
      </c>
      <c r="J112" s="375">
        <f t="shared" si="16"/>
        <v>0</v>
      </c>
      <c r="K112" s="375">
        <f t="shared" si="16"/>
        <v>0</v>
      </c>
      <c r="L112" s="375">
        <f t="shared" si="16"/>
        <v>0</v>
      </c>
      <c r="M112" s="375" t="e">
        <f t="shared" si="16"/>
        <v>#DIV/0!</v>
      </c>
      <c r="N112" s="375" t="e">
        <f t="shared" si="16"/>
        <v>#DIV/0!</v>
      </c>
      <c r="W112" s="54"/>
      <c r="X112" s="54"/>
      <c r="Y112" s="54"/>
      <c r="Z112" s="54"/>
      <c r="AA112" s="54"/>
    </row>
    <row r="113" spans="29:33" ht="14.1" customHeight="1">
      <c r="AC113" s="54"/>
      <c r="AD113" s="54"/>
      <c r="AE113" s="54"/>
      <c r="AF113" s="54"/>
      <c r="AG113" s="54"/>
    </row>
  </sheetData>
  <mergeCells count="1">
    <mergeCell ref="S13:X13"/>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Q53"/>
  <sheetViews>
    <sheetView showGridLines="0" zoomScale="85" zoomScaleNormal="85" workbookViewId="0">
      <pane ySplit="9" topLeftCell="A42" activePane="bottomLeft" state="frozen"/>
      <selection activeCell="S18" sqref="S18"/>
      <selection pane="bottomLeft" activeCell="A56" sqref="A56"/>
    </sheetView>
  </sheetViews>
  <sheetFormatPr defaultColWidth="9.109375" defaultRowHeight="13.2"/>
  <cols>
    <col min="1" max="1" width="40.88671875" style="56" customWidth="1"/>
    <col min="2" max="2" width="9.109375" style="56" customWidth="1"/>
    <col min="3" max="10" width="9.109375" style="56"/>
    <col min="11" max="11" width="9.88671875" style="56" customWidth="1"/>
    <col min="12" max="12" width="9.109375" style="56"/>
    <col min="13" max="13" width="2.109375" style="56" customWidth="1"/>
    <col min="14" max="14" width="9.109375" style="57"/>
    <col min="15" max="15" width="10.109375" style="56" customWidth="1"/>
    <col min="16" max="16" width="11.5546875" style="56" customWidth="1"/>
    <col min="17" max="17" width="3" style="56" customWidth="1"/>
    <col min="18" max="18" width="9.109375" style="2"/>
    <col min="19" max="19" width="30.44140625" style="2" customWidth="1"/>
    <col min="20" max="16384" width="9.109375" style="2"/>
  </cols>
  <sheetData>
    <row r="1" spans="1:17">
      <c r="A1" s="376" t="s">
        <v>4</v>
      </c>
    </row>
    <row r="3" spans="1:17" ht="15.6">
      <c r="A3" s="38" t="str">
        <f>'2-Kosten per locatie'!A3</f>
        <v>Naam opdrachtgever</v>
      </c>
      <c r="B3" s="47" t="str">
        <f>'2-Kosten per locatie'!B3</f>
        <v>Gemeente Zoetermeer</v>
      </c>
      <c r="C3" s="58"/>
      <c r="D3" s="58"/>
      <c r="E3" s="58"/>
    </row>
    <row r="4" spans="1:17" ht="15.6">
      <c r="A4" s="38" t="str">
        <f>'2-Kosten per locatie'!A4</f>
        <v>Calculatie onderdeel</v>
      </c>
      <c r="B4" s="47" t="str">
        <f ca="1">MID(CELL("bestandsnaam",$B$7),SEARCH("]",CELL("bestandsnaam",$B$7),1)+1,256)</f>
        <v>3-Productie normen</v>
      </c>
      <c r="C4" s="47"/>
      <c r="D4" s="47"/>
      <c r="E4" s="47"/>
    </row>
    <row r="5" spans="1:17" ht="15.6">
      <c r="A5" s="38" t="str">
        <f>'2-Kosten per locatie'!A5</f>
        <v>Gebouw/plaats</v>
      </c>
      <c r="B5" s="47" t="str">
        <f>'2-Kosten per locatie'!B5</f>
        <v>Diversen Zoetermeer</v>
      </c>
      <c r="C5" s="47"/>
      <c r="D5" s="47"/>
      <c r="E5" s="47"/>
    </row>
    <row r="6" spans="1:17" ht="15.6">
      <c r="A6" s="38" t="str">
        <f>'2-Kosten per locatie'!A6</f>
        <v>Referentie nummer</v>
      </c>
      <c r="B6" s="47" t="str">
        <f>'2-Kosten per locatie'!B6</f>
        <v>2025-045275 </v>
      </c>
      <c r="C6" s="47"/>
      <c r="D6" s="47"/>
      <c r="E6" s="47"/>
      <c r="I6" s="224" t="s">
        <v>97</v>
      </c>
      <c r="J6" s="225"/>
      <c r="K6" s="226" t="e">
        <f>SUM('4-Basis ruimtestaat'!X:X)/SUM('4-Basis ruimtestaat'!P:R)</f>
        <v>#DIV/0!</v>
      </c>
      <c r="L6" s="227" t="s">
        <v>98</v>
      </c>
    </row>
    <row r="7" spans="1:17">
      <c r="A7" s="59"/>
      <c r="B7" s="60"/>
      <c r="C7" s="60"/>
      <c r="D7" s="60"/>
      <c r="E7" s="60"/>
      <c r="F7" s="61"/>
      <c r="G7" s="61"/>
      <c r="H7" s="61"/>
      <c r="I7" s="62"/>
      <c r="J7" s="62"/>
      <c r="K7" s="63"/>
      <c r="L7" s="64"/>
      <c r="M7" s="65"/>
      <c r="O7" s="66"/>
      <c r="P7" s="66"/>
      <c r="Q7" s="65"/>
    </row>
    <row r="8" spans="1:17" ht="27.75" customHeight="1">
      <c r="A8" s="377" t="s">
        <v>99</v>
      </c>
      <c r="B8" s="378">
        <v>4</v>
      </c>
      <c r="C8" s="378">
        <v>46</v>
      </c>
      <c r="D8" s="378">
        <v>52</v>
      </c>
      <c r="E8" s="378">
        <v>80</v>
      </c>
      <c r="F8" s="378">
        <v>104</v>
      </c>
      <c r="G8" s="378">
        <v>130</v>
      </c>
      <c r="H8" s="378">
        <v>156</v>
      </c>
      <c r="I8" s="378">
        <v>200</v>
      </c>
      <c r="J8" s="378">
        <v>208</v>
      </c>
      <c r="K8" s="378">
        <v>230</v>
      </c>
      <c r="L8" s="378">
        <v>255</v>
      </c>
      <c r="M8" s="65"/>
      <c r="N8" s="174"/>
      <c r="O8" s="379"/>
      <c r="P8" s="379"/>
      <c r="Q8" s="175"/>
    </row>
    <row r="9" spans="1:17" ht="60.6" customHeight="1">
      <c r="A9" s="380" t="s">
        <v>100</v>
      </c>
      <c r="B9" s="514" t="s">
        <v>101</v>
      </c>
      <c r="C9" s="515"/>
      <c r="D9" s="515"/>
      <c r="E9" s="515"/>
      <c r="F9" s="515"/>
      <c r="G9" s="515"/>
      <c r="H9" s="515"/>
      <c r="I9" s="515"/>
      <c r="J9" s="515"/>
      <c r="K9" s="515"/>
      <c r="L9" s="516"/>
      <c r="M9" s="65"/>
      <c r="N9" s="381" t="s">
        <v>102</v>
      </c>
      <c r="O9" s="382" t="s">
        <v>103</v>
      </c>
      <c r="P9" s="382" t="s">
        <v>104</v>
      </c>
      <c r="Q9" s="175"/>
    </row>
    <row r="10" spans="1:17">
      <c r="A10" s="383" t="s">
        <v>105</v>
      </c>
      <c r="B10" s="384"/>
      <c r="C10" s="384"/>
      <c r="D10" s="385"/>
      <c r="E10" s="385"/>
      <c r="F10" s="385"/>
      <c r="G10" s="385"/>
      <c r="H10" s="385"/>
      <c r="I10" s="385"/>
      <c r="J10" s="385"/>
      <c r="K10" s="385"/>
      <c r="L10" s="385"/>
      <c r="M10" s="199"/>
      <c r="N10" s="386">
        <f>SUMIF('4-Basis ruimtestaat'!I:I,'3-Productie normen'!A10,'4-Basis ruimtestaat'!K:K)</f>
        <v>2770.0999999999995</v>
      </c>
      <c r="O10" s="68"/>
      <c r="Q10" s="65"/>
    </row>
    <row r="11" spans="1:17">
      <c r="A11" s="383" t="s">
        <v>106</v>
      </c>
      <c r="B11" s="384"/>
      <c r="C11" s="384"/>
      <c r="D11" s="384"/>
      <c r="E11" s="384"/>
      <c r="F11" s="385"/>
      <c r="G11" s="385"/>
      <c r="H11" s="385"/>
      <c r="I11" s="385"/>
      <c r="J11" s="385"/>
      <c r="K11" s="385"/>
      <c r="L11" s="385"/>
      <c r="M11" s="199"/>
      <c r="N11" s="386">
        <f>SUMIF('4-Basis ruimtestaat'!I:I,'3-Productie normen'!A11,'4-Basis ruimtestaat'!K:K)</f>
        <v>1522.8299999999995</v>
      </c>
      <c r="Q11" s="65"/>
    </row>
    <row r="12" spans="1:17">
      <c r="A12" s="383" t="s">
        <v>107</v>
      </c>
      <c r="B12" s="384"/>
      <c r="C12" s="384"/>
      <c r="D12" s="384"/>
      <c r="E12" s="384"/>
      <c r="F12" s="384"/>
      <c r="G12" s="385"/>
      <c r="H12" s="385"/>
      <c r="I12" s="385"/>
      <c r="J12" s="385"/>
      <c r="K12" s="385"/>
      <c r="L12" s="385"/>
      <c r="M12" s="199"/>
      <c r="N12" s="386">
        <f>SUMIF('4-Basis ruimtestaat'!I:I,'3-Productie normen'!A12,'4-Basis ruimtestaat'!K:K)</f>
        <v>640.90000000000009</v>
      </c>
      <c r="Q12" s="65"/>
    </row>
    <row r="13" spans="1:17">
      <c r="A13" s="383" t="s">
        <v>108</v>
      </c>
      <c r="B13" s="384"/>
      <c r="C13" s="384"/>
      <c r="D13" s="385"/>
      <c r="E13" s="384"/>
      <c r="F13" s="385"/>
      <c r="G13" s="384"/>
      <c r="H13" s="385"/>
      <c r="I13" s="385"/>
      <c r="J13" s="385"/>
      <c r="K13" s="385"/>
      <c r="L13" s="385"/>
      <c r="M13" s="199"/>
      <c r="N13" s="386">
        <f>SUMIF('4-Basis ruimtestaat'!I:I,'3-Productie normen'!A13,'4-Basis ruimtestaat'!K:K)</f>
        <v>5950.8099999999995</v>
      </c>
    </row>
    <row r="14" spans="1:17">
      <c r="A14" s="383" t="s">
        <v>109</v>
      </c>
      <c r="B14" s="384"/>
      <c r="C14" s="384"/>
      <c r="D14" s="385"/>
      <c r="E14" s="384"/>
      <c r="F14" s="384"/>
      <c r="G14" s="384"/>
      <c r="H14" s="384"/>
      <c r="I14" s="384"/>
      <c r="J14" s="384"/>
      <c r="K14" s="385"/>
      <c r="L14" s="385"/>
      <c r="M14" s="199"/>
      <c r="N14" s="386">
        <f>SUMIF('4-Basis ruimtestaat'!I:I,'3-Productie normen'!A14,'4-Basis ruimtestaat'!K:K)</f>
        <v>67.650000000000006</v>
      </c>
    </row>
    <row r="15" spans="1:17">
      <c r="A15" s="387" t="s">
        <v>110</v>
      </c>
      <c r="B15" s="384"/>
      <c r="C15" s="384"/>
      <c r="D15" s="384"/>
      <c r="E15" s="384"/>
      <c r="F15" s="384"/>
      <c r="G15" s="384"/>
      <c r="H15" s="384"/>
      <c r="I15" s="385"/>
      <c r="J15" s="384"/>
      <c r="K15" s="384"/>
      <c r="L15" s="384"/>
      <c r="M15" s="199"/>
      <c r="N15" s="386">
        <f>SUMIF('4-Basis ruimtestaat'!I:I,'3-Productie normen'!A15,'4-Basis ruimtestaat'!K:K)</f>
        <v>218</v>
      </c>
    </row>
    <row r="16" spans="1:17">
      <c r="A16" s="383" t="s">
        <v>111</v>
      </c>
      <c r="B16" s="384"/>
      <c r="C16" s="384"/>
      <c r="D16" s="384"/>
      <c r="E16" s="384"/>
      <c r="F16" s="384"/>
      <c r="G16" s="385"/>
      <c r="H16" s="384"/>
      <c r="I16" s="384"/>
      <c r="J16" s="384"/>
      <c r="K16" s="385"/>
      <c r="L16" s="385"/>
      <c r="M16" s="199"/>
      <c r="N16" s="386">
        <f>SUMIF('4-Basis ruimtestaat'!I:I,'3-Productie normen'!A16,'4-Basis ruimtestaat'!K:K)</f>
        <v>3284.150000000001</v>
      </c>
    </row>
    <row r="17" spans="1:17">
      <c r="A17" s="383" t="s">
        <v>112</v>
      </c>
      <c r="B17" s="385"/>
      <c r="C17" s="384"/>
      <c r="D17" s="384"/>
      <c r="E17" s="384"/>
      <c r="F17" s="385"/>
      <c r="G17" s="384"/>
      <c r="H17" s="384"/>
      <c r="I17" s="384"/>
      <c r="J17" s="384"/>
      <c r="K17" s="385"/>
      <c r="L17" s="385"/>
      <c r="M17" s="199"/>
      <c r="N17" s="386">
        <f>SUMIF('4-Basis ruimtestaat'!I:I,'3-Productie normen'!A17,'4-Basis ruimtestaat'!K:K)</f>
        <v>691.17000000000007</v>
      </c>
    </row>
    <row r="18" spans="1:17">
      <c r="A18" s="383" t="s">
        <v>113</v>
      </c>
      <c r="B18" s="385"/>
      <c r="C18" s="384"/>
      <c r="D18" s="385"/>
      <c r="E18" s="384"/>
      <c r="F18" s="384"/>
      <c r="G18" s="384"/>
      <c r="H18" s="384"/>
      <c r="I18" s="384"/>
      <c r="J18" s="384"/>
      <c r="K18" s="385"/>
      <c r="L18" s="384"/>
      <c r="M18" s="199"/>
      <c r="N18" s="386">
        <f>SUMIF('4-Basis ruimtestaat'!I:I,'3-Productie normen'!A18,'4-Basis ruimtestaat'!K:K)</f>
        <v>227.7</v>
      </c>
    </row>
    <row r="19" spans="1:17">
      <c r="A19" s="383" t="s">
        <v>114</v>
      </c>
      <c r="B19" s="384"/>
      <c r="C19" s="384"/>
      <c r="D19" s="384"/>
      <c r="E19" s="384"/>
      <c r="F19" s="384"/>
      <c r="G19" s="384"/>
      <c r="H19" s="384"/>
      <c r="I19" s="384"/>
      <c r="J19" s="384"/>
      <c r="K19" s="385"/>
      <c r="L19" s="384"/>
      <c r="M19" s="199"/>
      <c r="N19" s="386">
        <f>SUMIF('4-Basis ruimtestaat'!I:I,'3-Productie normen'!A19,'4-Basis ruimtestaat'!K:K)</f>
        <v>17223.760000000002</v>
      </c>
    </row>
    <row r="20" spans="1:17">
      <c r="A20" s="383" t="s">
        <v>115</v>
      </c>
      <c r="B20" s="384"/>
      <c r="C20" s="384"/>
      <c r="D20" s="384"/>
      <c r="E20" s="384"/>
      <c r="F20" s="384"/>
      <c r="G20" s="384"/>
      <c r="H20" s="384"/>
      <c r="I20" s="384"/>
      <c r="J20" s="384"/>
      <c r="K20" s="385"/>
      <c r="L20" s="385"/>
      <c r="M20" s="199"/>
      <c r="N20" s="386">
        <f>SUMIF('4-Basis ruimtestaat'!I:I,'3-Productie normen'!A20,'4-Basis ruimtestaat'!K:K)</f>
        <v>488.9</v>
      </c>
    </row>
    <row r="21" spans="1:17">
      <c r="A21" s="387" t="s">
        <v>107</v>
      </c>
      <c r="B21" s="384"/>
      <c r="C21" s="384"/>
      <c r="D21" s="384"/>
      <c r="E21" s="384"/>
      <c r="F21" s="384"/>
      <c r="G21" s="384"/>
      <c r="H21" s="384"/>
      <c r="I21" s="384"/>
      <c r="J21" s="384"/>
      <c r="K21" s="384"/>
      <c r="L21" s="384"/>
      <c r="M21" s="199"/>
      <c r="N21" s="386">
        <f>SUMIF('4-Basis ruimtestaat'!I:I,'3-Productie normen'!A21,'4-Basis ruimtestaat'!K:K)</f>
        <v>640.90000000000009</v>
      </c>
    </row>
    <row r="22" spans="1:17">
      <c r="A22" s="387" t="s">
        <v>116</v>
      </c>
      <c r="B22" s="385"/>
      <c r="C22" s="384"/>
      <c r="D22" s="385"/>
      <c r="E22" s="384"/>
      <c r="F22" s="384"/>
      <c r="G22" s="384"/>
      <c r="H22" s="385"/>
      <c r="I22" s="385"/>
      <c r="J22" s="385"/>
      <c r="K22" s="385"/>
      <c r="L22" s="384"/>
      <c r="M22" s="199"/>
      <c r="N22" s="386">
        <f>SUMIF('4-Basis ruimtestaat'!I:I,'3-Productie normen'!A22,'4-Basis ruimtestaat'!K:K)</f>
        <v>159.82500000000002</v>
      </c>
    </row>
    <row r="23" spans="1:17">
      <c r="A23" s="387" t="s">
        <v>117</v>
      </c>
      <c r="B23" s="384"/>
      <c r="C23" s="384"/>
      <c r="D23" s="384"/>
      <c r="E23" s="384"/>
      <c r="F23" s="384"/>
      <c r="G23" s="384"/>
      <c r="H23" s="385"/>
      <c r="I23" s="384"/>
      <c r="J23" s="384"/>
      <c r="K23" s="385"/>
      <c r="L23" s="384"/>
      <c r="M23" s="199"/>
      <c r="N23" s="386">
        <f>SUMIF('4-Basis ruimtestaat'!I:I,'3-Productie normen'!A23,'4-Basis ruimtestaat'!K:K)</f>
        <v>13.2</v>
      </c>
    </row>
    <row r="24" spans="1:17">
      <c r="A24" s="387" t="s">
        <v>118</v>
      </c>
      <c r="B24" s="384"/>
      <c r="C24" s="385"/>
      <c r="D24" s="384"/>
      <c r="E24" s="384"/>
      <c r="F24" s="384"/>
      <c r="G24" s="384"/>
      <c r="H24" s="384"/>
      <c r="I24" s="384"/>
      <c r="J24" s="384"/>
      <c r="K24" s="385"/>
      <c r="L24" s="384"/>
      <c r="M24" s="199"/>
      <c r="N24" s="386">
        <f>SUMIF('4-Basis ruimtestaat'!I:I,'3-Productie normen'!A24,'4-Basis ruimtestaat'!K:K)</f>
        <v>19.100000000000001</v>
      </c>
    </row>
    <row r="25" spans="1:17">
      <c r="A25" s="387" t="s">
        <v>119</v>
      </c>
      <c r="B25" s="384"/>
      <c r="C25" s="384"/>
      <c r="D25" s="384"/>
      <c r="E25" s="384"/>
      <c r="F25" s="384"/>
      <c r="G25" s="385"/>
      <c r="H25" s="384"/>
      <c r="I25" s="384"/>
      <c r="J25" s="384"/>
      <c r="K25" s="385"/>
      <c r="L25" s="384"/>
      <c r="M25" s="199"/>
      <c r="N25" s="386">
        <f>SUMIF('4-Basis ruimtestaat'!I:I,'3-Productie normen'!A25,'4-Basis ruimtestaat'!K:K)</f>
        <v>226.33000000000004</v>
      </c>
    </row>
    <row r="26" spans="1:17">
      <c r="A26" s="387" t="s">
        <v>120</v>
      </c>
      <c r="B26" s="384"/>
      <c r="C26" s="384"/>
      <c r="D26" s="384"/>
      <c r="E26" s="384"/>
      <c r="F26" s="384"/>
      <c r="G26" s="384"/>
      <c r="H26" s="385"/>
      <c r="I26" s="385"/>
      <c r="J26" s="385"/>
      <c r="K26" s="385"/>
      <c r="L26" s="385"/>
      <c r="M26" s="199"/>
      <c r="N26" s="386">
        <f>SUMIF('4-Basis ruimtestaat'!I:I,'3-Productie normen'!A26,'4-Basis ruimtestaat'!K:K)</f>
        <v>1492.62</v>
      </c>
    </row>
    <row r="27" spans="1:17">
      <c r="A27" s="387" t="s">
        <v>121</v>
      </c>
      <c r="B27" s="384"/>
      <c r="C27" s="385"/>
      <c r="D27" s="384"/>
      <c r="E27" s="384"/>
      <c r="F27" s="385"/>
      <c r="G27" s="384"/>
      <c r="H27" s="385"/>
      <c r="I27" s="384"/>
      <c r="J27" s="384"/>
      <c r="K27" s="385"/>
      <c r="L27" s="385"/>
      <c r="M27" s="199"/>
      <c r="N27" s="386">
        <f>SUMIF('4-Basis ruimtestaat'!I:I,'3-Productie normen'!A27,'4-Basis ruimtestaat'!K:K)</f>
        <v>280.40000000000003</v>
      </c>
    </row>
    <row r="28" spans="1:17">
      <c r="A28" s="387" t="s">
        <v>122</v>
      </c>
      <c r="B28" s="384"/>
      <c r="C28" s="384"/>
      <c r="D28" s="384"/>
      <c r="E28" s="384"/>
      <c r="F28" s="384"/>
      <c r="G28" s="384"/>
      <c r="H28" s="384"/>
      <c r="I28" s="384"/>
      <c r="J28" s="384"/>
      <c r="K28" s="385"/>
      <c r="L28" s="384"/>
      <c r="M28" s="199"/>
      <c r="N28" s="386">
        <f>SUMIF('4-Basis ruimtestaat'!I:I,'3-Productie normen'!A28,'4-Basis ruimtestaat'!K:K)</f>
        <v>277.52999999999997</v>
      </c>
    </row>
    <row r="29" spans="1:17">
      <c r="A29" s="387" t="s">
        <v>123</v>
      </c>
      <c r="B29" s="384"/>
      <c r="C29" s="385"/>
      <c r="D29" s="384"/>
      <c r="E29" s="384"/>
      <c r="F29" s="384"/>
      <c r="G29" s="384"/>
      <c r="H29" s="384"/>
      <c r="I29" s="384"/>
      <c r="J29" s="384"/>
      <c r="K29" s="385"/>
      <c r="L29" s="384"/>
      <c r="M29" s="199"/>
      <c r="N29" s="386">
        <f>SUMIF('4-Basis ruimtestaat'!I:I,'3-Productie normen'!A29,'4-Basis ruimtestaat'!K:K)</f>
        <v>565.6</v>
      </c>
    </row>
    <row r="30" spans="1:17">
      <c r="A30" s="387"/>
      <c r="B30" s="384"/>
      <c r="C30" s="384"/>
      <c r="D30" s="384"/>
      <c r="E30" s="384"/>
      <c r="F30" s="384"/>
      <c r="G30" s="384"/>
      <c r="H30" s="384"/>
      <c r="I30" s="384"/>
      <c r="J30" s="384"/>
      <c r="K30" s="384"/>
      <c r="L30" s="384"/>
      <c r="M30" s="199"/>
      <c r="N30" s="386">
        <f>SUMIF('4-Basis ruimtestaat'!I:I,'3-Productie normen'!A30,'4-Basis ruimtestaat'!K:K)</f>
        <v>0</v>
      </c>
    </row>
    <row r="31" spans="1:17">
      <c r="A31" s="387" t="s">
        <v>124</v>
      </c>
      <c r="B31" s="384"/>
      <c r="C31" s="384"/>
      <c r="D31" s="384"/>
      <c r="E31" s="384"/>
      <c r="F31" s="384"/>
      <c r="G31" s="384"/>
      <c r="H31" s="384"/>
      <c r="I31" s="384"/>
      <c r="J31" s="384"/>
      <c r="K31" s="384"/>
      <c r="L31" s="388"/>
      <c r="M31" s="199"/>
      <c r="N31" s="386">
        <f>SUMIF('4-Basis ruimtestaat'!I:I,'3-Productie normen'!A31,'4-Basis ruimtestaat'!K:K)</f>
        <v>1750.9800000000002</v>
      </c>
    </row>
    <row r="32" spans="1:17">
      <c r="A32" s="387"/>
      <c r="B32" s="389"/>
      <c r="C32" s="389"/>
      <c r="D32" s="389"/>
      <c r="E32" s="389"/>
      <c r="F32" s="389"/>
      <c r="G32" s="389"/>
      <c r="H32" s="389"/>
      <c r="I32" s="389"/>
      <c r="J32" s="389"/>
      <c r="K32" s="389"/>
      <c r="L32" s="390"/>
      <c r="M32" s="199"/>
      <c r="N32" s="386"/>
      <c r="Q32" s="67"/>
    </row>
    <row r="33" spans="1:17">
      <c r="A33" s="391" t="s">
        <v>83</v>
      </c>
      <c r="B33" s="392"/>
      <c r="C33" s="392"/>
      <c r="D33" s="392"/>
      <c r="E33" s="392"/>
      <c r="F33" s="392"/>
      <c r="G33" s="392"/>
      <c r="H33" s="392"/>
      <c r="I33" s="392"/>
      <c r="J33" s="392"/>
      <c r="K33" s="392"/>
      <c r="L33" s="393"/>
      <c r="M33" s="200"/>
      <c r="N33" s="394">
        <f>SUM(N10:N32)</f>
        <v>38512.455000000002</v>
      </c>
      <c r="Q33" s="65"/>
    </row>
    <row r="34" spans="1:17">
      <c r="N34" s="56"/>
      <c r="Q34" s="65"/>
    </row>
    <row r="35" spans="1:17" ht="16.2">
      <c r="A35" s="395" t="s">
        <v>125</v>
      </c>
      <c r="B35" s="396">
        <v>2</v>
      </c>
      <c r="C35" s="396">
        <v>3</v>
      </c>
      <c r="D35" s="396">
        <v>4</v>
      </c>
      <c r="E35" s="396">
        <v>5</v>
      </c>
      <c r="F35" s="396">
        <v>6</v>
      </c>
      <c r="G35" s="396">
        <v>7</v>
      </c>
      <c r="H35" s="396">
        <v>8</v>
      </c>
      <c r="I35" s="396">
        <v>9</v>
      </c>
      <c r="J35" s="396">
        <v>10</v>
      </c>
      <c r="K35" s="396">
        <v>11</v>
      </c>
      <c r="L35" s="396">
        <v>12</v>
      </c>
      <c r="M35" s="65"/>
    </row>
    <row r="37" spans="1:17">
      <c r="A37" s="397" t="s">
        <v>126</v>
      </c>
      <c r="B37" s="397" t="s">
        <v>127</v>
      </c>
      <c r="C37" s="398" t="s">
        <v>128</v>
      </c>
      <c r="D37" s="314"/>
      <c r="E37" s="314"/>
    </row>
    <row r="38" spans="1:17">
      <c r="A38" s="399" t="s">
        <v>129</v>
      </c>
      <c r="B38" s="400">
        <v>4</v>
      </c>
      <c r="C38" s="401">
        <v>2</v>
      </c>
      <c r="D38" s="315"/>
      <c r="E38" s="315"/>
    </row>
    <row r="39" spans="1:17">
      <c r="A39" s="399" t="s">
        <v>130</v>
      </c>
      <c r="B39" s="400">
        <v>46</v>
      </c>
      <c r="C39" s="401">
        <v>3</v>
      </c>
      <c r="D39" s="315"/>
      <c r="E39" s="315"/>
    </row>
    <row r="40" spans="1:17">
      <c r="A40" s="399" t="s">
        <v>131</v>
      </c>
      <c r="B40" s="400">
        <v>52</v>
      </c>
      <c r="C40" s="401">
        <v>4</v>
      </c>
      <c r="D40" s="315"/>
      <c r="E40" s="315"/>
    </row>
    <row r="41" spans="1:17">
      <c r="A41" s="399" t="s">
        <v>132</v>
      </c>
      <c r="B41" s="400">
        <v>80</v>
      </c>
      <c r="C41" s="401">
        <v>5</v>
      </c>
      <c r="D41" s="315"/>
      <c r="E41" s="315"/>
    </row>
    <row r="42" spans="1:17">
      <c r="A42" s="399" t="s">
        <v>133</v>
      </c>
      <c r="B42" s="400">
        <v>104</v>
      </c>
      <c r="C42" s="401">
        <v>6</v>
      </c>
      <c r="D42" s="315"/>
      <c r="E42" s="315"/>
    </row>
    <row r="43" spans="1:17" ht="27.6" customHeight="1">
      <c r="A43" s="402" t="s">
        <v>134</v>
      </c>
      <c r="B43" s="400">
        <v>130</v>
      </c>
      <c r="C43" s="401">
        <v>7</v>
      </c>
      <c r="D43" s="315"/>
      <c r="E43" s="315"/>
    </row>
    <row r="44" spans="1:17">
      <c r="A44" s="399" t="s">
        <v>135</v>
      </c>
      <c r="B44" s="400">
        <v>156</v>
      </c>
      <c r="C44" s="401">
        <v>8</v>
      </c>
      <c r="D44" s="315"/>
      <c r="E44" s="315"/>
    </row>
    <row r="45" spans="1:17">
      <c r="A45" s="399" t="s">
        <v>136</v>
      </c>
      <c r="B45" s="400">
        <v>200</v>
      </c>
      <c r="C45" s="401">
        <v>9</v>
      </c>
      <c r="D45" s="315"/>
      <c r="E45" s="315"/>
    </row>
    <row r="46" spans="1:17">
      <c r="A46" s="399" t="s">
        <v>137</v>
      </c>
      <c r="B46" s="400">
        <v>208</v>
      </c>
      <c r="C46" s="401">
        <v>10</v>
      </c>
      <c r="D46" s="315"/>
      <c r="E46" s="315"/>
    </row>
    <row r="47" spans="1:17">
      <c r="A47" s="399" t="s">
        <v>138</v>
      </c>
      <c r="B47" s="403">
        <v>230</v>
      </c>
      <c r="C47" s="401">
        <v>11</v>
      </c>
      <c r="D47" s="315"/>
      <c r="E47" s="315"/>
    </row>
    <row r="48" spans="1:17">
      <c r="A48" s="399" t="s">
        <v>139</v>
      </c>
      <c r="B48" s="403">
        <v>255</v>
      </c>
      <c r="C48" s="401">
        <v>12</v>
      </c>
      <c r="D48" s="315"/>
      <c r="E48" s="315"/>
    </row>
    <row r="50" spans="1:2">
      <c r="A50" s="397" t="s">
        <v>140</v>
      </c>
      <c r="B50" s="397" t="s">
        <v>127</v>
      </c>
    </row>
    <row r="51" spans="1:2">
      <c r="A51" s="399" t="s">
        <v>141</v>
      </c>
      <c r="B51" s="399">
        <v>46</v>
      </c>
    </row>
    <row r="52" spans="1:2">
      <c r="A52" s="399" t="s">
        <v>142</v>
      </c>
      <c r="B52" s="399">
        <v>64</v>
      </c>
    </row>
    <row r="53" spans="1:2">
      <c r="A53" s="399" t="s">
        <v>143</v>
      </c>
      <c r="B53" s="399">
        <v>92</v>
      </c>
    </row>
  </sheetData>
  <mergeCells count="1">
    <mergeCell ref="B9:L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Y841"/>
  <sheetViews>
    <sheetView showGridLines="0" showZeros="0" zoomScale="85" zoomScaleNormal="85" zoomScalePageLayoutView="75" workbookViewId="0">
      <pane xSplit="1" ySplit="9" topLeftCell="C319" activePane="bottomRight" state="frozen"/>
      <selection pane="topRight" activeCell="S18" sqref="S18"/>
      <selection pane="bottomLeft" activeCell="S18" sqref="S18"/>
      <selection pane="bottomRight" activeCell="M847" sqref="M847"/>
    </sheetView>
  </sheetViews>
  <sheetFormatPr defaultColWidth="8.5546875" defaultRowHeight="14.1" customHeight="1"/>
  <cols>
    <col min="1" max="1" width="5" style="56" bestFit="1" customWidth="1"/>
    <col min="2" max="2" width="43.109375" style="56" bestFit="1" customWidth="1"/>
    <col min="3" max="3" width="35.44140625" style="56" customWidth="1"/>
    <col min="4" max="4" width="10.5546875" style="56" bestFit="1" customWidth="1"/>
    <col min="5" max="5" width="18.5546875" style="79" customWidth="1"/>
    <col min="6" max="6" width="14.109375" style="79" bestFit="1" customWidth="1"/>
    <col min="7" max="7" width="19.88671875" style="203" bestFit="1" customWidth="1"/>
    <col min="8" max="8" width="23.44140625" style="56" customWidth="1"/>
    <col min="9" max="9" width="25.88671875" style="56" bestFit="1" customWidth="1"/>
    <col min="10" max="10" width="15.109375" style="56" customWidth="1"/>
    <col min="11" max="11" width="8" style="56" bestFit="1" customWidth="1"/>
    <col min="12" max="12" width="10.5546875" style="69" customWidth="1"/>
    <col min="13" max="15" width="9.109375" style="85" customWidth="1"/>
    <col min="16" max="17" width="12.5546875" style="56" bestFit="1" customWidth="1"/>
    <col min="18" max="18" width="9.88671875" style="56" customWidth="1"/>
    <col min="19" max="19" width="12" style="56" bestFit="1" customWidth="1"/>
    <col min="20" max="20" width="16.5546875" style="56" customWidth="1"/>
    <col min="21" max="21" width="13" style="56" customWidth="1"/>
    <col min="22" max="22" width="35.109375" style="56" customWidth="1"/>
    <col min="23" max="23" width="3" style="56" customWidth="1"/>
    <col min="24" max="24" width="11.109375" style="56" customWidth="1"/>
    <col min="25" max="25" width="15.5546875" style="2" bestFit="1" customWidth="1"/>
    <col min="26" max="16384" width="8.5546875" style="2"/>
  </cols>
  <sheetData>
    <row r="1" spans="1:24" ht="13.2">
      <c r="M1" s="56"/>
      <c r="N1" s="57"/>
      <c r="O1" s="56"/>
    </row>
    <row r="2" spans="1:24" ht="14.1" customHeight="1">
      <c r="A2" s="70">
        <v>2</v>
      </c>
      <c r="B2" s="176"/>
      <c r="C2" s="71"/>
      <c r="D2" s="71"/>
      <c r="E2" s="303"/>
      <c r="F2" s="72"/>
      <c r="G2" s="204"/>
      <c r="H2" s="73"/>
      <c r="I2" s="73"/>
      <c r="J2" s="74"/>
      <c r="K2" s="75"/>
      <c r="L2" s="76"/>
      <c r="M2" s="77"/>
      <c r="N2" s="77"/>
      <c r="O2" s="77"/>
      <c r="P2" s="74"/>
      <c r="Q2" s="74"/>
      <c r="R2" s="78"/>
      <c r="S2" s="78"/>
      <c r="T2" s="78"/>
      <c r="U2" s="78"/>
      <c r="V2" s="73"/>
    </row>
    <row r="3" spans="1:24" ht="14.1" customHeight="1">
      <c r="A3" s="70">
        <v>3</v>
      </c>
      <c r="B3" s="38" t="str">
        <f>'2-Kosten per locatie'!A3</f>
        <v>Naam opdrachtgever</v>
      </c>
      <c r="C3" s="47" t="str">
        <f>'2-Kosten per locatie'!B3</f>
        <v>Gemeente Zoetermeer</v>
      </c>
      <c r="D3" s="47"/>
      <c r="E3" s="304"/>
      <c r="G3" s="205"/>
      <c r="J3" s="74"/>
      <c r="K3" s="75"/>
      <c r="L3" s="76"/>
      <c r="M3" s="77"/>
      <c r="N3" s="77"/>
      <c r="O3" s="77"/>
      <c r="P3" s="74"/>
      <c r="Q3" s="74"/>
      <c r="R3" s="78"/>
      <c r="S3" s="78"/>
      <c r="T3" s="78"/>
      <c r="U3" s="78"/>
      <c r="V3" s="73"/>
    </row>
    <row r="4" spans="1:24" ht="14.1" customHeight="1">
      <c r="A4" s="70">
        <v>4</v>
      </c>
      <c r="B4" s="38" t="str">
        <f>'2-Kosten per locatie'!A4</f>
        <v>Calculatie onderdeel</v>
      </c>
      <c r="C4" s="47" t="str">
        <f ca="1">MID(CELL("bestandsnaam",$F$9),SEARCH("]",CELL("bestandsnaam",$F$9),1)+1,256)</f>
        <v>4-Basis ruimtestaat</v>
      </c>
      <c r="D4" s="47"/>
      <c r="E4" s="304"/>
      <c r="G4" s="206"/>
      <c r="J4" s="74"/>
      <c r="K4" s="75"/>
      <c r="L4" s="76"/>
      <c r="M4" s="77"/>
      <c r="N4" s="77"/>
      <c r="O4" s="77"/>
      <c r="P4" s="74"/>
      <c r="Q4" s="74"/>
      <c r="R4" s="78"/>
      <c r="S4" s="78"/>
      <c r="T4" s="78"/>
      <c r="U4" s="78"/>
      <c r="V4" s="73"/>
    </row>
    <row r="5" spans="1:24" ht="14.1" customHeight="1">
      <c r="A5" s="70">
        <v>5</v>
      </c>
      <c r="B5" s="38" t="str">
        <f>'2-Kosten per locatie'!A5</f>
        <v>Gebouw/plaats</v>
      </c>
      <c r="C5" s="47" t="str">
        <f>'2-Kosten per locatie'!B5</f>
        <v>Diversen Zoetermeer</v>
      </c>
      <c r="D5" s="47"/>
      <c r="E5" s="304"/>
      <c r="G5" s="205"/>
      <c r="J5" s="74"/>
      <c r="K5" s="75"/>
      <c r="L5" s="76"/>
      <c r="M5" s="77"/>
      <c r="N5" s="77"/>
      <c r="O5" s="77"/>
      <c r="P5" s="74"/>
      <c r="Q5" s="74"/>
      <c r="R5" s="78"/>
      <c r="S5" s="78"/>
      <c r="T5" s="78"/>
      <c r="U5" s="78"/>
      <c r="V5" s="73"/>
    </row>
    <row r="6" spans="1:24" ht="14.1" customHeight="1">
      <c r="A6" s="70">
        <v>6</v>
      </c>
      <c r="B6" s="38" t="str">
        <f>'2-Kosten per locatie'!A6</f>
        <v>Referentie nummer</v>
      </c>
      <c r="C6" s="47" t="str">
        <f>'2-Kosten per locatie'!B6</f>
        <v>2025-045275 </v>
      </c>
      <c r="D6" s="47"/>
      <c r="E6" s="304"/>
      <c r="G6" s="205"/>
      <c r="J6" s="74"/>
      <c r="K6" s="75"/>
      <c r="L6" s="76"/>
      <c r="M6" s="77"/>
      <c r="N6" s="77"/>
      <c r="O6" s="77"/>
      <c r="P6" s="74"/>
      <c r="Q6" s="74"/>
      <c r="R6" s="78"/>
      <c r="S6" s="78"/>
      <c r="T6" s="517" t="s">
        <v>144</v>
      </c>
      <c r="U6" s="518"/>
      <c r="V6" s="73"/>
    </row>
    <row r="7" spans="1:24" ht="12.75" customHeight="1">
      <c r="A7" s="70">
        <v>7</v>
      </c>
      <c r="B7" s="38" t="str">
        <f>'2-Kosten per locatie'!A7</f>
        <v>Naam dienstverlener</v>
      </c>
      <c r="C7" s="47">
        <f>'2-Kosten per locatie'!B7</f>
        <v>0</v>
      </c>
      <c r="D7" s="47"/>
      <c r="E7" s="304"/>
      <c r="G7" s="205"/>
      <c r="J7" s="74"/>
      <c r="K7" s="75"/>
      <c r="L7" s="76"/>
      <c r="M7" s="77"/>
      <c r="N7" s="77"/>
      <c r="O7" s="77"/>
      <c r="P7" s="74"/>
      <c r="Q7" s="74"/>
      <c r="R7" s="78"/>
      <c r="S7" s="78"/>
      <c r="T7" s="519"/>
      <c r="U7" s="520"/>
      <c r="V7" s="73"/>
    </row>
    <row r="8" spans="1:24" ht="14.1" customHeight="1">
      <c r="A8" s="70">
        <v>8</v>
      </c>
      <c r="B8" s="73"/>
      <c r="C8" s="73"/>
      <c r="D8" s="73"/>
      <c r="E8" s="72"/>
      <c r="F8" s="72"/>
      <c r="G8" s="204"/>
      <c r="H8" s="73"/>
      <c r="I8" s="73"/>
      <c r="J8" s="74"/>
      <c r="K8" s="75"/>
      <c r="L8" s="76"/>
      <c r="M8" s="77"/>
      <c r="N8" s="77"/>
      <c r="O8" s="77"/>
      <c r="P8" s="74"/>
      <c r="Q8" s="74"/>
      <c r="R8" s="74"/>
      <c r="S8" s="74"/>
      <c r="T8" s="334">
        <f>'3-Productie normen'!O8</f>
        <v>0</v>
      </c>
      <c r="U8" s="334">
        <f>'3-Productie normen'!P8</f>
        <v>0</v>
      </c>
      <c r="V8" s="73"/>
    </row>
    <row r="9" spans="1:24" ht="44.1" customHeight="1">
      <c r="A9" s="70">
        <v>9</v>
      </c>
      <c r="B9" s="335" t="s">
        <v>145</v>
      </c>
      <c r="C9" s="335" t="s">
        <v>21</v>
      </c>
      <c r="D9" s="335" t="s">
        <v>146</v>
      </c>
      <c r="E9" s="335" t="s">
        <v>147</v>
      </c>
      <c r="F9" s="335" t="s">
        <v>148</v>
      </c>
      <c r="G9" s="335" t="s">
        <v>149</v>
      </c>
      <c r="H9" s="335" t="s">
        <v>150</v>
      </c>
      <c r="I9" s="335" t="s">
        <v>151</v>
      </c>
      <c r="J9" s="336" t="s">
        <v>152</v>
      </c>
      <c r="K9" s="337" t="s">
        <v>153</v>
      </c>
      <c r="L9" s="338" t="s">
        <v>154</v>
      </c>
      <c r="M9" s="339" t="s">
        <v>155</v>
      </c>
      <c r="N9" s="339" t="s">
        <v>156</v>
      </c>
      <c r="O9" s="339" t="s">
        <v>157</v>
      </c>
      <c r="P9" s="338" t="s">
        <v>158</v>
      </c>
      <c r="Q9" s="338" t="s">
        <v>159</v>
      </c>
      <c r="R9" s="338" t="s">
        <v>160</v>
      </c>
      <c r="S9" s="338" t="s">
        <v>161</v>
      </c>
      <c r="T9" s="338" t="s">
        <v>103</v>
      </c>
      <c r="U9" s="338" t="s">
        <v>104</v>
      </c>
      <c r="V9" s="340" t="s">
        <v>162</v>
      </c>
      <c r="W9" s="177"/>
      <c r="X9" s="340" t="s">
        <v>163</v>
      </c>
    </row>
    <row r="10" spans="1:24" ht="14.1" customHeight="1">
      <c r="A10" s="70">
        <f>A9+1</f>
        <v>10</v>
      </c>
      <c r="B10" s="354" t="s">
        <v>36</v>
      </c>
      <c r="C10" s="354" t="s">
        <v>164</v>
      </c>
      <c r="D10" s="354" t="s">
        <v>165</v>
      </c>
      <c r="E10" s="404" t="s">
        <v>166</v>
      </c>
      <c r="F10" s="405" t="s">
        <v>167</v>
      </c>
      <c r="G10" s="406">
        <v>0.1</v>
      </c>
      <c r="H10" s="354" t="s">
        <v>168</v>
      </c>
      <c r="I10" s="354" t="s">
        <v>108</v>
      </c>
      <c r="J10" s="399" t="s">
        <v>169</v>
      </c>
      <c r="K10" s="407">
        <v>12</v>
      </c>
      <c r="L10" s="408">
        <f t="shared" ref="L10:L41" si="0">SUM(M10:O10)</f>
        <v>255</v>
      </c>
      <c r="M10" s="409">
        <v>255</v>
      </c>
      <c r="N10" s="409"/>
      <c r="O10" s="409"/>
      <c r="P10" s="410" t="e">
        <f>IF(M10="nio",0,IF(M10&gt;0,M10*K10/S10,0))*VLOOKUP(B10,'2-Kosten per locatie'!$A$14:$C$61,3,FALSE)</f>
        <v>#DIV/0!</v>
      </c>
      <c r="Q10" s="410">
        <f>IF(N10&gt;0,N10*K10/T10,0)*VLOOKUP(B10,'2-Kosten per locatie'!$A$14:$C$61,3,FALSE)</f>
        <v>0</v>
      </c>
      <c r="R10" s="410">
        <f>IF(O10&gt;0,O10*K10/U10,0)*VLOOKUP(B10,'2-Kosten per locatie'!$A$14:$C$61,3,FALSE)</f>
        <v>0</v>
      </c>
      <c r="S10" s="411">
        <f>IF(M10="nio",0,IF(M10&gt;0,VLOOKUP(I10,'3-Productie normen'!A:P,VLOOKUP(M10,'3-Productie normen'!$B$38:$C$48,2,FALSE),FALSE)))</f>
        <v>0</v>
      </c>
      <c r="T10" s="411">
        <f t="shared" ref="T10:T73" si="1">IF(N10&gt;0,S10*$T$8,0)</f>
        <v>0</v>
      </c>
      <c r="U10" s="411">
        <f>IF(OR(O10&gt;0),S10*$U$8,0)</f>
        <v>0</v>
      </c>
      <c r="V10" s="412"/>
      <c r="X10" s="413">
        <f t="shared" ref="X10:X73" si="2">L10*K10</f>
        <v>3060</v>
      </c>
    </row>
    <row r="11" spans="1:24" ht="14.1" customHeight="1">
      <c r="A11" s="70">
        <f t="shared" ref="A11:A74" si="3">A10+1</f>
        <v>11</v>
      </c>
      <c r="B11" s="354" t="s">
        <v>36</v>
      </c>
      <c r="C11" s="354" t="s">
        <v>164</v>
      </c>
      <c r="D11" s="354" t="s">
        <v>165</v>
      </c>
      <c r="E11" s="404" t="s">
        <v>166</v>
      </c>
      <c r="F11" s="405" t="s">
        <v>167</v>
      </c>
      <c r="G11" s="406">
        <v>0.2</v>
      </c>
      <c r="H11" s="399" t="s">
        <v>170</v>
      </c>
      <c r="I11" s="399" t="s">
        <v>108</v>
      </c>
      <c r="J11" s="399" t="s">
        <v>171</v>
      </c>
      <c r="K11" s="407">
        <v>72</v>
      </c>
      <c r="L11" s="408">
        <f t="shared" si="0"/>
        <v>255</v>
      </c>
      <c r="M11" s="409">
        <v>255</v>
      </c>
      <c r="N11" s="409"/>
      <c r="O11" s="409"/>
      <c r="P11" s="410" t="e">
        <f>IF(M11="nio",0,IF(M11&gt;0,M11*K11/S11,0))*VLOOKUP(B11,'2-Kosten per locatie'!$A$14:$C$61,3,FALSE)</f>
        <v>#DIV/0!</v>
      </c>
      <c r="Q11" s="410">
        <f>IF(N11&gt;0,N11*K11/T11,0)*VLOOKUP(B11,'2-Kosten per locatie'!$A$14:$C$61,3,FALSE)</f>
        <v>0</v>
      </c>
      <c r="R11" s="410">
        <f>IF(O11&gt;0,O11*K11/U11,0)*VLOOKUP(B11,'2-Kosten per locatie'!$A$14:$C$61,3,FALSE)</f>
        <v>0</v>
      </c>
      <c r="S11" s="411">
        <f>IF(M11="nio",0,IF(M11&gt;0,VLOOKUP(I11,'3-Productie normen'!A:P,VLOOKUP(M11,'3-Productie normen'!$B$38:$C$48,2,FALSE),FALSE)))</f>
        <v>0</v>
      </c>
      <c r="T11" s="411">
        <f t="shared" si="1"/>
        <v>0</v>
      </c>
      <c r="U11" s="411">
        <f t="shared" ref="U11:U17" si="4">IF(OR(O11&gt;0),S11*$U$8,0)</f>
        <v>0</v>
      </c>
      <c r="V11" s="412"/>
      <c r="X11" s="413">
        <f t="shared" si="2"/>
        <v>18360</v>
      </c>
    </row>
    <row r="12" spans="1:24" ht="14.1" customHeight="1">
      <c r="A12" s="70">
        <f t="shared" si="3"/>
        <v>12</v>
      </c>
      <c r="B12" s="354" t="s">
        <v>36</v>
      </c>
      <c r="C12" s="354" t="s">
        <v>164</v>
      </c>
      <c r="D12" s="354" t="s">
        <v>165</v>
      </c>
      <c r="E12" s="404" t="s">
        <v>166</v>
      </c>
      <c r="F12" s="405" t="s">
        <v>167</v>
      </c>
      <c r="G12" s="207">
        <v>0.3</v>
      </c>
      <c r="H12" s="80" t="s">
        <v>172</v>
      </c>
      <c r="I12" s="383" t="s">
        <v>105</v>
      </c>
      <c r="J12" s="399" t="s">
        <v>173</v>
      </c>
      <c r="K12" s="407">
        <v>14</v>
      </c>
      <c r="L12" s="408">
        <f t="shared" si="0"/>
        <v>255</v>
      </c>
      <c r="M12" s="409">
        <v>255</v>
      </c>
      <c r="N12" s="409"/>
      <c r="O12" s="409"/>
      <c r="P12" s="410" t="e">
        <f>IF(M12="nio",0,IF(M12&gt;0,M12*K12/S12,0))*VLOOKUP(B12,'2-Kosten per locatie'!$A$14:$C$61,3,FALSE)</f>
        <v>#DIV/0!</v>
      </c>
      <c r="Q12" s="410">
        <f>IF(N12&gt;0,N12*K12/T12,0)*VLOOKUP(B12,'2-Kosten per locatie'!$A$14:$C$61,3,FALSE)</f>
        <v>0</v>
      </c>
      <c r="R12" s="410">
        <f>IF(O12&gt;0,O12*K12/U12,0)*VLOOKUP(B12,'2-Kosten per locatie'!$A$14:$C$61,3,FALSE)</f>
        <v>0</v>
      </c>
      <c r="S12" s="411">
        <f>IF(M12="nio",0,IF(M12&gt;0,VLOOKUP(I12,'3-Productie normen'!A:P,VLOOKUP(M12,'3-Productie normen'!$B$38:$C$48,2,FALSE),FALSE)))</f>
        <v>0</v>
      </c>
      <c r="T12" s="411">
        <f t="shared" si="1"/>
        <v>0</v>
      </c>
      <c r="U12" s="411">
        <f t="shared" si="4"/>
        <v>0</v>
      </c>
      <c r="V12" s="412"/>
      <c r="X12" s="413">
        <f t="shared" si="2"/>
        <v>3570</v>
      </c>
    </row>
    <row r="13" spans="1:24" ht="14.1" customHeight="1">
      <c r="A13" s="70">
        <f t="shared" si="3"/>
        <v>13</v>
      </c>
      <c r="B13" s="354" t="s">
        <v>36</v>
      </c>
      <c r="C13" s="354" t="s">
        <v>164</v>
      </c>
      <c r="D13" s="354" t="s">
        <v>165</v>
      </c>
      <c r="E13" s="404" t="s">
        <v>166</v>
      </c>
      <c r="F13" s="405" t="s">
        <v>167</v>
      </c>
      <c r="G13" s="406">
        <v>0.4</v>
      </c>
      <c r="H13" s="354" t="s">
        <v>172</v>
      </c>
      <c r="I13" s="354" t="s">
        <v>105</v>
      </c>
      <c r="J13" s="399" t="s">
        <v>173</v>
      </c>
      <c r="K13" s="407">
        <v>11</v>
      </c>
      <c r="L13" s="408">
        <f t="shared" si="0"/>
        <v>255</v>
      </c>
      <c r="M13" s="409">
        <v>255</v>
      </c>
      <c r="N13" s="409"/>
      <c r="O13" s="409"/>
      <c r="P13" s="410" t="e">
        <f>IF(M13="nio",0,IF(M13&gt;0,M13*K13/S13,0))*VLOOKUP(B13,'2-Kosten per locatie'!$A$14:$C$61,3,FALSE)</f>
        <v>#DIV/0!</v>
      </c>
      <c r="Q13" s="410">
        <f>IF(N13&gt;0,N13*K13/T13,0)*VLOOKUP(B13,'2-Kosten per locatie'!$A$14:$C$61,3,FALSE)</f>
        <v>0</v>
      </c>
      <c r="R13" s="410">
        <f>IF(O13&gt;0,O13*K13/U13,0)*VLOOKUP(B13,'2-Kosten per locatie'!$A$14:$C$61,3,FALSE)</f>
        <v>0</v>
      </c>
      <c r="S13" s="411">
        <f>IF(M13="nio",0,IF(M13&gt;0,VLOOKUP(I13,'3-Productie normen'!A:P,VLOOKUP(M13,'3-Productie normen'!$B$38:$C$48,2,FALSE),FALSE)))</f>
        <v>0</v>
      </c>
      <c r="T13" s="411">
        <f t="shared" si="1"/>
        <v>0</v>
      </c>
      <c r="U13" s="411">
        <f t="shared" si="4"/>
        <v>0</v>
      </c>
      <c r="V13" s="412"/>
      <c r="X13" s="413">
        <f t="shared" si="2"/>
        <v>2805</v>
      </c>
    </row>
    <row r="14" spans="1:24" ht="14.1" customHeight="1">
      <c r="A14" s="70">
        <f t="shared" si="3"/>
        <v>14</v>
      </c>
      <c r="B14" s="354" t="s">
        <v>36</v>
      </c>
      <c r="C14" s="354" t="s">
        <v>164</v>
      </c>
      <c r="D14" s="354" t="s">
        <v>165</v>
      </c>
      <c r="E14" s="404" t="s">
        <v>166</v>
      </c>
      <c r="F14" s="405" t="s">
        <v>167</v>
      </c>
      <c r="G14" s="406">
        <v>0.5</v>
      </c>
      <c r="H14" s="354" t="s">
        <v>174</v>
      </c>
      <c r="I14" s="354" t="s">
        <v>115</v>
      </c>
      <c r="J14" s="399" t="s">
        <v>171</v>
      </c>
      <c r="K14" s="407">
        <v>58</v>
      </c>
      <c r="L14" s="408">
        <f t="shared" si="0"/>
        <v>255</v>
      </c>
      <c r="M14" s="409">
        <v>255</v>
      </c>
      <c r="N14" s="409"/>
      <c r="O14" s="409"/>
      <c r="P14" s="410" t="e">
        <f>IF(M14="nio",0,IF(M14&gt;0,M14*K14/S14,0))*VLOOKUP(B14,'2-Kosten per locatie'!$A$14:$C$61,3,FALSE)</f>
        <v>#DIV/0!</v>
      </c>
      <c r="Q14" s="410">
        <f>IF(N14&gt;0,N14*K14/T14,0)*VLOOKUP(B14,'2-Kosten per locatie'!$A$14:$C$61,3,FALSE)</f>
        <v>0</v>
      </c>
      <c r="R14" s="410">
        <f>IF(O14&gt;0,O14*K14/U14,0)*VLOOKUP(B14,'2-Kosten per locatie'!$A$14:$C$61,3,FALSE)</f>
        <v>0</v>
      </c>
      <c r="S14" s="411">
        <f>IF(M14="nio",0,IF(M14&gt;0,VLOOKUP(I14,'3-Productie normen'!A:P,VLOOKUP(M14,'3-Productie normen'!$B$38:$C$48,2,FALSE),FALSE)))</f>
        <v>0</v>
      </c>
      <c r="T14" s="411">
        <f t="shared" si="1"/>
        <v>0</v>
      </c>
      <c r="U14" s="411">
        <f t="shared" si="4"/>
        <v>0</v>
      </c>
      <c r="V14" s="412"/>
      <c r="X14" s="413">
        <f t="shared" si="2"/>
        <v>14790</v>
      </c>
    </row>
    <row r="15" spans="1:24" ht="14.1" customHeight="1">
      <c r="A15" s="70">
        <f t="shared" si="3"/>
        <v>15</v>
      </c>
      <c r="B15" s="354" t="s">
        <v>36</v>
      </c>
      <c r="C15" s="354" t="s">
        <v>164</v>
      </c>
      <c r="D15" s="354" t="s">
        <v>165</v>
      </c>
      <c r="E15" s="404" t="s">
        <v>166</v>
      </c>
      <c r="F15" s="405" t="s">
        <v>167</v>
      </c>
      <c r="G15" s="406">
        <v>0.6</v>
      </c>
      <c r="H15" s="354" t="s">
        <v>175</v>
      </c>
      <c r="I15" s="354" t="s">
        <v>115</v>
      </c>
      <c r="J15" s="399" t="s">
        <v>171</v>
      </c>
      <c r="K15" s="407">
        <v>58</v>
      </c>
      <c r="L15" s="408">
        <f t="shared" si="0"/>
        <v>255</v>
      </c>
      <c r="M15" s="409">
        <v>255</v>
      </c>
      <c r="N15" s="409"/>
      <c r="O15" s="409"/>
      <c r="P15" s="410" t="e">
        <f>IF(M15="nio",0,IF(M15&gt;0,M15*K15/S15,0))*VLOOKUP(B15,'2-Kosten per locatie'!$A$14:$C$61,3,FALSE)</f>
        <v>#DIV/0!</v>
      </c>
      <c r="Q15" s="410">
        <f>IF(N15&gt;0,N15*K15/T15,0)*VLOOKUP(B15,'2-Kosten per locatie'!$A$14:$C$61,3,FALSE)</f>
        <v>0</v>
      </c>
      <c r="R15" s="410">
        <f>IF(O15&gt;0,O15*K15/U15,0)*VLOOKUP(B15,'2-Kosten per locatie'!$A$14:$C$61,3,FALSE)</f>
        <v>0</v>
      </c>
      <c r="S15" s="411">
        <f>IF(M15="nio",0,IF(M15&gt;0,VLOOKUP(I15,'3-Productie normen'!A:P,VLOOKUP(M15,'3-Productie normen'!$B$38:$C$48,2,FALSE),FALSE)))</f>
        <v>0</v>
      </c>
      <c r="T15" s="411">
        <f t="shared" si="1"/>
        <v>0</v>
      </c>
      <c r="U15" s="411">
        <f t="shared" si="4"/>
        <v>0</v>
      </c>
      <c r="V15" s="412"/>
      <c r="X15" s="413">
        <f t="shared" si="2"/>
        <v>14790</v>
      </c>
    </row>
    <row r="16" spans="1:24" ht="14.1" customHeight="1">
      <c r="A16" s="70">
        <f t="shared" si="3"/>
        <v>16</v>
      </c>
      <c r="B16" s="354" t="s">
        <v>36</v>
      </c>
      <c r="C16" s="354" t="s">
        <v>164</v>
      </c>
      <c r="D16" s="354" t="s">
        <v>165</v>
      </c>
      <c r="E16" s="404" t="s">
        <v>166</v>
      </c>
      <c r="F16" s="405" t="s">
        <v>167</v>
      </c>
      <c r="G16" s="406">
        <v>0.7</v>
      </c>
      <c r="H16" s="399" t="s">
        <v>176</v>
      </c>
      <c r="I16" s="399" t="s">
        <v>115</v>
      </c>
      <c r="J16" s="399" t="s">
        <v>171</v>
      </c>
      <c r="K16" s="407">
        <v>58</v>
      </c>
      <c r="L16" s="408">
        <f t="shared" si="0"/>
        <v>255</v>
      </c>
      <c r="M16" s="409">
        <v>255</v>
      </c>
      <c r="N16" s="409"/>
      <c r="O16" s="409"/>
      <c r="P16" s="410" t="e">
        <f>IF(M16="nio",0,IF(M16&gt;0,M16*K16/S16,0))*VLOOKUP(B16,'2-Kosten per locatie'!$A$14:$C$61,3,FALSE)</f>
        <v>#DIV/0!</v>
      </c>
      <c r="Q16" s="410">
        <f>IF(N16&gt;0,N16*K16/T16,0)*VLOOKUP(B16,'2-Kosten per locatie'!$A$14:$C$61,3,FALSE)</f>
        <v>0</v>
      </c>
      <c r="R16" s="410">
        <f>IF(O16&gt;0,O16*K16/U16,0)*VLOOKUP(B16,'2-Kosten per locatie'!$A$14:$C$61,3,FALSE)</f>
        <v>0</v>
      </c>
      <c r="S16" s="411">
        <f>IF(M16="nio",0,IF(M16&gt;0,VLOOKUP(I16,'3-Productie normen'!A:P,VLOOKUP(M16,'3-Productie normen'!$B$38:$C$48,2,FALSE),FALSE)))</f>
        <v>0</v>
      </c>
      <c r="T16" s="411">
        <f t="shared" si="1"/>
        <v>0</v>
      </c>
      <c r="U16" s="411">
        <f t="shared" si="4"/>
        <v>0</v>
      </c>
      <c r="V16" s="412"/>
      <c r="X16" s="413">
        <f t="shared" si="2"/>
        <v>14790</v>
      </c>
    </row>
    <row r="17" spans="1:24" ht="14.1" customHeight="1">
      <c r="A17" s="70">
        <f t="shared" si="3"/>
        <v>17</v>
      </c>
      <c r="B17" s="354" t="s">
        <v>36</v>
      </c>
      <c r="C17" s="354" t="s">
        <v>164</v>
      </c>
      <c r="D17" s="354" t="s">
        <v>165</v>
      </c>
      <c r="E17" s="404" t="s">
        <v>166</v>
      </c>
      <c r="F17" s="405" t="s">
        <v>167</v>
      </c>
      <c r="G17" s="207">
        <v>0.8</v>
      </c>
      <c r="H17" s="80" t="s">
        <v>177</v>
      </c>
      <c r="I17" s="80" t="s">
        <v>115</v>
      </c>
      <c r="J17" s="399" t="s">
        <v>171</v>
      </c>
      <c r="K17" s="407">
        <v>84</v>
      </c>
      <c r="L17" s="408">
        <f t="shared" si="0"/>
        <v>255</v>
      </c>
      <c r="M17" s="409">
        <v>255</v>
      </c>
      <c r="N17" s="409"/>
      <c r="O17" s="409"/>
      <c r="P17" s="410" t="e">
        <f>IF(M17="nio",0,IF(M17&gt;0,M17*K17/S17,0))*VLOOKUP(B17,'2-Kosten per locatie'!$A$14:$C$61,3,FALSE)</f>
        <v>#DIV/0!</v>
      </c>
      <c r="Q17" s="410">
        <f>IF(N17&gt;0,N17*K17/T17,0)*VLOOKUP(B17,'2-Kosten per locatie'!$A$14:$C$61,3,FALSE)</f>
        <v>0</v>
      </c>
      <c r="R17" s="410">
        <f>IF(O17&gt;0,O17*K17/U17,0)*VLOOKUP(B17,'2-Kosten per locatie'!$A$14:$C$61,3,FALSE)</f>
        <v>0</v>
      </c>
      <c r="S17" s="411">
        <f>IF(M17="nio",0,IF(M17&gt;0,VLOOKUP(I17,'3-Productie normen'!A:P,VLOOKUP(M17,'3-Productie normen'!$B$38:$C$48,2,FALSE),FALSE)))</f>
        <v>0</v>
      </c>
      <c r="T17" s="411">
        <f t="shared" si="1"/>
        <v>0</v>
      </c>
      <c r="U17" s="411">
        <f t="shared" si="4"/>
        <v>0</v>
      </c>
      <c r="V17" s="412"/>
      <c r="X17" s="413">
        <f t="shared" si="2"/>
        <v>21420</v>
      </c>
    </row>
    <row r="18" spans="1:24" ht="14.1" customHeight="1">
      <c r="A18" s="70">
        <f t="shared" si="3"/>
        <v>18</v>
      </c>
      <c r="B18" s="354" t="s">
        <v>36</v>
      </c>
      <c r="C18" s="354" t="s">
        <v>164</v>
      </c>
      <c r="D18" s="354" t="s">
        <v>165</v>
      </c>
      <c r="E18" s="404" t="s">
        <v>166</v>
      </c>
      <c r="F18" s="405" t="s">
        <v>167</v>
      </c>
      <c r="G18" s="406">
        <v>0.9</v>
      </c>
      <c r="H18" s="399" t="s">
        <v>178</v>
      </c>
      <c r="I18" s="399" t="s">
        <v>121</v>
      </c>
      <c r="J18" s="228" t="s">
        <v>179</v>
      </c>
      <c r="K18" s="414">
        <v>13</v>
      </c>
      <c r="L18" s="408">
        <f t="shared" si="0"/>
        <v>255</v>
      </c>
      <c r="M18" s="409">
        <v>255</v>
      </c>
      <c r="N18" s="409"/>
      <c r="O18" s="409"/>
      <c r="P18" s="410" t="e">
        <f>IF(M18="nio",0,IF(M18&gt;0,M18*K18/S18,0))*VLOOKUP(B18,'2-Kosten per locatie'!$A$14:$C$61,3,FALSE)</f>
        <v>#DIV/0!</v>
      </c>
      <c r="Q18" s="410">
        <f>IF(N18&gt;0,N18*K18/T18,0)*VLOOKUP(B18,'2-Kosten per locatie'!$A$14:$C$61,3,FALSE)</f>
        <v>0</v>
      </c>
      <c r="R18" s="410">
        <f>IF(O18&gt;0,O18*K18/U18,0)*VLOOKUP(B18,'2-Kosten per locatie'!$A$14:$C$61,3,FALSE)</f>
        <v>0</v>
      </c>
      <c r="S18" s="411">
        <f>IF(M18="nio",0,IF(M18&gt;0,VLOOKUP(I18,'3-Productie normen'!A:P,VLOOKUP(M18,'3-Productie normen'!$B$38:$C$48,2,FALSE),FALSE)))</f>
        <v>0</v>
      </c>
      <c r="T18" s="411">
        <f t="shared" si="1"/>
        <v>0</v>
      </c>
      <c r="U18" s="411">
        <f t="shared" ref="U18:U77" si="5">IF(OR(O18&gt;0),S18*$U$8,0)</f>
        <v>0</v>
      </c>
      <c r="V18" s="412"/>
      <c r="X18" s="413">
        <f t="shared" si="2"/>
        <v>3315</v>
      </c>
    </row>
    <row r="19" spans="1:24" ht="14.1" customHeight="1">
      <c r="A19" s="70">
        <f t="shared" si="3"/>
        <v>19</v>
      </c>
      <c r="B19" s="354" t="s">
        <v>36</v>
      </c>
      <c r="C19" s="354" t="s">
        <v>164</v>
      </c>
      <c r="D19" s="354" t="s">
        <v>165</v>
      </c>
      <c r="E19" s="404" t="s">
        <v>166</v>
      </c>
      <c r="F19" s="81" t="s">
        <v>167</v>
      </c>
      <c r="G19" s="207" t="s">
        <v>180</v>
      </c>
      <c r="H19" s="80" t="s">
        <v>181</v>
      </c>
      <c r="I19" s="80" t="s">
        <v>121</v>
      </c>
      <c r="J19" s="399" t="s">
        <v>179</v>
      </c>
      <c r="K19" s="414">
        <v>13</v>
      </c>
      <c r="L19" s="408">
        <f t="shared" si="0"/>
        <v>255</v>
      </c>
      <c r="M19" s="409">
        <v>255</v>
      </c>
      <c r="N19" s="409"/>
      <c r="O19" s="409"/>
      <c r="P19" s="410" t="e">
        <f>IF(M19="nio",0,IF(M19&gt;0,M19*K19/S19,0))*VLOOKUP(B19,'2-Kosten per locatie'!$A$14:$C$61,3,FALSE)</f>
        <v>#DIV/0!</v>
      </c>
      <c r="Q19" s="410">
        <f>IF(N19&gt;0,N19*K19/T19,0)*VLOOKUP(B19,'2-Kosten per locatie'!$A$14:$C$61,3,FALSE)</f>
        <v>0</v>
      </c>
      <c r="R19" s="410">
        <f>IF(O19&gt;0,O19*K19/U19,0)*VLOOKUP(B19,'2-Kosten per locatie'!$A$14:$C$61,3,FALSE)</f>
        <v>0</v>
      </c>
      <c r="S19" s="411">
        <f>IF(M19="nio",0,IF(M19&gt;0,VLOOKUP(I19,'3-Productie normen'!A:P,VLOOKUP(M19,'3-Productie normen'!$B$38:$C$48,2,FALSE),FALSE)))</f>
        <v>0</v>
      </c>
      <c r="T19" s="411">
        <f t="shared" si="1"/>
        <v>0</v>
      </c>
      <c r="U19" s="411">
        <f t="shared" si="5"/>
        <v>0</v>
      </c>
      <c r="V19" s="412"/>
      <c r="X19" s="413">
        <f t="shared" si="2"/>
        <v>3315</v>
      </c>
    </row>
    <row r="20" spans="1:24" ht="14.1" customHeight="1">
      <c r="A20" s="70">
        <f t="shared" si="3"/>
        <v>20</v>
      </c>
      <c r="B20" s="354" t="s">
        <v>36</v>
      </c>
      <c r="C20" s="354" t="s">
        <v>164</v>
      </c>
      <c r="D20" s="354" t="s">
        <v>165</v>
      </c>
      <c r="E20" s="404" t="s">
        <v>166</v>
      </c>
      <c r="F20" s="405" t="s">
        <v>167</v>
      </c>
      <c r="G20" s="406" t="s">
        <v>182</v>
      </c>
      <c r="H20" s="399" t="s">
        <v>183</v>
      </c>
      <c r="I20" s="399" t="s">
        <v>106</v>
      </c>
      <c r="J20" s="399" t="s">
        <v>184</v>
      </c>
      <c r="K20" s="414">
        <v>16</v>
      </c>
      <c r="L20" s="408">
        <f t="shared" si="0"/>
        <v>255</v>
      </c>
      <c r="M20" s="409">
        <v>255</v>
      </c>
      <c r="N20" s="409"/>
      <c r="O20" s="409"/>
      <c r="P20" s="410" t="e">
        <f>IF(M20="nio",0,IF(M20&gt;0,M20*K20/S20,0))*VLOOKUP(B20,'2-Kosten per locatie'!$A$14:$C$61,3,FALSE)</f>
        <v>#DIV/0!</v>
      </c>
      <c r="Q20" s="410">
        <f>IF(N20&gt;0,N20*K20/T20,0)*VLOOKUP(B20,'2-Kosten per locatie'!$A$14:$C$61,3,FALSE)</f>
        <v>0</v>
      </c>
      <c r="R20" s="410">
        <f>IF(O20&gt;0,O20*K20/U20,0)*VLOOKUP(B20,'2-Kosten per locatie'!$A$14:$C$61,3,FALSE)</f>
        <v>0</v>
      </c>
      <c r="S20" s="411">
        <f>IF(M20="nio",0,IF(M20&gt;0,VLOOKUP(I20,'3-Productie normen'!A:P,VLOOKUP(M20,'3-Productie normen'!$B$38:$C$48,2,FALSE),FALSE)))</f>
        <v>0</v>
      </c>
      <c r="T20" s="411">
        <f t="shared" si="1"/>
        <v>0</v>
      </c>
      <c r="U20" s="411">
        <f t="shared" si="5"/>
        <v>0</v>
      </c>
      <c r="V20" s="412"/>
      <c r="X20" s="413">
        <f t="shared" si="2"/>
        <v>4080</v>
      </c>
    </row>
    <row r="21" spans="1:24" ht="14.1" customHeight="1">
      <c r="A21" s="70">
        <f t="shared" si="3"/>
        <v>21</v>
      </c>
      <c r="B21" s="354" t="s">
        <v>37</v>
      </c>
      <c r="C21" s="354" t="s">
        <v>164</v>
      </c>
      <c r="D21" s="354" t="s">
        <v>165</v>
      </c>
      <c r="E21" s="404" t="s">
        <v>166</v>
      </c>
      <c r="F21" s="405" t="s">
        <v>167</v>
      </c>
      <c r="G21" s="406">
        <v>0.1</v>
      </c>
      <c r="H21" s="399" t="s">
        <v>181</v>
      </c>
      <c r="I21" s="399" t="s">
        <v>121</v>
      </c>
      <c r="J21" s="399" t="s">
        <v>185</v>
      </c>
      <c r="K21" s="414">
        <v>9</v>
      </c>
      <c r="L21" s="408">
        <f t="shared" si="0"/>
        <v>156</v>
      </c>
      <c r="M21" s="409">
        <v>156</v>
      </c>
      <c r="N21" s="409"/>
      <c r="O21" s="409"/>
      <c r="P21" s="410" t="e">
        <f>IF(M21="nio",0,IF(M21&gt;0,M21*K21/S21,0))*VLOOKUP(B21,'2-Kosten per locatie'!$A$14:$C$61,3,FALSE)</f>
        <v>#DIV/0!</v>
      </c>
      <c r="Q21" s="410">
        <f>IF(N21&gt;0,N21*K21/T21,0)*VLOOKUP(B21,'2-Kosten per locatie'!$A$14:$C$61,3,FALSE)</f>
        <v>0</v>
      </c>
      <c r="R21" s="410">
        <f>IF(O21&gt;0,O21*K21/U21,0)*VLOOKUP(B21,'2-Kosten per locatie'!$A$14:$C$61,3,FALSE)</f>
        <v>0</v>
      </c>
      <c r="S21" s="411">
        <f>IF(M21="nio",0,IF(M21&gt;0,VLOOKUP(I21,'3-Productie normen'!A:P,VLOOKUP(M21,'3-Productie normen'!$B$38:$C$48,2,FALSE),FALSE)))</f>
        <v>0</v>
      </c>
      <c r="T21" s="411">
        <f t="shared" si="1"/>
        <v>0</v>
      </c>
      <c r="U21" s="411">
        <f t="shared" si="5"/>
        <v>0</v>
      </c>
      <c r="V21" s="412"/>
      <c r="X21" s="413">
        <f t="shared" si="2"/>
        <v>1404</v>
      </c>
    </row>
    <row r="22" spans="1:24" ht="14.1" customHeight="1">
      <c r="A22" s="70">
        <f t="shared" si="3"/>
        <v>22</v>
      </c>
      <c r="B22" s="354" t="s">
        <v>37</v>
      </c>
      <c r="C22" s="354" t="s">
        <v>164</v>
      </c>
      <c r="D22" s="354" t="s">
        <v>165</v>
      </c>
      <c r="E22" s="404" t="s">
        <v>166</v>
      </c>
      <c r="F22" s="405" t="s">
        <v>167</v>
      </c>
      <c r="G22" s="406">
        <v>0.2</v>
      </c>
      <c r="H22" s="399" t="s">
        <v>186</v>
      </c>
      <c r="I22" s="399" t="s">
        <v>120</v>
      </c>
      <c r="J22" s="399" t="s">
        <v>171</v>
      </c>
      <c r="K22" s="414">
        <v>55</v>
      </c>
      <c r="L22" s="408">
        <f t="shared" si="0"/>
        <v>156</v>
      </c>
      <c r="M22" s="409">
        <v>156</v>
      </c>
      <c r="N22" s="409"/>
      <c r="O22" s="409"/>
      <c r="P22" s="410" t="e">
        <f>IF(M22="nio",0,IF(M22&gt;0,M22*K22/S22,0))*VLOOKUP(B22,'2-Kosten per locatie'!$A$14:$C$61,3,FALSE)</f>
        <v>#DIV/0!</v>
      </c>
      <c r="Q22" s="410">
        <f>IF(N22&gt;0,N22*K22/T22,0)*VLOOKUP(B22,'2-Kosten per locatie'!$A$14:$C$61,3,FALSE)</f>
        <v>0</v>
      </c>
      <c r="R22" s="410">
        <f>IF(O22&gt;0,O22*K22/U22,0)*VLOOKUP(B22,'2-Kosten per locatie'!$A$14:$C$61,3,FALSE)</f>
        <v>0</v>
      </c>
      <c r="S22" s="411">
        <f>IF(M22="nio",0,IF(M22&gt;0,VLOOKUP(I22,'3-Productie normen'!A:P,VLOOKUP(M22,'3-Productie normen'!$B$38:$C$48,2,FALSE),FALSE)))</f>
        <v>0</v>
      </c>
      <c r="T22" s="411">
        <f t="shared" si="1"/>
        <v>0</v>
      </c>
      <c r="U22" s="411">
        <f t="shared" si="5"/>
        <v>0</v>
      </c>
      <c r="V22" s="412"/>
      <c r="X22" s="413">
        <f t="shared" si="2"/>
        <v>8580</v>
      </c>
    </row>
    <row r="23" spans="1:24" ht="14.1" customHeight="1">
      <c r="A23" s="70">
        <f t="shared" si="3"/>
        <v>23</v>
      </c>
      <c r="B23" s="354" t="s">
        <v>37</v>
      </c>
      <c r="C23" s="354" t="s">
        <v>164</v>
      </c>
      <c r="D23" s="354" t="s">
        <v>165</v>
      </c>
      <c r="E23" s="404" t="s">
        <v>166</v>
      </c>
      <c r="F23" s="405" t="s">
        <v>167</v>
      </c>
      <c r="G23" s="406">
        <v>0.3</v>
      </c>
      <c r="H23" s="399" t="s">
        <v>187</v>
      </c>
      <c r="I23" s="399" t="s">
        <v>107</v>
      </c>
      <c r="J23" s="399" t="s">
        <v>169</v>
      </c>
      <c r="K23" s="414">
        <v>5.5</v>
      </c>
      <c r="L23" s="408">
        <f t="shared" si="0"/>
        <v>156</v>
      </c>
      <c r="M23" s="409">
        <v>156</v>
      </c>
      <c r="N23" s="409"/>
      <c r="O23" s="409"/>
      <c r="P23" s="410" t="e">
        <f>IF(M23="nio",0,IF(M23&gt;0,M23*K23/S23,0))*VLOOKUP(B23,'2-Kosten per locatie'!$A$14:$C$61,3,FALSE)</f>
        <v>#DIV/0!</v>
      </c>
      <c r="Q23" s="410">
        <f>IF(N23&gt;0,N23*K23/T23,0)*VLOOKUP(B23,'2-Kosten per locatie'!$A$14:$C$61,3,FALSE)</f>
        <v>0</v>
      </c>
      <c r="R23" s="410">
        <f>IF(O23&gt;0,O23*K23/U23,0)*VLOOKUP(B23,'2-Kosten per locatie'!$A$14:$C$61,3,FALSE)</f>
        <v>0</v>
      </c>
      <c r="S23" s="411">
        <f>IF(M23="nio",0,IF(M23&gt;0,VLOOKUP(I23,'3-Productie normen'!A:P,VLOOKUP(M23,'3-Productie normen'!$B$38:$C$48,2,FALSE),FALSE)))</f>
        <v>0</v>
      </c>
      <c r="T23" s="411">
        <f t="shared" si="1"/>
        <v>0</v>
      </c>
      <c r="U23" s="411">
        <f t="shared" si="5"/>
        <v>0</v>
      </c>
      <c r="V23" s="412"/>
      <c r="X23" s="413">
        <f t="shared" si="2"/>
        <v>858</v>
      </c>
    </row>
    <row r="24" spans="1:24" ht="14.1" customHeight="1">
      <c r="A24" s="70">
        <f t="shared" si="3"/>
        <v>24</v>
      </c>
      <c r="B24" s="354" t="s">
        <v>37</v>
      </c>
      <c r="C24" s="354" t="s">
        <v>164</v>
      </c>
      <c r="D24" s="354" t="s">
        <v>165</v>
      </c>
      <c r="E24" s="404" t="s">
        <v>166</v>
      </c>
      <c r="F24" s="405" t="s">
        <v>167</v>
      </c>
      <c r="G24" s="406">
        <v>0.4</v>
      </c>
      <c r="H24" s="399" t="s">
        <v>183</v>
      </c>
      <c r="I24" s="399" t="s">
        <v>106</v>
      </c>
      <c r="J24" s="399" t="s">
        <v>179</v>
      </c>
      <c r="K24" s="414">
        <v>6</v>
      </c>
      <c r="L24" s="408">
        <f t="shared" si="0"/>
        <v>156</v>
      </c>
      <c r="M24" s="409">
        <v>156</v>
      </c>
      <c r="N24" s="409"/>
      <c r="O24" s="409"/>
      <c r="P24" s="410" t="e">
        <f>IF(M24="nio",0,IF(M24&gt;0,M24*K24/S24,0))*VLOOKUP(B24,'2-Kosten per locatie'!$A$14:$C$61,3,FALSE)</f>
        <v>#DIV/0!</v>
      </c>
      <c r="Q24" s="410">
        <f>IF(N24&gt;0,N24*K24/T24,0)*VLOOKUP(B24,'2-Kosten per locatie'!$A$14:$C$61,3,FALSE)</f>
        <v>0</v>
      </c>
      <c r="R24" s="410">
        <f>IF(O24&gt;0,O24*K24/U24,0)*VLOOKUP(B24,'2-Kosten per locatie'!$A$14:$C$61,3,FALSE)</f>
        <v>0</v>
      </c>
      <c r="S24" s="411">
        <f>IF(M24="nio",0,IF(M24&gt;0,VLOOKUP(I24,'3-Productie normen'!A:P,VLOOKUP(M24,'3-Productie normen'!$B$38:$C$48,2,FALSE),FALSE)))</f>
        <v>0</v>
      </c>
      <c r="T24" s="411">
        <f t="shared" si="1"/>
        <v>0</v>
      </c>
      <c r="U24" s="411">
        <f t="shared" si="5"/>
        <v>0</v>
      </c>
      <c r="V24" s="412"/>
      <c r="X24" s="413">
        <f t="shared" si="2"/>
        <v>936</v>
      </c>
    </row>
    <row r="25" spans="1:24" ht="14.1" customHeight="1">
      <c r="A25" s="70">
        <f t="shared" si="3"/>
        <v>25</v>
      </c>
      <c r="B25" s="354" t="s">
        <v>38</v>
      </c>
      <c r="C25" s="354" t="s">
        <v>188</v>
      </c>
      <c r="D25" s="354" t="s">
        <v>165</v>
      </c>
      <c r="E25" s="404" t="s">
        <v>188</v>
      </c>
      <c r="F25" s="405" t="s">
        <v>167</v>
      </c>
      <c r="G25" s="406">
        <v>0.1</v>
      </c>
      <c r="H25" s="399" t="s">
        <v>189</v>
      </c>
      <c r="I25" s="399" t="s">
        <v>108</v>
      </c>
      <c r="J25" s="399" t="s">
        <v>179</v>
      </c>
      <c r="K25" s="414">
        <v>1.5</v>
      </c>
      <c r="L25" s="408">
        <f t="shared" si="0"/>
        <v>156</v>
      </c>
      <c r="M25" s="409">
        <v>156</v>
      </c>
      <c r="N25" s="409"/>
      <c r="O25" s="409"/>
      <c r="P25" s="410" t="e">
        <f>IF(M25="nio",0,IF(M25&gt;0,M25*K25/S25,0))*VLOOKUP(B25,'2-Kosten per locatie'!$A$14:$C$61,3,FALSE)</f>
        <v>#DIV/0!</v>
      </c>
      <c r="Q25" s="410">
        <f>IF(N25&gt;0,N25*K25/T25,0)*VLOOKUP(B25,'2-Kosten per locatie'!$A$14:$C$61,3,FALSE)</f>
        <v>0</v>
      </c>
      <c r="R25" s="410">
        <f>IF(O25&gt;0,O25*K25/U25,0)*VLOOKUP(B25,'2-Kosten per locatie'!$A$14:$C$61,3,FALSE)</f>
        <v>0</v>
      </c>
      <c r="S25" s="411">
        <f>IF(M25="nio",0,IF(M25&gt;0,VLOOKUP(I25,'3-Productie normen'!A:P,VLOOKUP(M25,'3-Productie normen'!$B$38:$C$48,2,FALSE),FALSE)))</f>
        <v>0</v>
      </c>
      <c r="T25" s="411">
        <f t="shared" si="1"/>
        <v>0</v>
      </c>
      <c r="U25" s="411">
        <f t="shared" si="5"/>
        <v>0</v>
      </c>
      <c r="V25" s="412"/>
      <c r="X25" s="413">
        <f t="shared" si="2"/>
        <v>234</v>
      </c>
    </row>
    <row r="26" spans="1:24" ht="14.1" customHeight="1">
      <c r="A26" s="70">
        <f t="shared" si="3"/>
        <v>26</v>
      </c>
      <c r="B26" s="354" t="s">
        <v>38</v>
      </c>
      <c r="C26" s="354" t="s">
        <v>188</v>
      </c>
      <c r="D26" s="354" t="s">
        <v>165</v>
      </c>
      <c r="E26" s="404" t="s">
        <v>188</v>
      </c>
      <c r="F26" s="405" t="s">
        <v>167</v>
      </c>
      <c r="G26" s="406">
        <v>0.2</v>
      </c>
      <c r="H26" s="354" t="s">
        <v>186</v>
      </c>
      <c r="I26" s="354" t="s">
        <v>120</v>
      </c>
      <c r="J26" s="399" t="s">
        <v>171</v>
      </c>
      <c r="K26" s="407">
        <v>19.8</v>
      </c>
      <c r="L26" s="408">
        <f t="shared" si="0"/>
        <v>156</v>
      </c>
      <c r="M26" s="409">
        <v>156</v>
      </c>
      <c r="N26" s="409"/>
      <c r="O26" s="409"/>
      <c r="P26" s="410" t="e">
        <f>IF(M26="nio",0,IF(M26&gt;0,M26*K26/S26,0))*VLOOKUP(B26,'2-Kosten per locatie'!$A$14:$C$61,3,FALSE)</f>
        <v>#DIV/0!</v>
      </c>
      <c r="Q26" s="410">
        <f>IF(N26&gt;0,N26*K26/T26,0)*VLOOKUP(B26,'2-Kosten per locatie'!$A$14:$C$61,3,FALSE)</f>
        <v>0</v>
      </c>
      <c r="R26" s="410">
        <f>IF(O26&gt;0,O26*K26/U26,0)*VLOOKUP(B26,'2-Kosten per locatie'!$A$14:$C$61,3,FALSE)</f>
        <v>0</v>
      </c>
      <c r="S26" s="411">
        <f>IF(M26="nio",0,IF(M26&gt;0,VLOOKUP(I26,'3-Productie normen'!A:P,VLOOKUP(M26,'3-Productie normen'!$B$38:$C$48,2,FALSE),FALSE)))</f>
        <v>0</v>
      </c>
      <c r="T26" s="411">
        <f t="shared" si="1"/>
        <v>0</v>
      </c>
      <c r="U26" s="411">
        <f t="shared" si="5"/>
        <v>0</v>
      </c>
      <c r="V26" s="412"/>
      <c r="X26" s="413">
        <f t="shared" si="2"/>
        <v>3088.8</v>
      </c>
    </row>
    <row r="27" spans="1:24" ht="14.1" customHeight="1">
      <c r="A27" s="70">
        <f t="shared" si="3"/>
        <v>27</v>
      </c>
      <c r="B27" s="354" t="s">
        <v>38</v>
      </c>
      <c r="C27" s="354" t="s">
        <v>188</v>
      </c>
      <c r="D27" s="354" t="s">
        <v>165</v>
      </c>
      <c r="E27" s="404" t="s">
        <v>188</v>
      </c>
      <c r="F27" s="405" t="s">
        <v>167</v>
      </c>
      <c r="G27" s="406">
        <v>0.3</v>
      </c>
      <c r="H27" s="354" t="s">
        <v>183</v>
      </c>
      <c r="I27" s="354" t="s">
        <v>106</v>
      </c>
      <c r="J27" s="399" t="s">
        <v>179</v>
      </c>
      <c r="K27" s="407">
        <v>2.8</v>
      </c>
      <c r="L27" s="408">
        <f t="shared" si="0"/>
        <v>156</v>
      </c>
      <c r="M27" s="409">
        <v>156</v>
      </c>
      <c r="N27" s="409"/>
      <c r="O27" s="409"/>
      <c r="P27" s="410" t="e">
        <f>IF(M27="nio",0,IF(M27&gt;0,M27*K27/S27,0))*VLOOKUP(B27,'2-Kosten per locatie'!$A$14:$C$61,3,FALSE)</f>
        <v>#DIV/0!</v>
      </c>
      <c r="Q27" s="410">
        <f>IF(N27&gt;0,N27*K27/T27,0)*VLOOKUP(B27,'2-Kosten per locatie'!$A$14:$C$61,3,FALSE)</f>
        <v>0</v>
      </c>
      <c r="R27" s="410">
        <f>IF(O27&gt;0,O27*K27/U27,0)*VLOOKUP(B27,'2-Kosten per locatie'!$A$14:$C$61,3,FALSE)</f>
        <v>0</v>
      </c>
      <c r="S27" s="411">
        <f>IF(M27="nio",0,IF(M27&gt;0,VLOOKUP(I27,'3-Productie normen'!A:P,VLOOKUP(M27,'3-Productie normen'!$B$38:$C$48,2,FALSE),FALSE)))</f>
        <v>0</v>
      </c>
      <c r="T27" s="411">
        <f t="shared" si="1"/>
        <v>0</v>
      </c>
      <c r="U27" s="411">
        <f t="shared" si="5"/>
        <v>0</v>
      </c>
      <c r="V27" s="412"/>
      <c r="X27" s="413">
        <f t="shared" si="2"/>
        <v>436.79999999999995</v>
      </c>
    </row>
    <row r="28" spans="1:24" ht="14.1" customHeight="1">
      <c r="A28" s="70">
        <f t="shared" si="3"/>
        <v>28</v>
      </c>
      <c r="B28" s="354" t="s">
        <v>38</v>
      </c>
      <c r="C28" s="354" t="s">
        <v>188</v>
      </c>
      <c r="D28" s="354" t="s">
        <v>165</v>
      </c>
      <c r="E28" s="404" t="s">
        <v>188</v>
      </c>
      <c r="F28" s="405" t="s">
        <v>167</v>
      </c>
      <c r="G28" s="406">
        <v>0.1</v>
      </c>
      <c r="H28" s="354" t="s">
        <v>183</v>
      </c>
      <c r="I28" s="354" t="s">
        <v>106</v>
      </c>
      <c r="J28" s="399" t="s">
        <v>179</v>
      </c>
      <c r="K28" s="407">
        <v>17</v>
      </c>
      <c r="L28" s="408">
        <f t="shared" si="0"/>
        <v>156</v>
      </c>
      <c r="M28" s="409">
        <v>156</v>
      </c>
      <c r="N28" s="409"/>
      <c r="O28" s="409"/>
      <c r="P28" s="410" t="e">
        <f>IF(M28="nio",0,IF(M28&gt;0,M28*K28/S28,0))*VLOOKUP(B28,'2-Kosten per locatie'!$A$14:$C$61,3,FALSE)</f>
        <v>#DIV/0!</v>
      </c>
      <c r="Q28" s="410">
        <f>IF(N28&gt;0,N28*K28/T28,0)*VLOOKUP(B28,'2-Kosten per locatie'!$A$14:$C$61,3,FALSE)</f>
        <v>0</v>
      </c>
      <c r="R28" s="410">
        <f>IF(O28&gt;0,O28*K28/U28,0)*VLOOKUP(B28,'2-Kosten per locatie'!$A$14:$C$61,3,FALSE)</f>
        <v>0</v>
      </c>
      <c r="S28" s="411">
        <f>IF(M28="nio",0,IF(M28&gt;0,VLOOKUP(I28,'3-Productie normen'!A:P,VLOOKUP(M28,'3-Productie normen'!$B$38:$C$48,2,FALSE),FALSE)))</f>
        <v>0</v>
      </c>
      <c r="T28" s="411">
        <f t="shared" si="1"/>
        <v>0</v>
      </c>
      <c r="U28" s="411">
        <f t="shared" si="5"/>
        <v>0</v>
      </c>
      <c r="V28" s="412"/>
      <c r="X28" s="413">
        <f t="shared" si="2"/>
        <v>2652</v>
      </c>
    </row>
    <row r="29" spans="1:24" ht="14.1" customHeight="1">
      <c r="A29" s="70">
        <f t="shared" si="3"/>
        <v>29</v>
      </c>
      <c r="B29" s="354" t="s">
        <v>39</v>
      </c>
      <c r="C29" s="354" t="s">
        <v>164</v>
      </c>
      <c r="D29" s="354" t="s">
        <v>165</v>
      </c>
      <c r="E29" s="404" t="s">
        <v>190</v>
      </c>
      <c r="F29" s="405" t="s">
        <v>167</v>
      </c>
      <c r="G29" s="406" t="s">
        <v>191</v>
      </c>
      <c r="H29" s="399" t="s">
        <v>107</v>
      </c>
      <c r="I29" s="399" t="s">
        <v>107</v>
      </c>
      <c r="J29" s="399" t="s">
        <v>169</v>
      </c>
      <c r="K29" s="407">
        <v>3</v>
      </c>
      <c r="L29" s="408">
        <f t="shared" si="0"/>
        <v>255</v>
      </c>
      <c r="M29" s="409">
        <v>255</v>
      </c>
      <c r="N29" s="409"/>
      <c r="O29" s="409"/>
      <c r="P29" s="410" t="e">
        <f>IF(M29="nio",0,IF(M29&gt;0,M29*K29/S29,0))*VLOOKUP(B29,'2-Kosten per locatie'!$A$14:$C$61,3,FALSE)</f>
        <v>#DIV/0!</v>
      </c>
      <c r="Q29" s="410">
        <f>IF(N29&gt;0,N29*K29/T29,0)*VLOOKUP(B29,'2-Kosten per locatie'!$A$14:$C$61,3,FALSE)</f>
        <v>0</v>
      </c>
      <c r="R29" s="410">
        <f>IF(O29&gt;0,O29*K29/U29,0)*VLOOKUP(B29,'2-Kosten per locatie'!$A$14:$C$61,3,FALSE)</f>
        <v>0</v>
      </c>
      <c r="S29" s="411">
        <f>IF(M29="nio",0,IF(M29&gt;0,VLOOKUP(I29,'3-Productie normen'!A:P,VLOOKUP(M29,'3-Productie normen'!$B$38:$C$48,2,FALSE),FALSE)))</f>
        <v>0</v>
      </c>
      <c r="T29" s="411">
        <f t="shared" si="1"/>
        <v>0</v>
      </c>
      <c r="U29" s="411">
        <f t="shared" si="5"/>
        <v>0</v>
      </c>
      <c r="V29" s="412"/>
      <c r="X29" s="413">
        <f t="shared" si="2"/>
        <v>765</v>
      </c>
    </row>
    <row r="30" spans="1:24" ht="14.1" customHeight="1">
      <c r="A30" s="70">
        <f t="shared" si="3"/>
        <v>30</v>
      </c>
      <c r="B30" s="354" t="s">
        <v>39</v>
      </c>
      <c r="C30" s="354" t="s">
        <v>164</v>
      </c>
      <c r="D30" s="354" t="s">
        <v>165</v>
      </c>
      <c r="E30" s="404" t="s">
        <v>190</v>
      </c>
      <c r="F30" s="405" t="s">
        <v>167</v>
      </c>
      <c r="G30" s="406" t="s">
        <v>191</v>
      </c>
      <c r="H30" s="399" t="s">
        <v>190</v>
      </c>
      <c r="I30" s="399" t="s">
        <v>108</v>
      </c>
      <c r="J30" s="399" t="s">
        <v>192</v>
      </c>
      <c r="K30" s="407">
        <v>515</v>
      </c>
      <c r="L30" s="408">
        <f t="shared" si="0"/>
        <v>255</v>
      </c>
      <c r="M30" s="409">
        <v>255</v>
      </c>
      <c r="N30" s="409"/>
      <c r="O30" s="409"/>
      <c r="P30" s="410" t="e">
        <f>IF(M30="nio",0,IF(M30&gt;0,M30*K30/S30,0))*VLOOKUP(B30,'2-Kosten per locatie'!$A$14:$C$61,3,FALSE)</f>
        <v>#DIV/0!</v>
      </c>
      <c r="Q30" s="410">
        <f>IF(N30&gt;0,N30*K30/T30,0)*VLOOKUP(B30,'2-Kosten per locatie'!$A$14:$C$61,3,FALSE)</f>
        <v>0</v>
      </c>
      <c r="R30" s="410">
        <f>IF(O30&gt;0,O30*K30/U30,0)*VLOOKUP(B30,'2-Kosten per locatie'!$A$14:$C$61,3,FALSE)</f>
        <v>0</v>
      </c>
      <c r="S30" s="411">
        <f>IF(M30="nio",0,IF(M30&gt;0,VLOOKUP(I30,'3-Productie normen'!A:P,VLOOKUP(M30,'3-Productie normen'!$B$38:$C$48,2,FALSE),FALSE)))</f>
        <v>0</v>
      </c>
      <c r="T30" s="411">
        <f t="shared" si="1"/>
        <v>0</v>
      </c>
      <c r="U30" s="411">
        <f t="shared" si="5"/>
        <v>0</v>
      </c>
      <c r="V30" s="412"/>
      <c r="X30" s="413">
        <f t="shared" si="2"/>
        <v>131325</v>
      </c>
    </row>
    <row r="31" spans="1:24" ht="14.1" customHeight="1">
      <c r="A31" s="70">
        <f t="shared" si="3"/>
        <v>31</v>
      </c>
      <c r="B31" s="354" t="s">
        <v>39</v>
      </c>
      <c r="C31" s="354" t="s">
        <v>164</v>
      </c>
      <c r="D31" s="354" t="s">
        <v>165</v>
      </c>
      <c r="E31" s="404" t="s">
        <v>190</v>
      </c>
      <c r="F31" s="405" t="s">
        <v>167</v>
      </c>
      <c r="G31" s="406" t="s">
        <v>191</v>
      </c>
      <c r="H31" s="399" t="s">
        <v>190</v>
      </c>
      <c r="I31" s="399" t="s">
        <v>108</v>
      </c>
      <c r="J31" s="399" t="s">
        <v>193</v>
      </c>
      <c r="K31" s="407">
        <v>134</v>
      </c>
      <c r="L31" s="408">
        <f t="shared" si="0"/>
        <v>255</v>
      </c>
      <c r="M31" s="409">
        <v>255</v>
      </c>
      <c r="N31" s="409"/>
      <c r="O31" s="409"/>
      <c r="P31" s="410" t="e">
        <f>IF(M31="nio",0,IF(M31&gt;0,M31*K31/S31,0))*VLOOKUP(B31,'2-Kosten per locatie'!$A$14:$C$61,3,FALSE)</f>
        <v>#DIV/0!</v>
      </c>
      <c r="Q31" s="410">
        <f>IF(N31&gt;0,N31*K31/T31,0)*VLOOKUP(B31,'2-Kosten per locatie'!$A$14:$C$61,3,FALSE)</f>
        <v>0</v>
      </c>
      <c r="R31" s="410">
        <f>IF(O31&gt;0,O31*K31/U31,0)*VLOOKUP(B31,'2-Kosten per locatie'!$A$14:$C$61,3,FALSE)</f>
        <v>0</v>
      </c>
      <c r="S31" s="411">
        <f>IF(M31="nio",0,IF(M31&gt;0,VLOOKUP(I31,'3-Productie normen'!A:P,VLOOKUP(M31,'3-Productie normen'!$B$38:$C$48,2,FALSE),FALSE)))</f>
        <v>0</v>
      </c>
      <c r="T31" s="411">
        <f t="shared" si="1"/>
        <v>0</v>
      </c>
      <c r="U31" s="411">
        <f t="shared" si="5"/>
        <v>0</v>
      </c>
      <c r="V31" s="412"/>
      <c r="X31" s="413">
        <f t="shared" si="2"/>
        <v>34170</v>
      </c>
    </row>
    <row r="32" spans="1:24" ht="14.1" customHeight="1">
      <c r="A32" s="70">
        <f t="shared" si="3"/>
        <v>32</v>
      </c>
      <c r="B32" s="354" t="s">
        <v>40</v>
      </c>
      <c r="C32" s="354" t="s">
        <v>164</v>
      </c>
      <c r="D32" s="354" t="s">
        <v>165</v>
      </c>
      <c r="E32" s="404" t="s">
        <v>166</v>
      </c>
      <c r="F32" s="405" t="s">
        <v>167</v>
      </c>
      <c r="G32" s="406" t="s">
        <v>194</v>
      </c>
      <c r="H32" s="399" t="s">
        <v>195</v>
      </c>
      <c r="I32" s="399" t="s">
        <v>121</v>
      </c>
      <c r="J32" s="399" t="s">
        <v>192</v>
      </c>
      <c r="K32" s="407">
        <v>30</v>
      </c>
      <c r="L32" s="408">
        <f t="shared" si="0"/>
        <v>255</v>
      </c>
      <c r="M32" s="409">
        <v>255</v>
      </c>
      <c r="N32" s="409"/>
      <c r="O32" s="409"/>
      <c r="P32" s="410" t="e">
        <f>IF(M32="nio",0,IF(M32&gt;0,M32*K32/S32,0))*VLOOKUP(B32,'2-Kosten per locatie'!$A$14:$C$61,3,FALSE)</f>
        <v>#DIV/0!</v>
      </c>
      <c r="Q32" s="410">
        <f>IF(N32&gt;0,N32*K32/T32,0)*VLOOKUP(B32,'2-Kosten per locatie'!$A$14:$C$61,3,FALSE)</f>
        <v>0</v>
      </c>
      <c r="R32" s="410">
        <f>IF(O32&gt;0,O32*K32/U32,0)*VLOOKUP(B32,'2-Kosten per locatie'!$A$14:$C$61,3,FALSE)</f>
        <v>0</v>
      </c>
      <c r="S32" s="411">
        <f>IF(M32="nio",0,IF(M32&gt;0,VLOOKUP(I32,'3-Productie normen'!A:P,VLOOKUP(M32,'3-Productie normen'!$B$38:$C$48,2,FALSE),FALSE)))</f>
        <v>0</v>
      </c>
      <c r="T32" s="411">
        <f t="shared" si="1"/>
        <v>0</v>
      </c>
      <c r="U32" s="411">
        <f t="shared" si="5"/>
        <v>0</v>
      </c>
      <c r="V32" s="412"/>
      <c r="X32" s="413">
        <f t="shared" si="2"/>
        <v>7650</v>
      </c>
    </row>
    <row r="33" spans="1:24" ht="14.1" customHeight="1">
      <c r="A33" s="70">
        <f t="shared" si="3"/>
        <v>33</v>
      </c>
      <c r="B33" s="354" t="s">
        <v>40</v>
      </c>
      <c r="C33" s="354" t="s">
        <v>164</v>
      </c>
      <c r="D33" s="354" t="s">
        <v>165</v>
      </c>
      <c r="E33" s="404" t="s">
        <v>166</v>
      </c>
      <c r="F33" s="405" t="s">
        <v>167</v>
      </c>
      <c r="G33" s="406" t="s">
        <v>196</v>
      </c>
      <c r="H33" s="341" t="s">
        <v>197</v>
      </c>
      <c r="I33" s="341" t="s">
        <v>115</v>
      </c>
      <c r="J33" s="399" t="s">
        <v>193</v>
      </c>
      <c r="K33" s="407">
        <v>52</v>
      </c>
      <c r="L33" s="408">
        <f t="shared" si="0"/>
        <v>255</v>
      </c>
      <c r="M33" s="409">
        <v>255</v>
      </c>
      <c r="N33" s="409"/>
      <c r="O33" s="409"/>
      <c r="P33" s="410" t="e">
        <f>IF(M33="nio",0,IF(M33&gt;0,M33*K33/S33,0))*VLOOKUP(B33,'2-Kosten per locatie'!$A$14:$C$61,3,FALSE)</f>
        <v>#DIV/0!</v>
      </c>
      <c r="Q33" s="410">
        <f>IF(N33&gt;0,N33*K33/T33,0)*VLOOKUP(B33,'2-Kosten per locatie'!$A$14:$C$61,3,FALSE)</f>
        <v>0</v>
      </c>
      <c r="R33" s="410">
        <f>IF(O33&gt;0,O33*K33/U33,0)*VLOOKUP(B33,'2-Kosten per locatie'!$A$14:$C$61,3,FALSE)</f>
        <v>0</v>
      </c>
      <c r="S33" s="411">
        <f>IF(M33="nio",0,IF(M33&gt;0,VLOOKUP(I33,'3-Productie normen'!A:P,VLOOKUP(M33,'3-Productie normen'!$B$38:$C$48,2,FALSE),FALSE)))</f>
        <v>0</v>
      </c>
      <c r="T33" s="411">
        <f t="shared" si="1"/>
        <v>0</v>
      </c>
      <c r="U33" s="411">
        <f t="shared" si="5"/>
        <v>0</v>
      </c>
      <c r="V33" s="412"/>
      <c r="X33" s="413">
        <f t="shared" si="2"/>
        <v>13260</v>
      </c>
    </row>
    <row r="34" spans="1:24" ht="14.1" customHeight="1">
      <c r="A34" s="70">
        <f t="shared" si="3"/>
        <v>34</v>
      </c>
      <c r="B34" s="354" t="s">
        <v>40</v>
      </c>
      <c r="C34" s="354" t="s">
        <v>164</v>
      </c>
      <c r="D34" s="354" t="s">
        <v>165</v>
      </c>
      <c r="E34" s="404" t="s">
        <v>166</v>
      </c>
      <c r="F34" s="405" t="s">
        <v>167</v>
      </c>
      <c r="G34" s="406" t="s">
        <v>198</v>
      </c>
      <c r="H34" s="399" t="s">
        <v>197</v>
      </c>
      <c r="I34" s="399" t="s">
        <v>115</v>
      </c>
      <c r="J34" s="228" t="s">
        <v>193</v>
      </c>
      <c r="K34" s="407">
        <v>58</v>
      </c>
      <c r="L34" s="408">
        <f t="shared" si="0"/>
        <v>255</v>
      </c>
      <c r="M34" s="409">
        <v>255</v>
      </c>
      <c r="N34" s="409"/>
      <c r="O34" s="409"/>
      <c r="P34" s="410" t="e">
        <f>IF(M34="nio",0,IF(M34&gt;0,M34*K34/S34,0))*VLOOKUP(B34,'2-Kosten per locatie'!$A$14:$C$61,3,FALSE)</f>
        <v>#DIV/0!</v>
      </c>
      <c r="Q34" s="410">
        <f>IF(N34&gt;0,N34*K34/T34,0)*VLOOKUP(B34,'2-Kosten per locatie'!$A$14:$C$61,3,FALSE)</f>
        <v>0</v>
      </c>
      <c r="R34" s="410">
        <f>IF(O34&gt;0,O34*K34/U34,0)*VLOOKUP(B34,'2-Kosten per locatie'!$A$14:$C$61,3,FALSE)</f>
        <v>0</v>
      </c>
      <c r="S34" s="411">
        <f>IF(M34="nio",0,IF(M34&gt;0,VLOOKUP(I34,'3-Productie normen'!A:P,VLOOKUP(M34,'3-Productie normen'!$B$38:$C$48,2,FALSE),FALSE)))</f>
        <v>0</v>
      </c>
      <c r="T34" s="411">
        <f t="shared" si="1"/>
        <v>0</v>
      </c>
      <c r="U34" s="411">
        <f t="shared" si="5"/>
        <v>0</v>
      </c>
      <c r="V34" s="412"/>
      <c r="X34" s="413">
        <f t="shared" si="2"/>
        <v>14790</v>
      </c>
    </row>
    <row r="35" spans="1:24" ht="14.1" customHeight="1">
      <c r="A35" s="70">
        <f t="shared" si="3"/>
        <v>35</v>
      </c>
      <c r="B35" s="354" t="s">
        <v>40</v>
      </c>
      <c r="C35" s="354" t="s">
        <v>164</v>
      </c>
      <c r="D35" s="354" t="s">
        <v>165</v>
      </c>
      <c r="E35" s="404" t="s">
        <v>166</v>
      </c>
      <c r="F35" s="81" t="s">
        <v>167</v>
      </c>
      <c r="G35" s="207" t="s">
        <v>199</v>
      </c>
      <c r="H35" s="80" t="s">
        <v>200</v>
      </c>
      <c r="I35" s="80" t="s">
        <v>121</v>
      </c>
      <c r="J35" s="399" t="s">
        <v>201</v>
      </c>
      <c r="K35" s="407">
        <v>19</v>
      </c>
      <c r="L35" s="408">
        <f t="shared" si="0"/>
        <v>255</v>
      </c>
      <c r="M35" s="409">
        <v>255</v>
      </c>
      <c r="N35" s="409"/>
      <c r="O35" s="409"/>
      <c r="P35" s="410" t="e">
        <f>IF(M35="nio",0,IF(M35&gt;0,M35*K35/S35,0))*VLOOKUP(B35,'2-Kosten per locatie'!$A$14:$C$61,3,FALSE)</f>
        <v>#DIV/0!</v>
      </c>
      <c r="Q35" s="410">
        <f>IF(N35&gt;0,N35*K35/T35,0)*VLOOKUP(B35,'2-Kosten per locatie'!$A$14:$C$61,3,FALSE)</f>
        <v>0</v>
      </c>
      <c r="R35" s="410">
        <f>IF(O35&gt;0,O35*K35/U35,0)*VLOOKUP(B35,'2-Kosten per locatie'!$A$14:$C$61,3,FALSE)</f>
        <v>0</v>
      </c>
      <c r="S35" s="411">
        <f>IF(M35="nio",0,IF(M35&gt;0,VLOOKUP(I35,'3-Productie normen'!A:P,VLOOKUP(M35,'3-Productie normen'!$B$38:$C$48,2,FALSE),FALSE)))</f>
        <v>0</v>
      </c>
      <c r="T35" s="411">
        <f t="shared" si="1"/>
        <v>0</v>
      </c>
      <c r="U35" s="411">
        <f t="shared" si="5"/>
        <v>0</v>
      </c>
      <c r="V35" s="412"/>
      <c r="X35" s="413">
        <f t="shared" si="2"/>
        <v>4845</v>
      </c>
    </row>
    <row r="36" spans="1:24" ht="14.1" customHeight="1">
      <c r="A36" s="70">
        <f t="shared" si="3"/>
        <v>36</v>
      </c>
      <c r="B36" s="354" t="s">
        <v>40</v>
      </c>
      <c r="C36" s="354" t="s">
        <v>164</v>
      </c>
      <c r="D36" s="354" t="s">
        <v>165</v>
      </c>
      <c r="E36" s="404" t="s">
        <v>166</v>
      </c>
      <c r="F36" s="405" t="s">
        <v>167</v>
      </c>
      <c r="G36" s="406" t="s">
        <v>202</v>
      </c>
      <c r="H36" s="399" t="s">
        <v>109</v>
      </c>
      <c r="I36" s="399" t="s">
        <v>121</v>
      </c>
      <c r="J36" s="399" t="s">
        <v>201</v>
      </c>
      <c r="K36" s="407">
        <v>14</v>
      </c>
      <c r="L36" s="408">
        <f t="shared" si="0"/>
        <v>255</v>
      </c>
      <c r="M36" s="409">
        <v>255</v>
      </c>
      <c r="N36" s="409"/>
      <c r="O36" s="409"/>
      <c r="P36" s="410" t="e">
        <f>IF(M36="nio",0,IF(M36&gt;0,M36*K36/S36,0))*VLOOKUP(B36,'2-Kosten per locatie'!$A$14:$C$61,3,FALSE)</f>
        <v>#DIV/0!</v>
      </c>
      <c r="Q36" s="410">
        <f>IF(N36&gt;0,N36*K36/T36,0)*VLOOKUP(B36,'2-Kosten per locatie'!$A$14:$C$61,3,FALSE)</f>
        <v>0</v>
      </c>
      <c r="R36" s="410">
        <f>IF(O36&gt;0,O36*K36/U36,0)*VLOOKUP(B36,'2-Kosten per locatie'!$A$14:$C$61,3,FALSE)</f>
        <v>0</v>
      </c>
      <c r="S36" s="411">
        <f>IF(M36="nio",0,IF(M36&gt;0,VLOOKUP(I36,'3-Productie normen'!A:P,VLOOKUP(M36,'3-Productie normen'!$B$38:$C$48,2,FALSE),FALSE)))</f>
        <v>0</v>
      </c>
      <c r="T36" s="411">
        <f t="shared" si="1"/>
        <v>0</v>
      </c>
      <c r="U36" s="411">
        <f t="shared" si="5"/>
        <v>0</v>
      </c>
      <c r="V36" s="412"/>
      <c r="X36" s="413">
        <f t="shared" si="2"/>
        <v>3570</v>
      </c>
    </row>
    <row r="37" spans="1:24" ht="14.1" customHeight="1">
      <c r="A37" s="70">
        <f t="shared" si="3"/>
        <v>37</v>
      </c>
      <c r="B37" s="354" t="s">
        <v>40</v>
      </c>
      <c r="C37" s="354" t="s">
        <v>164</v>
      </c>
      <c r="D37" s="354" t="s">
        <v>165</v>
      </c>
      <c r="E37" s="404" t="s">
        <v>166</v>
      </c>
      <c r="F37" s="405" t="s">
        <v>167</v>
      </c>
      <c r="G37" s="406" t="s">
        <v>203</v>
      </c>
      <c r="H37" s="399" t="s">
        <v>197</v>
      </c>
      <c r="I37" s="399" t="s">
        <v>115</v>
      </c>
      <c r="J37" s="399" t="s">
        <v>192</v>
      </c>
      <c r="K37" s="407">
        <v>49</v>
      </c>
      <c r="L37" s="408">
        <f t="shared" si="0"/>
        <v>255</v>
      </c>
      <c r="M37" s="409">
        <v>255</v>
      </c>
      <c r="N37" s="409"/>
      <c r="O37" s="409"/>
      <c r="P37" s="410" t="e">
        <f>IF(M37="nio",0,IF(M37&gt;0,M37*K37/S37,0))*VLOOKUP(B37,'2-Kosten per locatie'!$A$14:$C$61,3,FALSE)</f>
        <v>#DIV/0!</v>
      </c>
      <c r="Q37" s="410">
        <f>IF(N37&gt;0,N37*K37/T37,0)*VLOOKUP(B37,'2-Kosten per locatie'!$A$14:$C$61,3,FALSE)</f>
        <v>0</v>
      </c>
      <c r="R37" s="410">
        <f>IF(O37&gt;0,O37*K37/U37,0)*VLOOKUP(B37,'2-Kosten per locatie'!$A$14:$C$61,3,FALSE)</f>
        <v>0</v>
      </c>
      <c r="S37" s="411">
        <f>IF(M37="nio",0,IF(M37&gt;0,VLOOKUP(I37,'3-Productie normen'!A:P,VLOOKUP(M37,'3-Productie normen'!$B$38:$C$48,2,FALSE),FALSE)))</f>
        <v>0</v>
      </c>
      <c r="T37" s="411">
        <f t="shared" si="1"/>
        <v>0</v>
      </c>
      <c r="U37" s="411">
        <f t="shared" si="5"/>
        <v>0</v>
      </c>
      <c r="V37" s="412"/>
      <c r="X37" s="413">
        <f t="shared" si="2"/>
        <v>12495</v>
      </c>
    </row>
    <row r="38" spans="1:24" ht="14.1" customHeight="1">
      <c r="A38" s="70">
        <f t="shared" si="3"/>
        <v>38</v>
      </c>
      <c r="B38" s="354" t="s">
        <v>40</v>
      </c>
      <c r="C38" s="354" t="s">
        <v>164</v>
      </c>
      <c r="D38" s="354" t="s">
        <v>165</v>
      </c>
      <c r="E38" s="404" t="s">
        <v>166</v>
      </c>
      <c r="F38" s="405" t="s">
        <v>167</v>
      </c>
      <c r="G38" s="406" t="s">
        <v>204</v>
      </c>
      <c r="H38" s="399" t="s">
        <v>172</v>
      </c>
      <c r="I38" s="399" t="s">
        <v>105</v>
      </c>
      <c r="J38" s="399" t="s">
        <v>192</v>
      </c>
      <c r="K38" s="407">
        <v>24</v>
      </c>
      <c r="L38" s="408">
        <f t="shared" si="0"/>
        <v>255</v>
      </c>
      <c r="M38" s="409">
        <v>255</v>
      </c>
      <c r="N38" s="409"/>
      <c r="O38" s="409"/>
      <c r="P38" s="410" t="e">
        <f>IF(M38="nio",0,IF(M38&gt;0,M38*K38/S38,0))*VLOOKUP(B38,'2-Kosten per locatie'!$A$14:$C$61,3,FALSE)</f>
        <v>#DIV/0!</v>
      </c>
      <c r="Q38" s="410">
        <f>IF(N38&gt;0,N38*K38/T38,0)*VLOOKUP(B38,'2-Kosten per locatie'!$A$14:$C$61,3,FALSE)</f>
        <v>0</v>
      </c>
      <c r="R38" s="410">
        <f>IF(O38&gt;0,O38*K38/U38,0)*VLOOKUP(B38,'2-Kosten per locatie'!$A$14:$C$61,3,FALSE)</f>
        <v>0</v>
      </c>
      <c r="S38" s="411">
        <f>IF(M38="nio",0,IF(M38&gt;0,VLOOKUP(I38,'3-Productie normen'!A:P,VLOOKUP(M38,'3-Productie normen'!$B$38:$C$48,2,FALSE),FALSE)))</f>
        <v>0</v>
      </c>
      <c r="T38" s="411">
        <f t="shared" si="1"/>
        <v>0</v>
      </c>
      <c r="U38" s="411">
        <f t="shared" si="5"/>
        <v>0</v>
      </c>
      <c r="V38" s="412"/>
      <c r="X38" s="413">
        <f t="shared" si="2"/>
        <v>6120</v>
      </c>
    </row>
    <row r="39" spans="1:24" ht="14.1" customHeight="1">
      <c r="A39" s="70">
        <f t="shared" si="3"/>
        <v>39</v>
      </c>
      <c r="B39" s="354" t="s">
        <v>40</v>
      </c>
      <c r="C39" s="354" t="s">
        <v>164</v>
      </c>
      <c r="D39" s="354" t="s">
        <v>165</v>
      </c>
      <c r="E39" s="404" t="s">
        <v>166</v>
      </c>
      <c r="F39" s="405" t="s">
        <v>167</v>
      </c>
      <c r="G39" s="406" t="s">
        <v>205</v>
      </c>
      <c r="H39" s="399" t="s">
        <v>172</v>
      </c>
      <c r="I39" s="399" t="s">
        <v>105</v>
      </c>
      <c r="J39" s="399" t="s">
        <v>192</v>
      </c>
      <c r="K39" s="407">
        <v>23</v>
      </c>
      <c r="L39" s="408">
        <f t="shared" si="0"/>
        <v>255</v>
      </c>
      <c r="M39" s="409">
        <v>255</v>
      </c>
      <c r="N39" s="409"/>
      <c r="O39" s="409"/>
      <c r="P39" s="410" t="e">
        <f>IF(M39="nio",0,IF(M39&gt;0,M39*K39/S39,0))*VLOOKUP(B39,'2-Kosten per locatie'!$A$14:$C$61,3,FALSE)</f>
        <v>#DIV/0!</v>
      </c>
      <c r="Q39" s="410">
        <f>IF(N39&gt;0,N39*K39/T39,0)*VLOOKUP(B39,'2-Kosten per locatie'!$A$14:$C$61,3,FALSE)</f>
        <v>0</v>
      </c>
      <c r="R39" s="410">
        <f>IF(O39&gt;0,O39*K39/U39,0)*VLOOKUP(B39,'2-Kosten per locatie'!$A$14:$C$61,3,FALSE)</f>
        <v>0</v>
      </c>
      <c r="S39" s="411">
        <f>IF(M39="nio",0,IF(M39&gt;0,VLOOKUP(I39,'3-Productie normen'!A:P,VLOOKUP(M39,'3-Productie normen'!$B$38:$C$48,2,FALSE),FALSE)))</f>
        <v>0</v>
      </c>
      <c r="T39" s="411">
        <f t="shared" si="1"/>
        <v>0</v>
      </c>
      <c r="U39" s="411">
        <f t="shared" si="5"/>
        <v>0</v>
      </c>
      <c r="V39" s="412"/>
      <c r="X39" s="413">
        <f t="shared" si="2"/>
        <v>5865</v>
      </c>
    </row>
    <row r="40" spans="1:24" ht="14.1" customHeight="1">
      <c r="A40" s="70">
        <f t="shared" si="3"/>
        <v>40</v>
      </c>
      <c r="B40" s="354" t="s">
        <v>40</v>
      </c>
      <c r="C40" s="354" t="s">
        <v>164</v>
      </c>
      <c r="D40" s="354" t="s">
        <v>165</v>
      </c>
      <c r="E40" s="404" t="s">
        <v>166</v>
      </c>
      <c r="F40" s="405" t="s">
        <v>167</v>
      </c>
      <c r="G40" s="406" t="s">
        <v>180</v>
      </c>
      <c r="H40" s="399" t="s">
        <v>172</v>
      </c>
      <c r="I40" s="399" t="s">
        <v>105</v>
      </c>
      <c r="J40" s="399" t="s">
        <v>192</v>
      </c>
      <c r="K40" s="407">
        <v>14</v>
      </c>
      <c r="L40" s="408">
        <f t="shared" si="0"/>
        <v>255</v>
      </c>
      <c r="M40" s="409">
        <v>255</v>
      </c>
      <c r="N40" s="409"/>
      <c r="O40" s="409"/>
      <c r="P40" s="410" t="e">
        <f>IF(M40="nio",0,IF(M40&gt;0,M40*K40/S40,0))*VLOOKUP(B40,'2-Kosten per locatie'!$A$14:$C$61,3,FALSE)</f>
        <v>#DIV/0!</v>
      </c>
      <c r="Q40" s="410">
        <f>IF(N40&gt;0,N40*K40/T40,0)*VLOOKUP(B40,'2-Kosten per locatie'!$A$14:$C$61,3,FALSE)</f>
        <v>0</v>
      </c>
      <c r="R40" s="410">
        <f>IF(O40&gt;0,O40*K40/U40,0)*VLOOKUP(B40,'2-Kosten per locatie'!$A$14:$C$61,3,FALSE)</f>
        <v>0</v>
      </c>
      <c r="S40" s="411">
        <f>IF(M40="nio",0,IF(M40&gt;0,VLOOKUP(I40,'3-Productie normen'!A:P,VLOOKUP(M40,'3-Productie normen'!$B$38:$C$48,2,FALSE),FALSE)))</f>
        <v>0</v>
      </c>
      <c r="T40" s="411">
        <f t="shared" si="1"/>
        <v>0</v>
      </c>
      <c r="U40" s="411">
        <f t="shared" si="5"/>
        <v>0</v>
      </c>
      <c r="V40" s="412"/>
      <c r="X40" s="413">
        <f t="shared" si="2"/>
        <v>3570</v>
      </c>
    </row>
    <row r="41" spans="1:24" ht="14.1" customHeight="1">
      <c r="A41" s="70">
        <f t="shared" si="3"/>
        <v>41</v>
      </c>
      <c r="B41" s="354" t="s">
        <v>40</v>
      </c>
      <c r="C41" s="354" t="s">
        <v>164</v>
      </c>
      <c r="D41" s="354" t="s">
        <v>165</v>
      </c>
      <c r="E41" s="404" t="s">
        <v>166</v>
      </c>
      <c r="F41" s="405" t="s">
        <v>167</v>
      </c>
      <c r="G41" s="406" t="s">
        <v>182</v>
      </c>
      <c r="H41" s="399" t="s">
        <v>206</v>
      </c>
      <c r="I41" s="399" t="s">
        <v>108</v>
      </c>
      <c r="J41" s="399" t="s">
        <v>193</v>
      </c>
      <c r="K41" s="407">
        <v>53</v>
      </c>
      <c r="L41" s="408">
        <f t="shared" si="0"/>
        <v>255</v>
      </c>
      <c r="M41" s="409">
        <v>255</v>
      </c>
      <c r="N41" s="409"/>
      <c r="O41" s="409"/>
      <c r="P41" s="410" t="e">
        <f>IF(M41="nio",0,IF(M41&gt;0,M41*K41/S41,0))*VLOOKUP(B41,'2-Kosten per locatie'!$A$14:$C$61,3,FALSE)</f>
        <v>#DIV/0!</v>
      </c>
      <c r="Q41" s="410">
        <f>IF(N41&gt;0,N41*K41/T41,0)*VLOOKUP(B41,'2-Kosten per locatie'!$A$14:$C$61,3,FALSE)</f>
        <v>0</v>
      </c>
      <c r="R41" s="410">
        <f>IF(O41&gt;0,O41*K41/U41,0)*VLOOKUP(B41,'2-Kosten per locatie'!$A$14:$C$61,3,FALSE)</f>
        <v>0</v>
      </c>
      <c r="S41" s="411">
        <f>IF(M41="nio",0,IF(M41&gt;0,VLOOKUP(I41,'3-Productie normen'!A:P,VLOOKUP(M41,'3-Productie normen'!$B$38:$C$48,2,FALSE),FALSE)))</f>
        <v>0</v>
      </c>
      <c r="T41" s="411">
        <f t="shared" si="1"/>
        <v>0</v>
      </c>
      <c r="U41" s="411">
        <f t="shared" si="5"/>
        <v>0</v>
      </c>
      <c r="V41" s="412"/>
      <c r="X41" s="413">
        <f t="shared" si="2"/>
        <v>13515</v>
      </c>
    </row>
    <row r="42" spans="1:24" ht="14.1" customHeight="1">
      <c r="A42" s="70">
        <f t="shared" si="3"/>
        <v>42</v>
      </c>
      <c r="B42" s="354" t="s">
        <v>40</v>
      </c>
      <c r="C42" s="354" t="s">
        <v>164</v>
      </c>
      <c r="D42" s="354" t="s">
        <v>165</v>
      </c>
      <c r="E42" s="404" t="s">
        <v>166</v>
      </c>
      <c r="F42" s="405" t="s">
        <v>167</v>
      </c>
      <c r="G42" s="406" t="s">
        <v>207</v>
      </c>
      <c r="H42" s="399" t="s">
        <v>208</v>
      </c>
      <c r="I42" s="399" t="s">
        <v>105</v>
      </c>
      <c r="J42" s="399" t="s">
        <v>192</v>
      </c>
      <c r="K42" s="407">
        <v>29</v>
      </c>
      <c r="L42" s="408">
        <f t="shared" ref="L42:L73" si="6">SUM(M42:O42)</f>
        <v>255</v>
      </c>
      <c r="M42" s="409">
        <v>255</v>
      </c>
      <c r="N42" s="409"/>
      <c r="O42" s="409"/>
      <c r="P42" s="410" t="e">
        <f>IF(M42="nio",0,IF(M42&gt;0,M42*K42/S42,0))*VLOOKUP(B42,'2-Kosten per locatie'!$A$14:$C$61,3,FALSE)</f>
        <v>#DIV/0!</v>
      </c>
      <c r="Q42" s="410">
        <f>IF(N42&gt;0,N42*K42/T42,0)*VLOOKUP(B42,'2-Kosten per locatie'!$A$14:$C$61,3,FALSE)</f>
        <v>0</v>
      </c>
      <c r="R42" s="410">
        <f>IF(O42&gt;0,O42*K42/U42,0)*VLOOKUP(B42,'2-Kosten per locatie'!$A$14:$C$61,3,FALSE)</f>
        <v>0</v>
      </c>
      <c r="S42" s="411">
        <f>IF(M42="nio",0,IF(M42&gt;0,VLOOKUP(I42,'3-Productie normen'!A:P,VLOOKUP(M42,'3-Productie normen'!$B$38:$C$48,2,FALSE),FALSE)))</f>
        <v>0</v>
      </c>
      <c r="T42" s="411">
        <f t="shared" si="1"/>
        <v>0</v>
      </c>
      <c r="U42" s="411">
        <f t="shared" si="5"/>
        <v>0</v>
      </c>
      <c r="V42" s="412"/>
      <c r="X42" s="413">
        <f t="shared" si="2"/>
        <v>7395</v>
      </c>
    </row>
    <row r="43" spans="1:24" ht="14.1" customHeight="1">
      <c r="A43" s="70">
        <f t="shared" si="3"/>
        <v>43</v>
      </c>
      <c r="B43" s="354" t="s">
        <v>40</v>
      </c>
      <c r="C43" s="354" t="s">
        <v>164</v>
      </c>
      <c r="D43" s="354" t="s">
        <v>165</v>
      </c>
      <c r="E43" s="404" t="s">
        <v>166</v>
      </c>
      <c r="F43" s="405" t="s">
        <v>167</v>
      </c>
      <c r="G43" s="406" t="s">
        <v>209</v>
      </c>
      <c r="H43" s="399" t="s">
        <v>172</v>
      </c>
      <c r="I43" s="399" t="s">
        <v>105</v>
      </c>
      <c r="J43" s="399" t="s">
        <v>192</v>
      </c>
      <c r="K43" s="407">
        <v>16</v>
      </c>
      <c r="L43" s="408">
        <f t="shared" si="6"/>
        <v>255</v>
      </c>
      <c r="M43" s="409">
        <v>255</v>
      </c>
      <c r="N43" s="409"/>
      <c r="O43" s="409"/>
      <c r="P43" s="410" t="e">
        <f>IF(M43="nio",0,IF(M43&gt;0,M43*K43/S43,0))*VLOOKUP(B43,'2-Kosten per locatie'!$A$14:$C$61,3,FALSE)</f>
        <v>#DIV/0!</v>
      </c>
      <c r="Q43" s="410">
        <f>IF(N43&gt;0,N43*K43/T43,0)*VLOOKUP(B43,'2-Kosten per locatie'!$A$14:$C$61,3,FALSE)</f>
        <v>0</v>
      </c>
      <c r="R43" s="410">
        <f>IF(O43&gt;0,O43*K43/U43,0)*VLOOKUP(B43,'2-Kosten per locatie'!$A$14:$C$61,3,FALSE)</f>
        <v>0</v>
      </c>
      <c r="S43" s="411">
        <f>IF(M43="nio",0,IF(M43&gt;0,VLOOKUP(I43,'3-Productie normen'!A:P,VLOOKUP(M43,'3-Productie normen'!$B$38:$C$48,2,FALSE),FALSE)))</f>
        <v>0</v>
      </c>
      <c r="T43" s="411">
        <f t="shared" si="1"/>
        <v>0</v>
      </c>
      <c r="U43" s="411">
        <f t="shared" si="5"/>
        <v>0</v>
      </c>
      <c r="V43" s="412"/>
      <c r="X43" s="413">
        <f t="shared" si="2"/>
        <v>4080</v>
      </c>
    </row>
    <row r="44" spans="1:24" ht="14.1" customHeight="1">
      <c r="A44" s="70">
        <f t="shared" si="3"/>
        <v>44</v>
      </c>
      <c r="B44" s="354" t="s">
        <v>40</v>
      </c>
      <c r="C44" s="354" t="s">
        <v>164</v>
      </c>
      <c r="D44" s="354" t="s">
        <v>165</v>
      </c>
      <c r="E44" s="404" t="s">
        <v>166</v>
      </c>
      <c r="F44" s="405" t="s">
        <v>167</v>
      </c>
      <c r="G44" s="406" t="s">
        <v>210</v>
      </c>
      <c r="H44" s="399" t="s">
        <v>211</v>
      </c>
      <c r="I44" s="399" t="s">
        <v>121</v>
      </c>
      <c r="J44" s="399" t="s">
        <v>193</v>
      </c>
      <c r="K44" s="407">
        <v>64</v>
      </c>
      <c r="L44" s="408">
        <f t="shared" si="6"/>
        <v>255</v>
      </c>
      <c r="M44" s="409">
        <v>255</v>
      </c>
      <c r="N44" s="409"/>
      <c r="O44" s="409"/>
      <c r="P44" s="410" t="e">
        <f>IF(M44="nio",0,IF(M44&gt;0,M44*K44/S44,0))*VLOOKUP(B44,'2-Kosten per locatie'!$A$14:$C$61,3,FALSE)</f>
        <v>#DIV/0!</v>
      </c>
      <c r="Q44" s="410">
        <f>IF(N44&gt;0,N44*K44/T44,0)*VLOOKUP(B44,'2-Kosten per locatie'!$A$14:$C$61,3,FALSE)</f>
        <v>0</v>
      </c>
      <c r="R44" s="410">
        <f>IF(O44&gt;0,O44*K44/U44,0)*VLOOKUP(B44,'2-Kosten per locatie'!$A$14:$C$61,3,FALSE)</f>
        <v>0</v>
      </c>
      <c r="S44" s="411">
        <f>IF(M44="nio",0,IF(M44&gt;0,VLOOKUP(I44,'3-Productie normen'!A:P,VLOOKUP(M44,'3-Productie normen'!$B$38:$C$48,2,FALSE),FALSE)))</f>
        <v>0</v>
      </c>
      <c r="T44" s="411">
        <f t="shared" si="1"/>
        <v>0</v>
      </c>
      <c r="U44" s="411">
        <f t="shared" si="5"/>
        <v>0</v>
      </c>
      <c r="V44" s="412"/>
      <c r="X44" s="413">
        <f t="shared" si="2"/>
        <v>16320</v>
      </c>
    </row>
    <row r="45" spans="1:24" ht="14.1" customHeight="1">
      <c r="A45" s="70">
        <f t="shared" si="3"/>
        <v>45</v>
      </c>
      <c r="B45" s="354" t="s">
        <v>40</v>
      </c>
      <c r="C45" s="354" t="s">
        <v>164</v>
      </c>
      <c r="D45" s="354" t="s">
        <v>165</v>
      </c>
      <c r="E45" s="404" t="s">
        <v>166</v>
      </c>
      <c r="F45" s="405" t="s">
        <v>167</v>
      </c>
      <c r="G45" s="406" t="s">
        <v>212</v>
      </c>
      <c r="H45" s="399" t="s">
        <v>183</v>
      </c>
      <c r="I45" s="399" t="s">
        <v>106</v>
      </c>
      <c r="J45" s="399" t="s">
        <v>171</v>
      </c>
      <c r="K45" s="407">
        <v>17</v>
      </c>
      <c r="L45" s="408">
        <f t="shared" si="6"/>
        <v>307</v>
      </c>
      <c r="M45" s="409">
        <v>255</v>
      </c>
      <c r="N45" s="409">
        <v>52</v>
      </c>
      <c r="O45" s="409"/>
      <c r="P45" s="410" t="e">
        <f>IF(M45="nio",0,IF(M45&gt;0,M45*K45/S45,0))*VLOOKUP(B45,'2-Kosten per locatie'!$A$14:$C$61,3,FALSE)</f>
        <v>#DIV/0!</v>
      </c>
      <c r="Q45" s="410" t="e">
        <f>IF(N45&gt;0,N45*K45/T45,0)*VLOOKUP(B45,'2-Kosten per locatie'!$A$14:$C$61,3,FALSE)</f>
        <v>#DIV/0!</v>
      </c>
      <c r="R45" s="410">
        <f>IF(O45&gt;0,O45*K45/U45,0)*VLOOKUP(B45,'2-Kosten per locatie'!$A$14:$C$61,3,FALSE)</f>
        <v>0</v>
      </c>
      <c r="S45" s="411">
        <f>IF(M45="nio",0,IF(M45&gt;0,VLOOKUP(I45,'3-Productie normen'!A:P,VLOOKUP(M45,'3-Productie normen'!$B$38:$C$48,2,FALSE),FALSE)))</f>
        <v>0</v>
      </c>
      <c r="T45" s="411">
        <f t="shared" si="1"/>
        <v>0</v>
      </c>
      <c r="U45" s="411">
        <f t="shared" si="5"/>
        <v>0</v>
      </c>
      <c r="V45" s="412"/>
      <c r="X45" s="413">
        <f t="shared" si="2"/>
        <v>5219</v>
      </c>
    </row>
    <row r="46" spans="1:24" ht="14.1" customHeight="1">
      <c r="A46" s="70">
        <f t="shared" si="3"/>
        <v>46</v>
      </c>
      <c r="B46" s="354" t="s">
        <v>41</v>
      </c>
      <c r="C46" s="354" t="s">
        <v>164</v>
      </c>
      <c r="D46" s="354" t="s">
        <v>165</v>
      </c>
      <c r="E46" s="404" t="s">
        <v>166</v>
      </c>
      <c r="F46" s="405" t="s">
        <v>213</v>
      </c>
      <c r="G46" s="406" t="s">
        <v>214</v>
      </c>
      <c r="H46" s="399" t="s">
        <v>107</v>
      </c>
      <c r="I46" s="399" t="s">
        <v>107</v>
      </c>
      <c r="J46" s="399" t="s">
        <v>215</v>
      </c>
      <c r="K46" s="407">
        <v>16.8</v>
      </c>
      <c r="L46" s="408">
        <f t="shared" si="6"/>
        <v>255</v>
      </c>
      <c r="M46" s="409">
        <v>255</v>
      </c>
      <c r="N46" s="409"/>
      <c r="O46" s="409"/>
      <c r="P46" s="410" t="e">
        <f>IF(M46="nio",0,IF(M46&gt;0,M46*K46/S46,0))*VLOOKUP(B46,'2-Kosten per locatie'!$A$14:$C$61,3,FALSE)</f>
        <v>#DIV/0!</v>
      </c>
      <c r="Q46" s="410">
        <f>IF(N46&gt;0,N46*K46/T46,0)*VLOOKUP(B46,'2-Kosten per locatie'!$A$14:$C$61,3,FALSE)</f>
        <v>0</v>
      </c>
      <c r="R46" s="410">
        <f>IF(O46&gt;0,O46*K46/U46,0)*VLOOKUP(B46,'2-Kosten per locatie'!$A$14:$C$61,3,FALSE)</f>
        <v>0</v>
      </c>
      <c r="S46" s="411">
        <f>IF(M46="nio",0,IF(M46&gt;0,VLOOKUP(I46,'3-Productie normen'!A:P,VLOOKUP(M46,'3-Productie normen'!$B$38:$C$48,2,FALSE),FALSE)))</f>
        <v>0</v>
      </c>
      <c r="T46" s="411">
        <f t="shared" si="1"/>
        <v>0</v>
      </c>
      <c r="U46" s="411">
        <f t="shared" si="5"/>
        <v>0</v>
      </c>
      <c r="V46" s="412"/>
      <c r="X46" s="413">
        <f t="shared" si="2"/>
        <v>4284</v>
      </c>
    </row>
    <row r="47" spans="1:24" ht="14.1" customHeight="1">
      <c r="A47" s="70">
        <f t="shared" si="3"/>
        <v>47</v>
      </c>
      <c r="B47" s="354" t="s">
        <v>41</v>
      </c>
      <c r="C47" s="354" t="s">
        <v>164</v>
      </c>
      <c r="D47" s="354" t="s">
        <v>165</v>
      </c>
      <c r="E47" s="404" t="s">
        <v>166</v>
      </c>
      <c r="F47" s="405" t="s">
        <v>213</v>
      </c>
      <c r="G47" s="406" t="s">
        <v>216</v>
      </c>
      <c r="H47" s="399" t="s">
        <v>217</v>
      </c>
      <c r="I47" s="399" t="s">
        <v>115</v>
      </c>
      <c r="J47" s="399" t="s">
        <v>218</v>
      </c>
      <c r="K47" s="407">
        <v>43.9</v>
      </c>
      <c r="L47" s="408">
        <f t="shared" si="6"/>
        <v>255</v>
      </c>
      <c r="M47" s="409">
        <v>255</v>
      </c>
      <c r="N47" s="409"/>
      <c r="O47" s="409"/>
      <c r="P47" s="410" t="e">
        <f>IF(M47="nio",0,IF(M47&gt;0,M47*K47/S47,0))*VLOOKUP(B47,'2-Kosten per locatie'!$A$14:$C$61,3,FALSE)</f>
        <v>#DIV/0!</v>
      </c>
      <c r="Q47" s="410">
        <f>IF(N47&gt;0,N47*K47/T47,0)*VLOOKUP(B47,'2-Kosten per locatie'!$A$14:$C$61,3,FALSE)</f>
        <v>0</v>
      </c>
      <c r="R47" s="410">
        <f>IF(O47&gt;0,O47*K47/U47,0)*VLOOKUP(B47,'2-Kosten per locatie'!$A$14:$C$61,3,FALSE)</f>
        <v>0</v>
      </c>
      <c r="S47" s="411">
        <f>IF(M47="nio",0,IF(M47&gt;0,VLOOKUP(I47,'3-Productie normen'!A:P,VLOOKUP(M47,'3-Productie normen'!$B$38:$C$48,2,FALSE),FALSE)))</f>
        <v>0</v>
      </c>
      <c r="T47" s="411">
        <f t="shared" si="1"/>
        <v>0</v>
      </c>
      <c r="U47" s="411">
        <f t="shared" si="5"/>
        <v>0</v>
      </c>
      <c r="V47" s="412"/>
      <c r="X47" s="413">
        <f t="shared" si="2"/>
        <v>11194.5</v>
      </c>
    </row>
    <row r="48" spans="1:24" ht="14.1" customHeight="1">
      <c r="A48" s="70">
        <f t="shared" si="3"/>
        <v>48</v>
      </c>
      <c r="B48" s="354" t="s">
        <v>41</v>
      </c>
      <c r="C48" s="354" t="s">
        <v>164</v>
      </c>
      <c r="D48" s="354" t="s">
        <v>165</v>
      </c>
      <c r="E48" s="404" t="s">
        <v>166</v>
      </c>
      <c r="F48" s="405" t="s">
        <v>213</v>
      </c>
      <c r="G48" s="406" t="s">
        <v>219</v>
      </c>
      <c r="H48" s="399" t="s">
        <v>220</v>
      </c>
      <c r="I48" s="399" t="s">
        <v>108</v>
      </c>
      <c r="J48" s="399" t="s">
        <v>218</v>
      </c>
      <c r="K48" s="407">
        <v>4.5</v>
      </c>
      <c r="L48" s="408">
        <f t="shared" si="6"/>
        <v>255</v>
      </c>
      <c r="M48" s="409">
        <v>255</v>
      </c>
      <c r="N48" s="409"/>
      <c r="O48" s="409"/>
      <c r="P48" s="410" t="e">
        <f>IF(M48="nio",0,IF(M48&gt;0,M48*K48/S48,0))*VLOOKUP(B48,'2-Kosten per locatie'!$A$14:$C$61,3,FALSE)</f>
        <v>#DIV/0!</v>
      </c>
      <c r="Q48" s="410">
        <f>IF(N48&gt;0,N48*K48/T48,0)*VLOOKUP(B48,'2-Kosten per locatie'!$A$14:$C$61,3,FALSE)</f>
        <v>0</v>
      </c>
      <c r="R48" s="410">
        <f>IF(O48&gt;0,O48*K48/U48,0)*VLOOKUP(B48,'2-Kosten per locatie'!$A$14:$C$61,3,FALSE)</f>
        <v>0</v>
      </c>
      <c r="S48" s="411">
        <f>IF(M48="nio",0,IF(M48&gt;0,VLOOKUP(I48,'3-Productie normen'!A:P,VLOOKUP(M48,'3-Productie normen'!$B$38:$C$48,2,FALSE),FALSE)))</f>
        <v>0</v>
      </c>
      <c r="T48" s="411">
        <f t="shared" si="1"/>
        <v>0</v>
      </c>
      <c r="U48" s="411">
        <f t="shared" si="5"/>
        <v>0</v>
      </c>
      <c r="V48" s="412"/>
      <c r="X48" s="413">
        <f t="shared" si="2"/>
        <v>1147.5</v>
      </c>
    </row>
    <row r="49" spans="1:24" ht="14.1" customHeight="1">
      <c r="A49" s="70">
        <f t="shared" si="3"/>
        <v>49</v>
      </c>
      <c r="B49" s="354" t="s">
        <v>41</v>
      </c>
      <c r="C49" s="354" t="s">
        <v>164</v>
      </c>
      <c r="D49" s="354" t="s">
        <v>165</v>
      </c>
      <c r="E49" s="404" t="s">
        <v>166</v>
      </c>
      <c r="F49" s="405" t="s">
        <v>213</v>
      </c>
      <c r="G49" s="406" t="s">
        <v>221</v>
      </c>
      <c r="H49" s="399" t="s">
        <v>222</v>
      </c>
      <c r="I49" s="399" t="s">
        <v>112</v>
      </c>
      <c r="J49" s="399" t="s">
        <v>218</v>
      </c>
      <c r="K49" s="407">
        <v>7.9</v>
      </c>
      <c r="L49" s="408">
        <f t="shared" si="6"/>
        <v>255</v>
      </c>
      <c r="M49" s="409">
        <v>255</v>
      </c>
      <c r="N49" s="409"/>
      <c r="O49" s="409"/>
      <c r="P49" s="410" t="e">
        <f>IF(M49="nio",0,IF(M49&gt;0,M49*K49/S49,0))*VLOOKUP(B49,'2-Kosten per locatie'!$A$14:$C$61,3,FALSE)</f>
        <v>#DIV/0!</v>
      </c>
      <c r="Q49" s="410">
        <f>IF(N49&gt;0,N49*K49/T49,0)*VLOOKUP(B49,'2-Kosten per locatie'!$A$14:$C$61,3,FALSE)</f>
        <v>0</v>
      </c>
      <c r="R49" s="410">
        <f>IF(O49&gt;0,O49*K49/U49,0)*VLOOKUP(B49,'2-Kosten per locatie'!$A$14:$C$61,3,FALSE)</f>
        <v>0</v>
      </c>
      <c r="S49" s="411">
        <f>IF(M49="nio",0,IF(M49&gt;0,VLOOKUP(I49,'3-Productie normen'!A:P,VLOOKUP(M49,'3-Productie normen'!$B$38:$C$48,2,FALSE),FALSE)))</f>
        <v>0</v>
      </c>
      <c r="T49" s="411">
        <f t="shared" si="1"/>
        <v>0</v>
      </c>
      <c r="U49" s="411">
        <f t="shared" si="5"/>
        <v>0</v>
      </c>
      <c r="V49" s="412"/>
      <c r="X49" s="413">
        <f t="shared" si="2"/>
        <v>2014.5</v>
      </c>
    </row>
    <row r="50" spans="1:24" ht="14.1" customHeight="1">
      <c r="A50" s="70">
        <f t="shared" si="3"/>
        <v>50</v>
      </c>
      <c r="B50" s="354" t="s">
        <v>41</v>
      </c>
      <c r="C50" s="354" t="s">
        <v>164</v>
      </c>
      <c r="D50" s="354" t="s">
        <v>165</v>
      </c>
      <c r="E50" s="404" t="s">
        <v>166</v>
      </c>
      <c r="F50" s="405" t="s">
        <v>213</v>
      </c>
      <c r="G50" s="406" t="s">
        <v>223</v>
      </c>
      <c r="H50" s="399" t="s">
        <v>222</v>
      </c>
      <c r="I50" s="399" t="s">
        <v>112</v>
      </c>
      <c r="J50" s="399" t="s">
        <v>192</v>
      </c>
      <c r="K50" s="407">
        <v>9.3000000000000007</v>
      </c>
      <c r="L50" s="408">
        <f t="shared" si="6"/>
        <v>255</v>
      </c>
      <c r="M50" s="409">
        <v>255</v>
      </c>
      <c r="N50" s="409"/>
      <c r="O50" s="409"/>
      <c r="P50" s="410" t="e">
        <f>IF(M50="nio",0,IF(M50&gt;0,M50*K50/S50,0))*VLOOKUP(B50,'2-Kosten per locatie'!$A$14:$C$61,3,FALSE)</f>
        <v>#DIV/0!</v>
      </c>
      <c r="Q50" s="410">
        <f>IF(N50&gt;0,N50*K50/T50,0)*VLOOKUP(B50,'2-Kosten per locatie'!$A$14:$C$61,3,FALSE)</f>
        <v>0</v>
      </c>
      <c r="R50" s="410">
        <f>IF(O50&gt;0,O50*K50/U50,0)*VLOOKUP(B50,'2-Kosten per locatie'!$A$14:$C$61,3,FALSE)</f>
        <v>0</v>
      </c>
      <c r="S50" s="411">
        <f>IF(M50="nio",0,IF(M50&gt;0,VLOOKUP(I50,'3-Productie normen'!A:P,VLOOKUP(M50,'3-Productie normen'!$B$38:$C$48,2,FALSE),FALSE)))</f>
        <v>0</v>
      </c>
      <c r="T50" s="411">
        <f t="shared" si="1"/>
        <v>0</v>
      </c>
      <c r="U50" s="411">
        <f t="shared" si="5"/>
        <v>0</v>
      </c>
      <c r="V50" s="412"/>
      <c r="X50" s="413">
        <f t="shared" si="2"/>
        <v>2371.5</v>
      </c>
    </row>
    <row r="51" spans="1:24" ht="14.1" customHeight="1">
      <c r="A51" s="70">
        <f t="shared" si="3"/>
        <v>51</v>
      </c>
      <c r="B51" s="354" t="s">
        <v>41</v>
      </c>
      <c r="C51" s="354" t="s">
        <v>164</v>
      </c>
      <c r="D51" s="354" t="s">
        <v>165</v>
      </c>
      <c r="E51" s="404" t="s">
        <v>166</v>
      </c>
      <c r="F51" s="405" t="s">
        <v>213</v>
      </c>
      <c r="G51" s="406" t="s">
        <v>224</v>
      </c>
      <c r="H51" s="399" t="s">
        <v>225</v>
      </c>
      <c r="I51" s="399" t="s">
        <v>112</v>
      </c>
      <c r="J51" s="399" t="s">
        <v>192</v>
      </c>
      <c r="K51" s="407">
        <v>33.9</v>
      </c>
      <c r="L51" s="408">
        <f t="shared" si="6"/>
        <v>255</v>
      </c>
      <c r="M51" s="409">
        <v>255</v>
      </c>
      <c r="N51" s="409"/>
      <c r="O51" s="409"/>
      <c r="P51" s="410" t="e">
        <f>IF(M51="nio",0,IF(M51&gt;0,M51*K51/S51,0))*VLOOKUP(B51,'2-Kosten per locatie'!$A$14:$C$61,3,FALSE)</f>
        <v>#DIV/0!</v>
      </c>
      <c r="Q51" s="410">
        <f>IF(N51&gt;0,N51*K51/T51,0)*VLOOKUP(B51,'2-Kosten per locatie'!$A$14:$C$61,3,FALSE)</f>
        <v>0</v>
      </c>
      <c r="R51" s="410">
        <f>IF(O51&gt;0,O51*K51/U51,0)*VLOOKUP(B51,'2-Kosten per locatie'!$A$14:$C$61,3,FALSE)</f>
        <v>0</v>
      </c>
      <c r="S51" s="411">
        <f>IF(M51="nio",0,IF(M51&gt;0,VLOOKUP(I51,'3-Productie normen'!A:P,VLOOKUP(M51,'3-Productie normen'!$B$38:$C$48,2,FALSE),FALSE)))</f>
        <v>0</v>
      </c>
      <c r="T51" s="411">
        <f t="shared" si="1"/>
        <v>0</v>
      </c>
      <c r="U51" s="411">
        <f t="shared" si="5"/>
        <v>0</v>
      </c>
      <c r="V51" s="412"/>
      <c r="X51" s="413">
        <f t="shared" si="2"/>
        <v>8644.5</v>
      </c>
    </row>
    <row r="52" spans="1:24" ht="14.1" customHeight="1">
      <c r="A52" s="70">
        <f t="shared" si="3"/>
        <v>52</v>
      </c>
      <c r="B52" s="354" t="s">
        <v>41</v>
      </c>
      <c r="C52" s="354" t="s">
        <v>164</v>
      </c>
      <c r="D52" s="354" t="s">
        <v>165</v>
      </c>
      <c r="E52" s="404" t="s">
        <v>166</v>
      </c>
      <c r="F52" s="405" t="s">
        <v>213</v>
      </c>
      <c r="G52" s="406" t="s">
        <v>226</v>
      </c>
      <c r="H52" s="399" t="s">
        <v>227</v>
      </c>
      <c r="I52" s="399" t="s">
        <v>106</v>
      </c>
      <c r="J52" s="399" t="s">
        <v>228</v>
      </c>
      <c r="K52" s="407">
        <v>4.5999999999999996</v>
      </c>
      <c r="L52" s="408">
        <f t="shared" si="6"/>
        <v>255</v>
      </c>
      <c r="M52" s="409">
        <v>255</v>
      </c>
      <c r="N52" s="409"/>
      <c r="O52" s="409"/>
      <c r="P52" s="410" t="e">
        <f>IF(M52="nio",0,IF(M52&gt;0,M52*K52/S52,0))*VLOOKUP(B52,'2-Kosten per locatie'!$A$14:$C$61,3,FALSE)</f>
        <v>#DIV/0!</v>
      </c>
      <c r="Q52" s="410">
        <f>IF(N52&gt;0,N52*K52/T52,0)*VLOOKUP(B52,'2-Kosten per locatie'!$A$14:$C$61,3,FALSE)</f>
        <v>0</v>
      </c>
      <c r="R52" s="410">
        <f>IF(O52&gt;0,O52*K52/U52,0)*VLOOKUP(B52,'2-Kosten per locatie'!$A$14:$C$61,3,FALSE)</f>
        <v>0</v>
      </c>
      <c r="S52" s="411">
        <f>IF(M52="nio",0,IF(M52&gt;0,VLOOKUP(I52,'3-Productie normen'!A:P,VLOOKUP(M52,'3-Productie normen'!$B$38:$C$48,2,FALSE),FALSE)))</f>
        <v>0</v>
      </c>
      <c r="T52" s="411">
        <f t="shared" si="1"/>
        <v>0</v>
      </c>
      <c r="U52" s="411">
        <f t="shared" si="5"/>
        <v>0</v>
      </c>
      <c r="V52" s="412"/>
      <c r="X52" s="413">
        <f t="shared" si="2"/>
        <v>1173</v>
      </c>
    </row>
    <row r="53" spans="1:24" ht="14.1" customHeight="1">
      <c r="A53" s="70">
        <f t="shared" si="3"/>
        <v>53</v>
      </c>
      <c r="B53" s="354" t="s">
        <v>41</v>
      </c>
      <c r="C53" s="354" t="s">
        <v>164</v>
      </c>
      <c r="D53" s="354" t="s">
        <v>165</v>
      </c>
      <c r="E53" s="404" t="s">
        <v>166</v>
      </c>
      <c r="F53" s="405" t="s">
        <v>213</v>
      </c>
      <c r="G53" s="406" t="s">
        <v>229</v>
      </c>
      <c r="H53" s="399" t="s">
        <v>230</v>
      </c>
      <c r="I53" s="399" t="s">
        <v>106</v>
      </c>
      <c r="J53" s="399" t="s">
        <v>228</v>
      </c>
      <c r="K53" s="407">
        <v>2</v>
      </c>
      <c r="L53" s="408">
        <f t="shared" si="6"/>
        <v>255</v>
      </c>
      <c r="M53" s="409">
        <v>255</v>
      </c>
      <c r="N53" s="409"/>
      <c r="O53" s="409"/>
      <c r="P53" s="410" t="e">
        <f>IF(M53="nio",0,IF(M53&gt;0,M53*K53/S53,0))*VLOOKUP(B53,'2-Kosten per locatie'!$A$14:$C$61,3,FALSE)</f>
        <v>#DIV/0!</v>
      </c>
      <c r="Q53" s="410">
        <f>IF(N53&gt;0,N53*K53/T53,0)*VLOOKUP(B53,'2-Kosten per locatie'!$A$14:$C$61,3,FALSE)</f>
        <v>0</v>
      </c>
      <c r="R53" s="410">
        <f>IF(O53&gt;0,O53*K53/U53,0)*VLOOKUP(B53,'2-Kosten per locatie'!$A$14:$C$61,3,FALSE)</f>
        <v>0</v>
      </c>
      <c r="S53" s="411">
        <f>IF(M53="nio",0,IF(M53&gt;0,VLOOKUP(I53,'3-Productie normen'!A:P,VLOOKUP(M53,'3-Productie normen'!$B$38:$C$48,2,FALSE),FALSE)))</f>
        <v>0</v>
      </c>
      <c r="T53" s="411">
        <f t="shared" si="1"/>
        <v>0</v>
      </c>
      <c r="U53" s="411">
        <f t="shared" si="5"/>
        <v>0</v>
      </c>
      <c r="V53" s="412"/>
      <c r="X53" s="413">
        <f t="shared" si="2"/>
        <v>510</v>
      </c>
    </row>
    <row r="54" spans="1:24" ht="14.1" customHeight="1">
      <c r="A54" s="70">
        <f t="shared" si="3"/>
        <v>54</v>
      </c>
      <c r="B54" s="354" t="s">
        <v>41</v>
      </c>
      <c r="C54" s="354" t="s">
        <v>164</v>
      </c>
      <c r="D54" s="354" t="s">
        <v>165</v>
      </c>
      <c r="E54" s="404" t="s">
        <v>166</v>
      </c>
      <c r="F54" s="405" t="s">
        <v>213</v>
      </c>
      <c r="G54" s="406" t="s">
        <v>231</v>
      </c>
      <c r="H54" s="399" t="s">
        <v>195</v>
      </c>
      <c r="I54" s="399" t="s">
        <v>121</v>
      </c>
      <c r="J54" s="399" t="s">
        <v>192</v>
      </c>
      <c r="K54" s="407">
        <v>6.3</v>
      </c>
      <c r="L54" s="408">
        <f t="shared" si="6"/>
        <v>255</v>
      </c>
      <c r="M54" s="409">
        <v>255</v>
      </c>
      <c r="N54" s="409"/>
      <c r="O54" s="409"/>
      <c r="P54" s="410" t="e">
        <f>IF(M54="nio",0,IF(M54&gt;0,M54*K54/S54,0))*VLOOKUP(B54,'2-Kosten per locatie'!$A$14:$C$61,3,FALSE)</f>
        <v>#DIV/0!</v>
      </c>
      <c r="Q54" s="410">
        <f>IF(N54&gt;0,N54*K54/T54,0)*VLOOKUP(B54,'2-Kosten per locatie'!$A$14:$C$61,3,FALSE)</f>
        <v>0</v>
      </c>
      <c r="R54" s="410">
        <f>IF(O54&gt;0,O54*K54/U54,0)*VLOOKUP(B54,'2-Kosten per locatie'!$A$14:$C$61,3,FALSE)</f>
        <v>0</v>
      </c>
      <c r="S54" s="411">
        <f>IF(M54="nio",0,IF(M54&gt;0,VLOOKUP(I54,'3-Productie normen'!A:P,VLOOKUP(M54,'3-Productie normen'!$B$38:$C$48,2,FALSE),FALSE)))</f>
        <v>0</v>
      </c>
      <c r="T54" s="411">
        <f t="shared" si="1"/>
        <v>0</v>
      </c>
      <c r="U54" s="411">
        <f t="shared" si="5"/>
        <v>0</v>
      </c>
      <c r="V54" s="412"/>
      <c r="X54" s="413">
        <f t="shared" si="2"/>
        <v>1606.5</v>
      </c>
    </row>
    <row r="55" spans="1:24" ht="14.1" customHeight="1">
      <c r="A55" s="70">
        <f t="shared" si="3"/>
        <v>55</v>
      </c>
      <c r="B55" s="354" t="s">
        <v>41</v>
      </c>
      <c r="C55" s="354" t="s">
        <v>164</v>
      </c>
      <c r="D55" s="354" t="s">
        <v>165</v>
      </c>
      <c r="E55" s="404" t="s">
        <v>166</v>
      </c>
      <c r="F55" s="405" t="s">
        <v>213</v>
      </c>
      <c r="G55" s="406" t="s">
        <v>232</v>
      </c>
      <c r="H55" s="399" t="s">
        <v>206</v>
      </c>
      <c r="I55" s="399" t="s">
        <v>108</v>
      </c>
      <c r="J55" s="399" t="s">
        <v>192</v>
      </c>
      <c r="K55" s="407">
        <v>8.9</v>
      </c>
      <c r="L55" s="408">
        <f t="shared" si="6"/>
        <v>255</v>
      </c>
      <c r="M55" s="409">
        <v>255</v>
      </c>
      <c r="N55" s="409"/>
      <c r="O55" s="409"/>
      <c r="P55" s="410" t="e">
        <f>IF(M55="nio",0,IF(M55&gt;0,M55*K55/S55,0))*VLOOKUP(B55,'2-Kosten per locatie'!$A$14:$C$61,3,FALSE)</f>
        <v>#DIV/0!</v>
      </c>
      <c r="Q55" s="410">
        <f>IF(N55&gt;0,N55*K55/T55,0)*VLOOKUP(B55,'2-Kosten per locatie'!$A$14:$C$61,3,FALSE)</f>
        <v>0</v>
      </c>
      <c r="R55" s="410">
        <f>IF(O55&gt;0,O55*K55/U55,0)*VLOOKUP(B55,'2-Kosten per locatie'!$A$14:$C$61,3,FALSE)</f>
        <v>0</v>
      </c>
      <c r="S55" s="411">
        <f>IF(M55="nio",0,IF(M55&gt;0,VLOOKUP(I55,'3-Productie normen'!A:P,VLOOKUP(M55,'3-Productie normen'!$B$38:$C$48,2,FALSE),FALSE)))</f>
        <v>0</v>
      </c>
      <c r="T55" s="411">
        <f t="shared" si="1"/>
        <v>0</v>
      </c>
      <c r="U55" s="411">
        <f t="shared" si="5"/>
        <v>0</v>
      </c>
      <c r="V55" s="412"/>
      <c r="X55" s="413">
        <f t="shared" si="2"/>
        <v>2269.5</v>
      </c>
    </row>
    <row r="56" spans="1:24" ht="14.1" customHeight="1">
      <c r="A56" s="70">
        <f t="shared" si="3"/>
        <v>56</v>
      </c>
      <c r="B56" s="354" t="s">
        <v>41</v>
      </c>
      <c r="C56" s="354" t="s">
        <v>164</v>
      </c>
      <c r="D56" s="354" t="s">
        <v>165</v>
      </c>
      <c r="E56" s="404" t="s">
        <v>166</v>
      </c>
      <c r="F56" s="405" t="s">
        <v>213</v>
      </c>
      <c r="G56" s="406" t="s">
        <v>233</v>
      </c>
      <c r="H56" s="399" t="s">
        <v>234</v>
      </c>
      <c r="I56" s="399" t="s">
        <v>105</v>
      </c>
      <c r="J56" s="399" t="s">
        <v>192</v>
      </c>
      <c r="K56" s="407">
        <v>8.4</v>
      </c>
      <c r="L56" s="408">
        <f t="shared" si="6"/>
        <v>255</v>
      </c>
      <c r="M56" s="409">
        <v>255</v>
      </c>
      <c r="N56" s="409"/>
      <c r="O56" s="409"/>
      <c r="P56" s="410" t="e">
        <f>IF(M56="nio",0,IF(M56&gt;0,M56*K56/S56,0))*VLOOKUP(B56,'2-Kosten per locatie'!$A$14:$C$61,3,FALSE)</f>
        <v>#DIV/0!</v>
      </c>
      <c r="Q56" s="410">
        <f>IF(N56&gt;0,N56*K56/T56,0)*VLOOKUP(B56,'2-Kosten per locatie'!$A$14:$C$61,3,FALSE)</f>
        <v>0</v>
      </c>
      <c r="R56" s="410">
        <f>IF(O56&gt;0,O56*K56/U56,0)*VLOOKUP(B56,'2-Kosten per locatie'!$A$14:$C$61,3,FALSE)</f>
        <v>0</v>
      </c>
      <c r="S56" s="411">
        <f>IF(M56="nio",0,IF(M56&gt;0,VLOOKUP(I56,'3-Productie normen'!A:P,VLOOKUP(M56,'3-Productie normen'!$B$38:$C$48,2,FALSE),FALSE)))</f>
        <v>0</v>
      </c>
      <c r="T56" s="411">
        <f t="shared" si="1"/>
        <v>0</v>
      </c>
      <c r="U56" s="411">
        <f t="shared" si="5"/>
        <v>0</v>
      </c>
      <c r="V56" s="412"/>
      <c r="X56" s="413">
        <f t="shared" si="2"/>
        <v>2142</v>
      </c>
    </row>
    <row r="57" spans="1:24" ht="14.1" customHeight="1">
      <c r="A57" s="70">
        <f t="shared" si="3"/>
        <v>57</v>
      </c>
      <c r="B57" s="354" t="s">
        <v>41</v>
      </c>
      <c r="C57" s="354" t="s">
        <v>164</v>
      </c>
      <c r="D57" s="354" t="s">
        <v>165</v>
      </c>
      <c r="E57" s="404" t="s">
        <v>166</v>
      </c>
      <c r="F57" s="405" t="s">
        <v>235</v>
      </c>
      <c r="G57" s="406" t="s">
        <v>236</v>
      </c>
      <c r="H57" s="399" t="s">
        <v>234</v>
      </c>
      <c r="I57" s="399" t="s">
        <v>105</v>
      </c>
      <c r="J57" s="399" t="s">
        <v>192</v>
      </c>
      <c r="K57" s="407">
        <v>14.9</v>
      </c>
      <c r="L57" s="408">
        <f t="shared" si="6"/>
        <v>255</v>
      </c>
      <c r="M57" s="409">
        <v>255</v>
      </c>
      <c r="N57" s="409"/>
      <c r="O57" s="409"/>
      <c r="P57" s="410" t="e">
        <f>IF(M57="nio",0,IF(M57&gt;0,M57*K57/S57,0))*VLOOKUP(B57,'2-Kosten per locatie'!$A$14:$C$61,3,FALSE)</f>
        <v>#DIV/0!</v>
      </c>
      <c r="Q57" s="410">
        <f>IF(N57&gt;0,N57*K57/T57,0)*VLOOKUP(B57,'2-Kosten per locatie'!$A$14:$C$61,3,FALSE)</f>
        <v>0</v>
      </c>
      <c r="R57" s="410">
        <f>IF(O57&gt;0,O57*K57/U57,0)*VLOOKUP(B57,'2-Kosten per locatie'!$A$14:$C$61,3,FALSE)</f>
        <v>0</v>
      </c>
      <c r="S57" s="411">
        <f>IF(M57="nio",0,IF(M57&gt;0,VLOOKUP(I57,'3-Productie normen'!A:P,VLOOKUP(M57,'3-Productie normen'!$B$38:$C$48,2,FALSE),FALSE)))</f>
        <v>0</v>
      </c>
      <c r="T57" s="411">
        <f t="shared" si="1"/>
        <v>0</v>
      </c>
      <c r="U57" s="411">
        <f t="shared" si="5"/>
        <v>0</v>
      </c>
      <c r="V57" s="412"/>
      <c r="X57" s="413">
        <f t="shared" si="2"/>
        <v>3799.5</v>
      </c>
    </row>
    <row r="58" spans="1:24" ht="14.1" customHeight="1">
      <c r="A58" s="70">
        <f t="shared" si="3"/>
        <v>58</v>
      </c>
      <c r="B58" s="354" t="s">
        <v>41</v>
      </c>
      <c r="C58" s="354" t="s">
        <v>164</v>
      </c>
      <c r="D58" s="354" t="s">
        <v>165</v>
      </c>
      <c r="E58" s="404" t="s">
        <v>166</v>
      </c>
      <c r="F58" s="405" t="s">
        <v>213</v>
      </c>
      <c r="G58" s="406" t="s">
        <v>237</v>
      </c>
      <c r="H58" s="399" t="s">
        <v>234</v>
      </c>
      <c r="I58" s="399" t="s">
        <v>105</v>
      </c>
      <c r="J58" s="399" t="s">
        <v>192</v>
      </c>
      <c r="K58" s="407">
        <v>10.3</v>
      </c>
      <c r="L58" s="408">
        <f t="shared" si="6"/>
        <v>255</v>
      </c>
      <c r="M58" s="409">
        <v>255</v>
      </c>
      <c r="N58" s="409"/>
      <c r="O58" s="409"/>
      <c r="P58" s="410" t="e">
        <f>IF(M58="nio",0,IF(M58&gt;0,M58*K58/S58,0))*VLOOKUP(B58,'2-Kosten per locatie'!$A$14:$C$61,3,FALSE)</f>
        <v>#DIV/0!</v>
      </c>
      <c r="Q58" s="410">
        <f>IF(N58&gt;0,N58*K58/T58,0)*VLOOKUP(B58,'2-Kosten per locatie'!$A$14:$C$61,3,FALSE)</f>
        <v>0</v>
      </c>
      <c r="R58" s="410">
        <f>IF(O58&gt;0,O58*K58/U58,0)*VLOOKUP(B58,'2-Kosten per locatie'!$A$14:$C$61,3,FALSE)</f>
        <v>0</v>
      </c>
      <c r="S58" s="411">
        <f>IF(M58="nio",0,IF(M58&gt;0,VLOOKUP(I58,'3-Productie normen'!A:P,VLOOKUP(M58,'3-Productie normen'!$B$38:$C$48,2,FALSE),FALSE)))</f>
        <v>0</v>
      </c>
      <c r="T58" s="411">
        <f t="shared" si="1"/>
        <v>0</v>
      </c>
      <c r="U58" s="411">
        <f t="shared" si="5"/>
        <v>0</v>
      </c>
      <c r="V58" s="412"/>
      <c r="X58" s="413">
        <f t="shared" si="2"/>
        <v>2626.5</v>
      </c>
    </row>
    <row r="59" spans="1:24" ht="14.1" customHeight="1">
      <c r="A59" s="70">
        <f t="shared" si="3"/>
        <v>59</v>
      </c>
      <c r="B59" s="354" t="s">
        <v>42</v>
      </c>
      <c r="C59" s="354" t="s">
        <v>164</v>
      </c>
      <c r="D59" s="354" t="s">
        <v>165</v>
      </c>
      <c r="E59" s="404" t="s">
        <v>166</v>
      </c>
      <c r="F59" s="405"/>
      <c r="G59" s="406" t="s">
        <v>191</v>
      </c>
      <c r="H59" s="399" t="s">
        <v>238</v>
      </c>
      <c r="I59" s="399" t="s">
        <v>105</v>
      </c>
      <c r="J59" s="399" t="s">
        <v>218</v>
      </c>
      <c r="K59" s="407">
        <v>62.2</v>
      </c>
      <c r="L59" s="408">
        <f t="shared" si="6"/>
        <v>230</v>
      </c>
      <c r="M59" s="409">
        <v>230</v>
      </c>
      <c r="N59" s="409"/>
      <c r="O59" s="409"/>
      <c r="P59" s="410" t="e">
        <f>IF(M59="nio",0,IF(M59&gt;0,M59*K59/S59,0))*VLOOKUP(B59,'2-Kosten per locatie'!$A$14:$C$61,3,FALSE)</f>
        <v>#DIV/0!</v>
      </c>
      <c r="Q59" s="410">
        <f>IF(N59&gt;0,N59*K59/T59,0)*VLOOKUP(B59,'2-Kosten per locatie'!$A$14:$C$61,3,FALSE)</f>
        <v>0</v>
      </c>
      <c r="R59" s="410">
        <f>IF(O59&gt;0,O59*K59/U59,0)*VLOOKUP(B59,'2-Kosten per locatie'!$A$14:$C$61,3,FALSE)</f>
        <v>0</v>
      </c>
      <c r="S59" s="411">
        <f>IF(M59="nio",0,IF(M59&gt;0,VLOOKUP(I59,'3-Productie normen'!A:P,VLOOKUP(M59,'3-Productie normen'!$B$38:$C$48,2,FALSE),FALSE)))</f>
        <v>0</v>
      </c>
      <c r="T59" s="411">
        <f t="shared" si="1"/>
        <v>0</v>
      </c>
      <c r="U59" s="411">
        <f t="shared" si="5"/>
        <v>0</v>
      </c>
      <c r="V59" s="412"/>
      <c r="X59" s="413">
        <f t="shared" si="2"/>
        <v>14306</v>
      </c>
    </row>
    <row r="60" spans="1:24" ht="14.1" customHeight="1">
      <c r="A60" s="70">
        <f t="shared" si="3"/>
        <v>60</v>
      </c>
      <c r="B60" s="354" t="s">
        <v>42</v>
      </c>
      <c r="C60" s="354" t="s">
        <v>164</v>
      </c>
      <c r="D60" s="354" t="s">
        <v>165</v>
      </c>
      <c r="E60" s="404" t="s">
        <v>166</v>
      </c>
      <c r="F60" s="405"/>
      <c r="G60" s="406" t="s">
        <v>180</v>
      </c>
      <c r="H60" s="399" t="s">
        <v>239</v>
      </c>
      <c r="I60" s="399" t="s">
        <v>117</v>
      </c>
      <c r="J60" s="399" t="s">
        <v>218</v>
      </c>
      <c r="K60" s="407">
        <v>2</v>
      </c>
      <c r="L60" s="408">
        <f t="shared" si="6"/>
        <v>230</v>
      </c>
      <c r="M60" s="409">
        <v>230</v>
      </c>
      <c r="N60" s="409"/>
      <c r="O60" s="409"/>
      <c r="P60" s="410" t="e">
        <f>IF(M60="nio",0,IF(M60&gt;0,M60*K60/S60,0))*VLOOKUP(B60,'2-Kosten per locatie'!$A$14:$C$61,3,FALSE)</f>
        <v>#DIV/0!</v>
      </c>
      <c r="Q60" s="410">
        <f>IF(N60&gt;0,N60*K60/T60,0)*VLOOKUP(B60,'2-Kosten per locatie'!$A$14:$C$61,3,FALSE)</f>
        <v>0</v>
      </c>
      <c r="R60" s="410">
        <f>IF(O60&gt;0,O60*K60/U60,0)*VLOOKUP(B60,'2-Kosten per locatie'!$A$14:$C$61,3,FALSE)</f>
        <v>0</v>
      </c>
      <c r="S60" s="411">
        <f>IF(M60="nio",0,IF(M60&gt;0,VLOOKUP(I60,'3-Productie normen'!A:P,VLOOKUP(M60,'3-Productie normen'!$B$38:$C$48,2,FALSE),FALSE)))</f>
        <v>0</v>
      </c>
      <c r="T60" s="411">
        <f t="shared" si="1"/>
        <v>0</v>
      </c>
      <c r="U60" s="411">
        <f t="shared" si="5"/>
        <v>0</v>
      </c>
      <c r="V60" s="412"/>
      <c r="X60" s="413">
        <f t="shared" si="2"/>
        <v>460</v>
      </c>
    </row>
    <row r="61" spans="1:24" ht="14.1" customHeight="1">
      <c r="A61" s="70">
        <f t="shared" si="3"/>
        <v>61</v>
      </c>
      <c r="B61" s="354" t="s">
        <v>42</v>
      </c>
      <c r="C61" s="354" t="s">
        <v>164</v>
      </c>
      <c r="D61" s="354" t="s">
        <v>165</v>
      </c>
      <c r="E61" s="404" t="s">
        <v>166</v>
      </c>
      <c r="F61" s="405"/>
      <c r="G61" s="406" t="s">
        <v>182</v>
      </c>
      <c r="H61" s="399" t="s">
        <v>240</v>
      </c>
      <c r="I61" s="399" t="s">
        <v>106</v>
      </c>
      <c r="J61" s="399" t="s">
        <v>179</v>
      </c>
      <c r="K61" s="407">
        <v>4.8</v>
      </c>
      <c r="L61" s="408">
        <f t="shared" si="6"/>
        <v>230</v>
      </c>
      <c r="M61" s="409">
        <v>230</v>
      </c>
      <c r="N61" s="409"/>
      <c r="O61" s="409"/>
      <c r="P61" s="410" t="e">
        <f>IF(M61="nio",0,IF(M61&gt;0,M61*K61/S61,0))*VLOOKUP(B61,'2-Kosten per locatie'!$A$14:$C$61,3,FALSE)</f>
        <v>#DIV/0!</v>
      </c>
      <c r="Q61" s="410">
        <f>IF(N61&gt;0,N61*K61/T61,0)*VLOOKUP(B61,'2-Kosten per locatie'!$A$14:$C$61,3,FALSE)</f>
        <v>0</v>
      </c>
      <c r="R61" s="410">
        <f>IF(O61&gt;0,O61*K61/U61,0)*VLOOKUP(B61,'2-Kosten per locatie'!$A$14:$C$61,3,FALSE)</f>
        <v>0</v>
      </c>
      <c r="S61" s="411">
        <f>IF(M61="nio",0,IF(M61&gt;0,VLOOKUP(I61,'3-Productie normen'!A:P,VLOOKUP(M61,'3-Productie normen'!$B$38:$C$48,2,FALSE),FALSE)))</f>
        <v>0</v>
      </c>
      <c r="T61" s="411">
        <f t="shared" si="1"/>
        <v>0</v>
      </c>
      <c r="U61" s="411">
        <f t="shared" si="5"/>
        <v>0</v>
      </c>
      <c r="V61" s="412"/>
      <c r="X61" s="413">
        <f t="shared" si="2"/>
        <v>1104</v>
      </c>
    </row>
    <row r="62" spans="1:24" ht="14.1" customHeight="1">
      <c r="A62" s="70">
        <f t="shared" si="3"/>
        <v>62</v>
      </c>
      <c r="B62" s="354" t="s">
        <v>42</v>
      </c>
      <c r="C62" s="354" t="s">
        <v>164</v>
      </c>
      <c r="D62" s="354" t="s">
        <v>165</v>
      </c>
      <c r="E62" s="404" t="s">
        <v>166</v>
      </c>
      <c r="F62" s="405"/>
      <c r="G62" s="406" t="s">
        <v>207</v>
      </c>
      <c r="H62" s="399" t="s">
        <v>241</v>
      </c>
      <c r="I62" s="399" t="s">
        <v>124</v>
      </c>
      <c r="J62" s="399"/>
      <c r="K62" s="407">
        <v>2.5</v>
      </c>
      <c r="L62" s="408">
        <f t="shared" si="6"/>
        <v>0</v>
      </c>
      <c r="M62" s="409" t="s">
        <v>242</v>
      </c>
      <c r="N62" s="409"/>
      <c r="O62" s="409"/>
      <c r="P62" s="410">
        <f>IF(M62="nio",0,IF(M62&gt;0,M62*K62/S62,0))*VLOOKUP(B62,'2-Kosten per locatie'!$A$14:$C$61,3,FALSE)</f>
        <v>0</v>
      </c>
      <c r="Q62" s="410">
        <f>IF(N62&gt;0,N62*K62/T62,0)*VLOOKUP(B62,'2-Kosten per locatie'!$A$14:$C$61,3,FALSE)</f>
        <v>0</v>
      </c>
      <c r="R62" s="410">
        <f>IF(O62&gt;0,O62*K62/U62,0)*VLOOKUP(B62,'2-Kosten per locatie'!$A$14:$C$61,3,FALSE)</f>
        <v>0</v>
      </c>
      <c r="S62" s="411">
        <f>IF(M62="nio",0,IF(M62&gt;0,VLOOKUP(I62,'3-Productie normen'!A:P,VLOOKUP(M62,'3-Productie normen'!$B$38:$C$48,2,FALSE),FALSE)))</f>
        <v>0</v>
      </c>
      <c r="T62" s="411">
        <f t="shared" si="1"/>
        <v>0</v>
      </c>
      <c r="U62" s="411">
        <f t="shared" si="5"/>
        <v>0</v>
      </c>
      <c r="V62" s="412"/>
      <c r="X62" s="413">
        <f t="shared" si="2"/>
        <v>0</v>
      </c>
    </row>
    <row r="63" spans="1:24" ht="14.1" customHeight="1">
      <c r="A63" s="70">
        <f t="shared" si="3"/>
        <v>63</v>
      </c>
      <c r="B63" s="354" t="s">
        <v>42</v>
      </c>
      <c r="C63" s="354" t="s">
        <v>164</v>
      </c>
      <c r="D63" s="354" t="s">
        <v>165</v>
      </c>
      <c r="E63" s="404" t="s">
        <v>166</v>
      </c>
      <c r="F63" s="405"/>
      <c r="G63" s="406" t="s">
        <v>209</v>
      </c>
      <c r="H63" s="399" t="s">
        <v>243</v>
      </c>
      <c r="I63" s="399" t="s">
        <v>116</v>
      </c>
      <c r="J63" s="399" t="s">
        <v>185</v>
      </c>
      <c r="K63" s="407">
        <v>3.5</v>
      </c>
      <c r="L63" s="408">
        <f t="shared" si="6"/>
        <v>230</v>
      </c>
      <c r="M63" s="409">
        <v>230</v>
      </c>
      <c r="N63" s="409"/>
      <c r="O63" s="409"/>
      <c r="P63" s="410" t="e">
        <f>IF(M63="nio",0,IF(M63&gt;0,M63*K63/S63,0))*VLOOKUP(B63,'2-Kosten per locatie'!$A$14:$C$61,3,FALSE)</f>
        <v>#DIV/0!</v>
      </c>
      <c r="Q63" s="410">
        <f>IF(N63&gt;0,N63*K63/T63,0)*VLOOKUP(B63,'2-Kosten per locatie'!$A$14:$C$61,3,FALSE)</f>
        <v>0</v>
      </c>
      <c r="R63" s="410">
        <f>IF(O63&gt;0,O63*K63/U63,0)*VLOOKUP(B63,'2-Kosten per locatie'!$A$14:$C$61,3,FALSE)</f>
        <v>0</v>
      </c>
      <c r="S63" s="411">
        <f>IF(M63="nio",0,IF(M63&gt;0,VLOOKUP(I63,'3-Productie normen'!A:P,VLOOKUP(M63,'3-Productie normen'!$B$38:$C$48,2,FALSE),FALSE)))</f>
        <v>0</v>
      </c>
      <c r="T63" s="411">
        <f t="shared" si="1"/>
        <v>0</v>
      </c>
      <c r="U63" s="411">
        <f t="shared" si="5"/>
        <v>0</v>
      </c>
      <c r="V63" s="412"/>
      <c r="X63" s="413">
        <f t="shared" si="2"/>
        <v>805</v>
      </c>
    </row>
    <row r="64" spans="1:24" ht="14.1" customHeight="1">
      <c r="A64" s="70">
        <f t="shared" si="3"/>
        <v>64</v>
      </c>
      <c r="B64" s="354" t="s">
        <v>42</v>
      </c>
      <c r="C64" s="354" t="s">
        <v>164</v>
      </c>
      <c r="D64" s="354" t="s">
        <v>165</v>
      </c>
      <c r="E64" s="404" t="s">
        <v>166</v>
      </c>
      <c r="F64" s="405"/>
      <c r="G64" s="406" t="s">
        <v>210</v>
      </c>
      <c r="H64" s="399" t="s">
        <v>206</v>
      </c>
      <c r="I64" s="399" t="s">
        <v>108</v>
      </c>
      <c r="J64" s="399" t="s">
        <v>218</v>
      </c>
      <c r="K64" s="407">
        <v>36.1</v>
      </c>
      <c r="L64" s="408">
        <f t="shared" si="6"/>
        <v>230</v>
      </c>
      <c r="M64" s="409">
        <v>230</v>
      </c>
      <c r="N64" s="409"/>
      <c r="O64" s="409"/>
      <c r="P64" s="410" t="e">
        <f>IF(M64="nio",0,IF(M64&gt;0,M64*K64/S64,0))*VLOOKUP(B64,'2-Kosten per locatie'!$A$14:$C$61,3,FALSE)</f>
        <v>#DIV/0!</v>
      </c>
      <c r="Q64" s="410">
        <f>IF(N64&gt;0,N64*K64/T64,0)*VLOOKUP(B64,'2-Kosten per locatie'!$A$14:$C$61,3,FALSE)</f>
        <v>0</v>
      </c>
      <c r="R64" s="410">
        <f>IF(O64&gt;0,O64*K64/U64,0)*VLOOKUP(B64,'2-Kosten per locatie'!$A$14:$C$61,3,FALSE)</f>
        <v>0</v>
      </c>
      <c r="S64" s="411">
        <f>IF(M64="nio",0,IF(M64&gt;0,VLOOKUP(I64,'3-Productie normen'!A:P,VLOOKUP(M64,'3-Productie normen'!$B$38:$C$48,2,FALSE),FALSE)))</f>
        <v>0</v>
      </c>
      <c r="T64" s="411">
        <f t="shared" si="1"/>
        <v>0</v>
      </c>
      <c r="U64" s="411">
        <f t="shared" si="5"/>
        <v>0</v>
      </c>
      <c r="V64" s="412"/>
      <c r="X64" s="413">
        <f t="shared" si="2"/>
        <v>8303</v>
      </c>
    </row>
    <row r="65" spans="1:24" ht="14.1" customHeight="1">
      <c r="A65" s="70">
        <f t="shared" si="3"/>
        <v>65</v>
      </c>
      <c r="B65" s="354" t="s">
        <v>42</v>
      </c>
      <c r="C65" s="354" t="s">
        <v>164</v>
      </c>
      <c r="D65" s="354" t="s">
        <v>165</v>
      </c>
      <c r="E65" s="404" t="s">
        <v>166</v>
      </c>
      <c r="F65" s="405"/>
      <c r="G65" s="406" t="s">
        <v>212</v>
      </c>
      <c r="H65" s="399" t="s">
        <v>244</v>
      </c>
      <c r="I65" s="399" t="s">
        <v>124</v>
      </c>
      <c r="J65" s="399"/>
      <c r="K65" s="407"/>
      <c r="L65" s="408">
        <f t="shared" si="6"/>
        <v>0</v>
      </c>
      <c r="M65" s="409" t="s">
        <v>242</v>
      </c>
      <c r="N65" s="409"/>
      <c r="O65" s="409"/>
      <c r="P65" s="410">
        <f>IF(M65="nio",0,IF(M65&gt;0,M65*K65/S65,0))*VLOOKUP(B65,'2-Kosten per locatie'!$A$14:$C$61,3,FALSE)</f>
        <v>0</v>
      </c>
      <c r="Q65" s="410">
        <f>IF(N65&gt;0,N65*K65/T65,0)*VLOOKUP(B65,'2-Kosten per locatie'!$A$14:$C$61,3,FALSE)</f>
        <v>0</v>
      </c>
      <c r="R65" s="410">
        <f>IF(O65&gt;0,O65*K65/U65,0)*VLOOKUP(B65,'2-Kosten per locatie'!$A$14:$C$61,3,FALSE)</f>
        <v>0</v>
      </c>
      <c r="S65" s="411">
        <f>IF(M65="nio",0,IF(M65&gt;0,VLOOKUP(I65,'3-Productie normen'!A:P,VLOOKUP(M65,'3-Productie normen'!$B$38:$C$48,2,FALSE),FALSE)))</f>
        <v>0</v>
      </c>
      <c r="T65" s="411">
        <f t="shared" si="1"/>
        <v>0</v>
      </c>
      <c r="U65" s="411">
        <f t="shared" si="5"/>
        <v>0</v>
      </c>
      <c r="V65" s="412"/>
      <c r="X65" s="413">
        <f t="shared" si="2"/>
        <v>0</v>
      </c>
    </row>
    <row r="66" spans="1:24" ht="14.1" customHeight="1">
      <c r="A66" s="70">
        <f t="shared" si="3"/>
        <v>66</v>
      </c>
      <c r="B66" s="354" t="s">
        <v>42</v>
      </c>
      <c r="C66" s="354" t="s">
        <v>164</v>
      </c>
      <c r="D66" s="354" t="s">
        <v>165</v>
      </c>
      <c r="E66" s="404" t="s">
        <v>166</v>
      </c>
      <c r="F66" s="405"/>
      <c r="G66" s="406" t="s">
        <v>245</v>
      </c>
      <c r="H66" s="399" t="s">
        <v>244</v>
      </c>
      <c r="I66" s="399" t="s">
        <v>124</v>
      </c>
      <c r="J66" s="399"/>
      <c r="K66" s="407"/>
      <c r="L66" s="408">
        <f t="shared" si="6"/>
        <v>0</v>
      </c>
      <c r="M66" s="409" t="s">
        <v>242</v>
      </c>
      <c r="N66" s="409"/>
      <c r="O66" s="409"/>
      <c r="P66" s="410">
        <f>IF(M66="nio",0,IF(M66&gt;0,M66*K66/S66,0))*VLOOKUP(B66,'2-Kosten per locatie'!$A$14:$C$61,3,FALSE)</f>
        <v>0</v>
      </c>
      <c r="Q66" s="410">
        <f>IF(N66&gt;0,N66*K66/T66,0)*VLOOKUP(B66,'2-Kosten per locatie'!$A$14:$C$61,3,FALSE)</f>
        <v>0</v>
      </c>
      <c r="R66" s="410">
        <f>IF(O66&gt;0,O66*K66/U66,0)*VLOOKUP(B66,'2-Kosten per locatie'!$A$14:$C$61,3,FALSE)</f>
        <v>0</v>
      </c>
      <c r="S66" s="411">
        <f>IF(M66="nio",0,IF(M66&gt;0,VLOOKUP(I66,'3-Productie normen'!A:P,VLOOKUP(M66,'3-Productie normen'!$B$38:$C$48,2,FALSE),FALSE)))</f>
        <v>0</v>
      </c>
      <c r="T66" s="411">
        <f t="shared" si="1"/>
        <v>0</v>
      </c>
      <c r="U66" s="411">
        <f t="shared" si="5"/>
        <v>0</v>
      </c>
      <c r="V66" s="412"/>
      <c r="X66" s="413">
        <f t="shared" si="2"/>
        <v>0</v>
      </c>
    </row>
    <row r="67" spans="1:24" ht="14.1" customHeight="1">
      <c r="A67" s="70">
        <f t="shared" si="3"/>
        <v>67</v>
      </c>
      <c r="B67" s="354" t="s">
        <v>42</v>
      </c>
      <c r="C67" s="354" t="s">
        <v>164</v>
      </c>
      <c r="D67" s="354" t="s">
        <v>165</v>
      </c>
      <c r="E67" s="404" t="s">
        <v>166</v>
      </c>
      <c r="F67" s="405"/>
      <c r="G67" s="406" t="s">
        <v>246</v>
      </c>
      <c r="H67" s="399" t="s">
        <v>172</v>
      </c>
      <c r="I67" s="399" t="s">
        <v>124</v>
      </c>
      <c r="J67" s="399"/>
      <c r="K67" s="407"/>
      <c r="L67" s="408">
        <f t="shared" si="6"/>
        <v>0</v>
      </c>
      <c r="M67" s="409" t="s">
        <v>242</v>
      </c>
      <c r="N67" s="409"/>
      <c r="O67" s="409"/>
      <c r="P67" s="410">
        <f>IF(M67="nio",0,IF(M67&gt;0,M67*K67/S67,0))*VLOOKUP(B67,'2-Kosten per locatie'!$A$14:$C$61,3,FALSE)</f>
        <v>0</v>
      </c>
      <c r="Q67" s="410">
        <f>IF(N67&gt;0,N67*K67/T67,0)*VLOOKUP(B67,'2-Kosten per locatie'!$A$14:$C$61,3,FALSE)</f>
        <v>0</v>
      </c>
      <c r="R67" s="410">
        <f>IF(O67&gt;0,O67*K67/U67,0)*VLOOKUP(B67,'2-Kosten per locatie'!$A$14:$C$61,3,FALSE)</f>
        <v>0</v>
      </c>
      <c r="S67" s="411">
        <f>IF(M67="nio",0,IF(M67&gt;0,VLOOKUP(I67,'3-Productie normen'!A:P,VLOOKUP(M67,'3-Productie normen'!$B$38:$C$48,2,FALSE),FALSE)))</f>
        <v>0</v>
      </c>
      <c r="T67" s="411">
        <f t="shared" si="1"/>
        <v>0</v>
      </c>
      <c r="U67" s="411">
        <f t="shared" si="5"/>
        <v>0</v>
      </c>
      <c r="V67" s="412"/>
      <c r="X67" s="413">
        <f t="shared" si="2"/>
        <v>0</v>
      </c>
    </row>
    <row r="68" spans="1:24" ht="14.1" customHeight="1">
      <c r="A68" s="70">
        <f t="shared" si="3"/>
        <v>68</v>
      </c>
      <c r="B68" s="354" t="s">
        <v>42</v>
      </c>
      <c r="C68" s="354" t="s">
        <v>164</v>
      </c>
      <c r="D68" s="354" t="s">
        <v>165</v>
      </c>
      <c r="E68" s="404" t="s">
        <v>166</v>
      </c>
      <c r="F68" s="405"/>
      <c r="G68" s="406" t="s">
        <v>247</v>
      </c>
      <c r="H68" s="399" t="s">
        <v>172</v>
      </c>
      <c r="I68" s="399" t="s">
        <v>124</v>
      </c>
      <c r="J68" s="399"/>
      <c r="K68" s="407"/>
      <c r="L68" s="408">
        <f t="shared" si="6"/>
        <v>0</v>
      </c>
      <c r="M68" s="409" t="s">
        <v>242</v>
      </c>
      <c r="N68" s="409"/>
      <c r="O68" s="409"/>
      <c r="P68" s="410">
        <f>IF(M68="nio",0,IF(M68&gt;0,M68*K68/S68,0))*VLOOKUP(B68,'2-Kosten per locatie'!$A$14:$C$61,3,FALSE)</f>
        <v>0</v>
      </c>
      <c r="Q68" s="410">
        <f>IF(N68&gt;0,N68*K68/T68,0)*VLOOKUP(B68,'2-Kosten per locatie'!$A$14:$C$61,3,FALSE)</f>
        <v>0</v>
      </c>
      <c r="R68" s="410">
        <f>IF(O68&gt;0,O68*K68/U68,0)*VLOOKUP(B68,'2-Kosten per locatie'!$A$14:$C$61,3,FALSE)</f>
        <v>0</v>
      </c>
      <c r="S68" s="411">
        <f>IF(M68="nio",0,IF(M68&gt;0,VLOOKUP(I68,'3-Productie normen'!A:P,VLOOKUP(M68,'3-Productie normen'!$B$38:$C$48,2,FALSE),FALSE)))</f>
        <v>0</v>
      </c>
      <c r="T68" s="411">
        <f t="shared" si="1"/>
        <v>0</v>
      </c>
      <c r="U68" s="411">
        <f t="shared" si="5"/>
        <v>0</v>
      </c>
      <c r="V68" s="412"/>
      <c r="X68" s="413">
        <f t="shared" si="2"/>
        <v>0</v>
      </c>
    </row>
    <row r="69" spans="1:24" ht="14.1" customHeight="1">
      <c r="A69" s="70">
        <f t="shared" si="3"/>
        <v>69</v>
      </c>
      <c r="B69" s="354" t="s">
        <v>42</v>
      </c>
      <c r="C69" s="354" t="s">
        <v>164</v>
      </c>
      <c r="D69" s="354" t="s">
        <v>165</v>
      </c>
      <c r="E69" s="404" t="s">
        <v>166</v>
      </c>
      <c r="F69" s="405"/>
      <c r="G69" s="406" t="s">
        <v>248</v>
      </c>
      <c r="H69" s="399" t="s">
        <v>195</v>
      </c>
      <c r="I69" s="399" t="s">
        <v>121</v>
      </c>
      <c r="J69" s="399" t="s">
        <v>218</v>
      </c>
      <c r="K69" s="407">
        <v>4.4000000000000004</v>
      </c>
      <c r="L69" s="408">
        <f t="shared" si="6"/>
        <v>230</v>
      </c>
      <c r="M69" s="409">
        <v>230</v>
      </c>
      <c r="N69" s="409"/>
      <c r="O69" s="409"/>
      <c r="P69" s="410" t="e">
        <f>IF(M69="nio",0,IF(M69&gt;0,M69*K69/S69,0))*VLOOKUP(B69,'2-Kosten per locatie'!$A$14:$C$61,3,FALSE)</f>
        <v>#DIV/0!</v>
      </c>
      <c r="Q69" s="410">
        <f>IF(N69&gt;0,N69*K69/T69,0)*VLOOKUP(B69,'2-Kosten per locatie'!$A$14:$C$61,3,FALSE)</f>
        <v>0</v>
      </c>
      <c r="R69" s="410">
        <f>IF(O69&gt;0,O69*K69/U69,0)*VLOOKUP(B69,'2-Kosten per locatie'!$A$14:$C$61,3,FALSE)</f>
        <v>0</v>
      </c>
      <c r="S69" s="411">
        <f>IF(M69="nio",0,IF(M69&gt;0,VLOOKUP(I69,'3-Productie normen'!A:P,VLOOKUP(M69,'3-Productie normen'!$B$38:$C$48,2,FALSE),FALSE)))</f>
        <v>0</v>
      </c>
      <c r="T69" s="411">
        <f t="shared" si="1"/>
        <v>0</v>
      </c>
      <c r="U69" s="411">
        <f t="shared" si="5"/>
        <v>0</v>
      </c>
      <c r="V69" s="412"/>
      <c r="X69" s="413">
        <f t="shared" si="2"/>
        <v>1012.0000000000001</v>
      </c>
    </row>
    <row r="70" spans="1:24" ht="14.1" customHeight="1">
      <c r="A70" s="70">
        <f t="shared" si="3"/>
        <v>70</v>
      </c>
      <c r="B70" s="354" t="s">
        <v>42</v>
      </c>
      <c r="C70" s="354" t="s">
        <v>164</v>
      </c>
      <c r="D70" s="354" t="s">
        <v>165</v>
      </c>
      <c r="E70" s="404" t="s">
        <v>166</v>
      </c>
      <c r="F70" s="405"/>
      <c r="G70" s="406" t="s">
        <v>194</v>
      </c>
      <c r="H70" s="399" t="s">
        <v>172</v>
      </c>
      <c r="I70" s="399" t="s">
        <v>124</v>
      </c>
      <c r="J70" s="399"/>
      <c r="K70" s="407"/>
      <c r="L70" s="408">
        <f t="shared" si="6"/>
        <v>0</v>
      </c>
      <c r="M70" s="409" t="s">
        <v>242</v>
      </c>
      <c r="N70" s="409"/>
      <c r="O70" s="409"/>
      <c r="P70" s="410">
        <f>IF(M70="nio",0,IF(M70&gt;0,M70*K70/S70,0))*VLOOKUP(B70,'2-Kosten per locatie'!$A$14:$C$61,3,FALSE)</f>
        <v>0</v>
      </c>
      <c r="Q70" s="410">
        <f>IF(N70&gt;0,N70*K70/T70,0)*VLOOKUP(B70,'2-Kosten per locatie'!$A$14:$C$61,3,FALSE)</f>
        <v>0</v>
      </c>
      <c r="R70" s="410">
        <f>IF(O70&gt;0,O70*K70/U70,0)*VLOOKUP(B70,'2-Kosten per locatie'!$A$14:$C$61,3,FALSE)</f>
        <v>0</v>
      </c>
      <c r="S70" s="411">
        <f>IF(M70="nio",0,IF(M70&gt;0,VLOOKUP(I70,'3-Productie normen'!A:P,VLOOKUP(M70,'3-Productie normen'!$B$38:$C$48,2,FALSE),FALSE)))</f>
        <v>0</v>
      </c>
      <c r="T70" s="411">
        <f t="shared" si="1"/>
        <v>0</v>
      </c>
      <c r="U70" s="411">
        <f t="shared" si="5"/>
        <v>0</v>
      </c>
      <c r="V70" s="412"/>
      <c r="X70" s="413">
        <f t="shared" si="2"/>
        <v>0</v>
      </c>
    </row>
    <row r="71" spans="1:24" ht="14.1" customHeight="1">
      <c r="A71" s="70">
        <f t="shared" si="3"/>
        <v>71</v>
      </c>
      <c r="B71" s="354" t="s">
        <v>42</v>
      </c>
      <c r="C71" s="354" t="s">
        <v>164</v>
      </c>
      <c r="D71" s="354" t="s">
        <v>165</v>
      </c>
      <c r="E71" s="404" t="s">
        <v>166</v>
      </c>
      <c r="F71" s="405"/>
      <c r="G71" s="406" t="s">
        <v>249</v>
      </c>
      <c r="H71" s="399" t="s">
        <v>250</v>
      </c>
      <c r="I71" s="399" t="s">
        <v>106</v>
      </c>
      <c r="J71" s="399" t="s">
        <v>179</v>
      </c>
      <c r="K71" s="407">
        <v>7</v>
      </c>
      <c r="L71" s="408">
        <f t="shared" si="6"/>
        <v>230</v>
      </c>
      <c r="M71" s="409">
        <v>230</v>
      </c>
      <c r="N71" s="409"/>
      <c r="O71" s="409"/>
      <c r="P71" s="410" t="e">
        <f>IF(M71="nio",0,IF(M71&gt;0,M71*K71/S71,0))*VLOOKUP(B71,'2-Kosten per locatie'!$A$14:$C$61,3,FALSE)</f>
        <v>#DIV/0!</v>
      </c>
      <c r="Q71" s="410">
        <f>IF(N71&gt;0,N71*K71/T71,0)*VLOOKUP(B71,'2-Kosten per locatie'!$A$14:$C$61,3,FALSE)</f>
        <v>0</v>
      </c>
      <c r="R71" s="410">
        <f>IF(O71&gt;0,O71*K71/U71,0)*VLOOKUP(B71,'2-Kosten per locatie'!$A$14:$C$61,3,FALSE)</f>
        <v>0</v>
      </c>
      <c r="S71" s="411">
        <f>IF(M71="nio",0,IF(M71&gt;0,VLOOKUP(I71,'3-Productie normen'!A:P,VLOOKUP(M71,'3-Productie normen'!$B$38:$C$48,2,FALSE),FALSE)))</f>
        <v>0</v>
      </c>
      <c r="T71" s="411">
        <f t="shared" si="1"/>
        <v>0</v>
      </c>
      <c r="U71" s="411">
        <f t="shared" si="5"/>
        <v>0</v>
      </c>
      <c r="V71" s="412"/>
      <c r="X71" s="413">
        <f t="shared" si="2"/>
        <v>1610</v>
      </c>
    </row>
    <row r="72" spans="1:24" ht="14.1" customHeight="1">
      <c r="A72" s="70">
        <f t="shared" si="3"/>
        <v>72</v>
      </c>
      <c r="B72" s="354" t="s">
        <v>42</v>
      </c>
      <c r="C72" s="354" t="s">
        <v>164</v>
      </c>
      <c r="D72" s="354" t="s">
        <v>165</v>
      </c>
      <c r="E72" s="404" t="s">
        <v>166</v>
      </c>
      <c r="F72" s="405"/>
      <c r="G72" s="406" t="s">
        <v>251</v>
      </c>
      <c r="H72" s="399" t="s">
        <v>250</v>
      </c>
      <c r="I72" s="399" t="s">
        <v>106</v>
      </c>
      <c r="J72" s="399" t="s">
        <v>179</v>
      </c>
      <c r="K72" s="407">
        <v>7</v>
      </c>
      <c r="L72" s="408">
        <f t="shared" si="6"/>
        <v>230</v>
      </c>
      <c r="M72" s="409">
        <v>230</v>
      </c>
      <c r="N72" s="409"/>
      <c r="O72" s="409"/>
      <c r="P72" s="410" t="e">
        <f>IF(M72="nio",0,IF(M72&gt;0,M72*K72/S72,0))*VLOOKUP(B72,'2-Kosten per locatie'!$A$14:$C$61,3,FALSE)</f>
        <v>#DIV/0!</v>
      </c>
      <c r="Q72" s="410">
        <f>IF(N72&gt;0,N72*K72/T72,0)*VLOOKUP(B72,'2-Kosten per locatie'!$A$14:$C$61,3,FALSE)</f>
        <v>0</v>
      </c>
      <c r="R72" s="410">
        <f>IF(O72&gt;0,O72*K72/U72,0)*VLOOKUP(B72,'2-Kosten per locatie'!$A$14:$C$61,3,FALSE)</f>
        <v>0</v>
      </c>
      <c r="S72" s="411">
        <f>IF(M72="nio",0,IF(M72&gt;0,VLOOKUP(I72,'3-Productie normen'!A:P,VLOOKUP(M72,'3-Productie normen'!$B$38:$C$48,2,FALSE),FALSE)))</f>
        <v>0</v>
      </c>
      <c r="T72" s="411">
        <f t="shared" si="1"/>
        <v>0</v>
      </c>
      <c r="U72" s="411">
        <f t="shared" si="5"/>
        <v>0</v>
      </c>
      <c r="V72" s="412"/>
      <c r="X72" s="413">
        <f t="shared" si="2"/>
        <v>1610</v>
      </c>
    </row>
    <row r="73" spans="1:24" ht="14.1" customHeight="1">
      <c r="A73" s="70">
        <f t="shared" si="3"/>
        <v>73</v>
      </c>
      <c r="B73" s="354" t="s">
        <v>42</v>
      </c>
      <c r="C73" s="354" t="s">
        <v>164</v>
      </c>
      <c r="D73" s="354" t="s">
        <v>165</v>
      </c>
      <c r="E73" s="404" t="s">
        <v>166</v>
      </c>
      <c r="F73" s="405"/>
      <c r="G73" s="406" t="s">
        <v>196</v>
      </c>
      <c r="H73" s="399" t="s">
        <v>252</v>
      </c>
      <c r="I73" s="399" t="s">
        <v>108</v>
      </c>
      <c r="J73" s="399" t="s">
        <v>218</v>
      </c>
      <c r="K73" s="407">
        <v>15</v>
      </c>
      <c r="L73" s="408">
        <f t="shared" si="6"/>
        <v>230</v>
      </c>
      <c r="M73" s="409">
        <v>230</v>
      </c>
      <c r="N73" s="409"/>
      <c r="O73" s="409"/>
      <c r="P73" s="410" t="e">
        <f>IF(M73="nio",0,IF(M73&gt;0,M73*K73/S73,0))*VLOOKUP(B73,'2-Kosten per locatie'!$A$14:$C$61,3,FALSE)</f>
        <v>#DIV/0!</v>
      </c>
      <c r="Q73" s="410">
        <f>IF(N73&gt;0,N73*K73/T73,0)*VLOOKUP(B73,'2-Kosten per locatie'!$A$14:$C$61,3,FALSE)</f>
        <v>0</v>
      </c>
      <c r="R73" s="410">
        <f>IF(O73&gt;0,O73*K73/U73,0)*VLOOKUP(B73,'2-Kosten per locatie'!$A$14:$C$61,3,FALSE)</f>
        <v>0</v>
      </c>
      <c r="S73" s="411">
        <f>IF(M73="nio",0,IF(M73&gt;0,VLOOKUP(I73,'3-Productie normen'!A:P,VLOOKUP(M73,'3-Productie normen'!$B$38:$C$48,2,FALSE),FALSE)))</f>
        <v>0</v>
      </c>
      <c r="T73" s="411">
        <f t="shared" si="1"/>
        <v>0</v>
      </c>
      <c r="U73" s="411">
        <f t="shared" si="5"/>
        <v>0</v>
      </c>
      <c r="V73" s="412"/>
      <c r="X73" s="413">
        <f t="shared" si="2"/>
        <v>3450</v>
      </c>
    </row>
    <row r="74" spans="1:24" ht="14.1" customHeight="1">
      <c r="A74" s="70">
        <f t="shared" si="3"/>
        <v>74</v>
      </c>
      <c r="B74" s="354" t="s">
        <v>42</v>
      </c>
      <c r="C74" s="354" t="s">
        <v>164</v>
      </c>
      <c r="D74" s="354" t="s">
        <v>165</v>
      </c>
      <c r="E74" s="404" t="s">
        <v>166</v>
      </c>
      <c r="F74" s="405"/>
      <c r="G74" s="406" t="s">
        <v>198</v>
      </c>
      <c r="H74" s="399" t="s">
        <v>253</v>
      </c>
      <c r="I74" s="399" t="s">
        <v>124</v>
      </c>
      <c r="J74" s="399"/>
      <c r="K74" s="407"/>
      <c r="L74" s="408">
        <f t="shared" ref="L74:L92" si="7">SUM(M74:O74)</f>
        <v>0</v>
      </c>
      <c r="M74" s="409" t="s">
        <v>242</v>
      </c>
      <c r="N74" s="409"/>
      <c r="O74" s="409"/>
      <c r="P74" s="410">
        <f>IF(M74="nio",0,IF(M74&gt;0,M74*K74/S74,0))*VLOOKUP(B74,'2-Kosten per locatie'!$A$14:$C$61,3,FALSE)</f>
        <v>0</v>
      </c>
      <c r="Q74" s="410">
        <f>IF(N74&gt;0,N74*K74/T74,0)*VLOOKUP(B74,'2-Kosten per locatie'!$A$14:$C$61,3,FALSE)</f>
        <v>0</v>
      </c>
      <c r="R74" s="410">
        <f>IF(O74&gt;0,O74*K74/U74,0)*VLOOKUP(B74,'2-Kosten per locatie'!$A$14:$C$61,3,FALSE)</f>
        <v>0</v>
      </c>
      <c r="S74" s="411">
        <f>IF(M74="nio",0,IF(M74&gt;0,VLOOKUP(I74,'3-Productie normen'!A:P,VLOOKUP(M74,'3-Productie normen'!$B$38:$C$48,2,FALSE),FALSE)))</f>
        <v>0</v>
      </c>
      <c r="T74" s="411">
        <f t="shared" ref="T74:T137" si="8">IF(N74&gt;0,S74*$T$8,0)</f>
        <v>0</v>
      </c>
      <c r="U74" s="411">
        <f t="shared" si="5"/>
        <v>0</v>
      </c>
      <c r="V74" s="412"/>
      <c r="X74" s="413">
        <f t="shared" ref="X74:X137" si="9">L74*K74</f>
        <v>0</v>
      </c>
    </row>
    <row r="75" spans="1:24" ht="14.1" customHeight="1">
      <c r="A75" s="70">
        <f t="shared" ref="A75:A138" si="10">A74+1</f>
        <v>75</v>
      </c>
      <c r="B75" s="354" t="s">
        <v>42</v>
      </c>
      <c r="C75" s="354" t="s">
        <v>164</v>
      </c>
      <c r="D75" s="354" t="s">
        <v>165</v>
      </c>
      <c r="E75" s="404" t="s">
        <v>166</v>
      </c>
      <c r="F75" s="405"/>
      <c r="G75" s="406" t="s">
        <v>199</v>
      </c>
      <c r="H75" s="399" t="s">
        <v>172</v>
      </c>
      <c r="I75" s="399" t="s">
        <v>124</v>
      </c>
      <c r="J75" s="399"/>
      <c r="K75" s="407"/>
      <c r="L75" s="408">
        <f t="shared" si="7"/>
        <v>0</v>
      </c>
      <c r="M75" s="409" t="s">
        <v>242</v>
      </c>
      <c r="N75" s="409"/>
      <c r="O75" s="409"/>
      <c r="P75" s="410">
        <f>IF(M75="nio",0,IF(M75&gt;0,M75*K75/S75,0))*VLOOKUP(B75,'2-Kosten per locatie'!$A$14:$C$61,3,FALSE)</f>
        <v>0</v>
      </c>
      <c r="Q75" s="410">
        <f>IF(N75&gt;0,N75*K75/T75,0)*VLOOKUP(B75,'2-Kosten per locatie'!$A$14:$C$61,3,FALSE)</f>
        <v>0</v>
      </c>
      <c r="R75" s="410">
        <f>IF(O75&gt;0,O75*K75/U75,0)*VLOOKUP(B75,'2-Kosten per locatie'!$A$14:$C$61,3,FALSE)</f>
        <v>0</v>
      </c>
      <c r="S75" s="411">
        <f>IF(M75="nio",0,IF(M75&gt;0,VLOOKUP(I75,'3-Productie normen'!A:P,VLOOKUP(M75,'3-Productie normen'!$B$38:$C$48,2,FALSE),FALSE)))</f>
        <v>0</v>
      </c>
      <c r="T75" s="411">
        <f t="shared" si="8"/>
        <v>0</v>
      </c>
      <c r="U75" s="411">
        <f t="shared" si="5"/>
        <v>0</v>
      </c>
      <c r="V75" s="412"/>
      <c r="X75" s="413">
        <f t="shared" si="9"/>
        <v>0</v>
      </c>
    </row>
    <row r="76" spans="1:24" ht="14.1" customHeight="1">
      <c r="A76" s="70">
        <f t="shared" si="10"/>
        <v>76</v>
      </c>
      <c r="B76" s="354" t="s">
        <v>42</v>
      </c>
      <c r="C76" s="354" t="s">
        <v>164</v>
      </c>
      <c r="D76" s="354" t="s">
        <v>165</v>
      </c>
      <c r="E76" s="404" t="s">
        <v>166</v>
      </c>
      <c r="F76" s="405"/>
      <c r="G76" s="406" t="s">
        <v>202</v>
      </c>
      <c r="H76" s="399" t="s">
        <v>244</v>
      </c>
      <c r="I76" s="399" t="s">
        <v>124</v>
      </c>
      <c r="J76" s="399"/>
      <c r="K76" s="407"/>
      <c r="L76" s="408">
        <f t="shared" si="7"/>
        <v>0</v>
      </c>
      <c r="M76" s="409" t="s">
        <v>242</v>
      </c>
      <c r="N76" s="409"/>
      <c r="O76" s="409"/>
      <c r="P76" s="410">
        <f>IF(M76="nio",0,IF(M76&gt;0,M76*K76/S76,0))*VLOOKUP(B76,'2-Kosten per locatie'!$A$14:$C$61,3,FALSE)</f>
        <v>0</v>
      </c>
      <c r="Q76" s="410">
        <f>IF(N76&gt;0,N76*K76/T76,0)*VLOOKUP(B76,'2-Kosten per locatie'!$A$14:$C$61,3,FALSE)</f>
        <v>0</v>
      </c>
      <c r="R76" s="410">
        <f>IF(O76&gt;0,O76*K76/U76,0)*VLOOKUP(B76,'2-Kosten per locatie'!$A$14:$C$61,3,FALSE)</f>
        <v>0</v>
      </c>
      <c r="S76" s="411">
        <f>IF(M76="nio",0,IF(M76&gt;0,VLOOKUP(I76,'3-Productie normen'!A:P,VLOOKUP(M76,'3-Productie normen'!$B$38:$C$48,2,FALSE),FALSE)))</f>
        <v>0</v>
      </c>
      <c r="T76" s="411">
        <f t="shared" si="8"/>
        <v>0</v>
      </c>
      <c r="U76" s="411">
        <f t="shared" si="5"/>
        <v>0</v>
      </c>
      <c r="V76" s="412"/>
      <c r="X76" s="413">
        <f t="shared" si="9"/>
        <v>0</v>
      </c>
    </row>
    <row r="77" spans="1:24" ht="14.1" customHeight="1">
      <c r="A77" s="70">
        <f t="shared" si="10"/>
        <v>77</v>
      </c>
      <c r="B77" s="354" t="s">
        <v>42</v>
      </c>
      <c r="C77" s="354" t="s">
        <v>164</v>
      </c>
      <c r="D77" s="354" t="s">
        <v>165</v>
      </c>
      <c r="E77" s="404" t="s">
        <v>166</v>
      </c>
      <c r="F77" s="405"/>
      <c r="G77" s="406" t="s">
        <v>203</v>
      </c>
      <c r="H77" s="399" t="s">
        <v>254</v>
      </c>
      <c r="I77" s="399" t="s">
        <v>124</v>
      </c>
      <c r="J77" s="399"/>
      <c r="K77" s="407"/>
      <c r="L77" s="408">
        <f t="shared" si="7"/>
        <v>0</v>
      </c>
      <c r="M77" s="409" t="s">
        <v>242</v>
      </c>
      <c r="N77" s="409"/>
      <c r="O77" s="409"/>
      <c r="P77" s="410">
        <f>IF(M77="nio",0,IF(M77&gt;0,M77*K77/S77,0))*VLOOKUP(B77,'2-Kosten per locatie'!$A$14:$C$61,3,FALSE)</f>
        <v>0</v>
      </c>
      <c r="Q77" s="410">
        <f>IF(N77&gt;0,N77*K77/T77,0)*VLOOKUP(B77,'2-Kosten per locatie'!$A$14:$C$61,3,FALSE)</f>
        <v>0</v>
      </c>
      <c r="R77" s="410">
        <f>IF(O77&gt;0,O77*K77/U77,0)*VLOOKUP(B77,'2-Kosten per locatie'!$A$14:$C$61,3,FALSE)</f>
        <v>0</v>
      </c>
      <c r="S77" s="411">
        <f>IF(M77="nio",0,IF(M77&gt;0,VLOOKUP(I77,'3-Productie normen'!A:P,VLOOKUP(M77,'3-Productie normen'!$B$38:$C$48,2,FALSE),FALSE)))</f>
        <v>0</v>
      </c>
      <c r="T77" s="411">
        <f t="shared" si="8"/>
        <v>0</v>
      </c>
      <c r="U77" s="411">
        <f t="shared" si="5"/>
        <v>0</v>
      </c>
      <c r="V77" s="412"/>
      <c r="X77" s="413">
        <f t="shared" si="9"/>
        <v>0</v>
      </c>
    </row>
    <row r="78" spans="1:24" ht="14.1" customHeight="1">
      <c r="A78" s="70">
        <f t="shared" si="10"/>
        <v>78</v>
      </c>
      <c r="B78" s="354" t="s">
        <v>42</v>
      </c>
      <c r="C78" s="354" t="s">
        <v>164</v>
      </c>
      <c r="D78" s="354" t="s">
        <v>165</v>
      </c>
      <c r="E78" s="404" t="s">
        <v>166</v>
      </c>
      <c r="F78" s="405"/>
      <c r="G78" s="406" t="s">
        <v>204</v>
      </c>
      <c r="H78" s="399" t="s">
        <v>243</v>
      </c>
      <c r="I78" s="399" t="s">
        <v>116</v>
      </c>
      <c r="J78" s="399" t="s">
        <v>255</v>
      </c>
      <c r="K78" s="407">
        <v>7</v>
      </c>
      <c r="L78" s="408">
        <f t="shared" si="7"/>
        <v>230</v>
      </c>
      <c r="M78" s="409">
        <v>230</v>
      </c>
      <c r="N78" s="409"/>
      <c r="O78" s="409"/>
      <c r="P78" s="410" t="e">
        <f>IF(M78="nio",0,IF(M78&gt;0,M78*K78/S78,0))*VLOOKUP(B78,'2-Kosten per locatie'!$A$14:$C$61,3,FALSE)</f>
        <v>#DIV/0!</v>
      </c>
      <c r="Q78" s="410">
        <f>IF(N78&gt;0,N78*K78/T78,0)*VLOOKUP(B78,'2-Kosten per locatie'!$A$14:$C$61,3,FALSE)</f>
        <v>0</v>
      </c>
      <c r="R78" s="410">
        <f>IF(O78&gt;0,O78*K78/U78,0)*VLOOKUP(B78,'2-Kosten per locatie'!$A$14:$C$61,3,FALSE)</f>
        <v>0</v>
      </c>
      <c r="S78" s="411">
        <f>IF(M78="nio",0,IF(M78&gt;0,VLOOKUP(I78,'3-Productie normen'!A:P,VLOOKUP(M78,'3-Productie normen'!$B$38:$C$48,2,FALSE),FALSE)))</f>
        <v>0</v>
      </c>
      <c r="T78" s="411">
        <f t="shared" si="8"/>
        <v>0</v>
      </c>
      <c r="U78" s="411">
        <f t="shared" ref="U78:U141" si="11">IF(OR(O78&gt;0),S78*$U$8,0)</f>
        <v>0</v>
      </c>
      <c r="V78" s="412"/>
      <c r="X78" s="413">
        <f t="shared" si="9"/>
        <v>1610</v>
      </c>
    </row>
    <row r="79" spans="1:24" ht="14.1" customHeight="1">
      <c r="A79" s="70">
        <f t="shared" si="10"/>
        <v>79</v>
      </c>
      <c r="B79" s="354" t="s">
        <v>42</v>
      </c>
      <c r="C79" s="354" t="s">
        <v>164</v>
      </c>
      <c r="D79" s="354" t="s">
        <v>165</v>
      </c>
      <c r="E79" s="404" t="s">
        <v>166</v>
      </c>
      <c r="F79" s="405"/>
      <c r="G79" s="406" t="s">
        <v>205</v>
      </c>
      <c r="H79" s="399" t="s">
        <v>256</v>
      </c>
      <c r="I79" s="399" t="s">
        <v>124</v>
      </c>
      <c r="J79" s="399"/>
      <c r="K79" s="407"/>
      <c r="L79" s="408">
        <f t="shared" si="7"/>
        <v>0</v>
      </c>
      <c r="M79" s="409" t="s">
        <v>242</v>
      </c>
      <c r="N79" s="409"/>
      <c r="O79" s="409"/>
      <c r="P79" s="410">
        <f>IF(M79="nio",0,IF(M79&gt;0,M79*K79/S79,0))*VLOOKUP(B79,'2-Kosten per locatie'!$A$14:$C$61,3,FALSE)</f>
        <v>0</v>
      </c>
      <c r="Q79" s="410">
        <f>IF(N79&gt;0,N79*K79/T79,0)*VLOOKUP(B79,'2-Kosten per locatie'!$A$14:$C$61,3,FALSE)</f>
        <v>0</v>
      </c>
      <c r="R79" s="410">
        <f>IF(O79&gt;0,O79*K79/U79,0)*VLOOKUP(B79,'2-Kosten per locatie'!$A$14:$C$61,3,FALSE)</f>
        <v>0</v>
      </c>
      <c r="S79" s="411">
        <f>IF(M79="nio",0,IF(M79&gt;0,VLOOKUP(I79,'3-Productie normen'!A:P,VLOOKUP(M79,'3-Productie normen'!$B$38:$C$48,2,FALSE),FALSE)))</f>
        <v>0</v>
      </c>
      <c r="T79" s="411">
        <f t="shared" si="8"/>
        <v>0</v>
      </c>
      <c r="U79" s="411">
        <f t="shared" si="11"/>
        <v>0</v>
      </c>
      <c r="V79" s="412"/>
      <c r="X79" s="413">
        <f t="shared" si="9"/>
        <v>0</v>
      </c>
    </row>
    <row r="80" spans="1:24" ht="14.1" customHeight="1">
      <c r="A80" s="70">
        <f t="shared" si="10"/>
        <v>80</v>
      </c>
      <c r="B80" s="354" t="s">
        <v>42</v>
      </c>
      <c r="C80" s="354" t="s">
        <v>164</v>
      </c>
      <c r="D80" s="354" t="s">
        <v>165</v>
      </c>
      <c r="E80" s="404" t="s">
        <v>166</v>
      </c>
      <c r="F80" s="405"/>
      <c r="G80" s="406" t="s">
        <v>257</v>
      </c>
      <c r="H80" s="399" t="s">
        <v>172</v>
      </c>
      <c r="I80" s="399" t="s">
        <v>105</v>
      </c>
      <c r="J80" s="399" t="s">
        <v>218</v>
      </c>
      <c r="K80" s="407">
        <v>18.5</v>
      </c>
      <c r="L80" s="408">
        <f t="shared" si="7"/>
        <v>230</v>
      </c>
      <c r="M80" s="409">
        <v>230</v>
      </c>
      <c r="N80" s="409"/>
      <c r="O80" s="409"/>
      <c r="P80" s="410" t="e">
        <f>IF(M80="nio",0,IF(M80&gt;0,M80*K80/S80,0))*VLOOKUP(B80,'2-Kosten per locatie'!$A$14:$C$61,3,FALSE)</f>
        <v>#DIV/0!</v>
      </c>
      <c r="Q80" s="410">
        <f>IF(N80&gt;0,N80*K80/T80,0)*VLOOKUP(B80,'2-Kosten per locatie'!$A$14:$C$61,3,FALSE)</f>
        <v>0</v>
      </c>
      <c r="R80" s="410">
        <f>IF(O80&gt;0,O80*K80/U80,0)*VLOOKUP(B80,'2-Kosten per locatie'!$A$14:$C$61,3,FALSE)</f>
        <v>0</v>
      </c>
      <c r="S80" s="411">
        <f>IF(M80="nio",0,IF(M80&gt;0,VLOOKUP(I80,'3-Productie normen'!A:P,VLOOKUP(M80,'3-Productie normen'!$B$38:$C$48,2,FALSE),FALSE)))</f>
        <v>0</v>
      </c>
      <c r="T80" s="411">
        <f t="shared" si="8"/>
        <v>0</v>
      </c>
      <c r="U80" s="411">
        <f t="shared" si="11"/>
        <v>0</v>
      </c>
      <c r="V80" s="412"/>
      <c r="X80" s="413">
        <f t="shared" si="9"/>
        <v>4255</v>
      </c>
    </row>
    <row r="81" spans="1:24" ht="14.1" customHeight="1">
      <c r="A81" s="70">
        <f t="shared" si="10"/>
        <v>81</v>
      </c>
      <c r="B81" s="354" t="s">
        <v>42</v>
      </c>
      <c r="C81" s="354" t="s">
        <v>164</v>
      </c>
      <c r="D81" s="354" t="s">
        <v>165</v>
      </c>
      <c r="E81" s="404" t="s">
        <v>166</v>
      </c>
      <c r="F81" s="405"/>
      <c r="G81" s="406" t="s">
        <v>258</v>
      </c>
      <c r="H81" s="399" t="s">
        <v>172</v>
      </c>
      <c r="I81" s="399" t="s">
        <v>105</v>
      </c>
      <c r="J81" s="399" t="s">
        <v>218</v>
      </c>
      <c r="K81" s="407">
        <v>14.1</v>
      </c>
      <c r="L81" s="408">
        <f t="shared" si="7"/>
        <v>230</v>
      </c>
      <c r="M81" s="409">
        <v>230</v>
      </c>
      <c r="N81" s="409"/>
      <c r="O81" s="409"/>
      <c r="P81" s="410" t="e">
        <f>IF(M81="nio",0,IF(M81&gt;0,M81*K81/S81,0))*VLOOKUP(B81,'2-Kosten per locatie'!$A$14:$C$61,3,FALSE)</f>
        <v>#DIV/0!</v>
      </c>
      <c r="Q81" s="410">
        <f>IF(N81&gt;0,N81*K81/T81,0)*VLOOKUP(B81,'2-Kosten per locatie'!$A$14:$C$61,3,FALSE)</f>
        <v>0</v>
      </c>
      <c r="R81" s="410">
        <f>IF(O81&gt;0,O81*K81/U81,0)*VLOOKUP(B81,'2-Kosten per locatie'!$A$14:$C$61,3,FALSE)</f>
        <v>0</v>
      </c>
      <c r="S81" s="411">
        <f>IF(M81="nio",0,IF(M81&gt;0,VLOOKUP(I81,'3-Productie normen'!A:P,VLOOKUP(M81,'3-Productie normen'!$B$38:$C$48,2,FALSE),FALSE)))</f>
        <v>0</v>
      </c>
      <c r="T81" s="411">
        <f t="shared" si="8"/>
        <v>0</v>
      </c>
      <c r="U81" s="411">
        <f t="shared" si="11"/>
        <v>0</v>
      </c>
      <c r="V81" s="412"/>
      <c r="X81" s="413">
        <f t="shared" si="9"/>
        <v>3243</v>
      </c>
    </row>
    <row r="82" spans="1:24" ht="14.1" customHeight="1">
      <c r="A82" s="70">
        <f t="shared" si="10"/>
        <v>82</v>
      </c>
      <c r="B82" s="354" t="s">
        <v>42</v>
      </c>
      <c r="C82" s="354" t="s">
        <v>164</v>
      </c>
      <c r="D82" s="354" t="s">
        <v>165</v>
      </c>
      <c r="E82" s="404" t="s">
        <v>166</v>
      </c>
      <c r="F82" s="405"/>
      <c r="G82" s="406" t="s">
        <v>259</v>
      </c>
      <c r="H82" s="399" t="s">
        <v>172</v>
      </c>
      <c r="I82" s="399" t="s">
        <v>105</v>
      </c>
      <c r="J82" s="399" t="s">
        <v>218</v>
      </c>
      <c r="K82" s="407">
        <v>13.3</v>
      </c>
      <c r="L82" s="408">
        <f t="shared" si="7"/>
        <v>230</v>
      </c>
      <c r="M82" s="409">
        <v>230</v>
      </c>
      <c r="N82" s="409"/>
      <c r="O82" s="409"/>
      <c r="P82" s="410" t="e">
        <f>IF(M82="nio",0,IF(M82&gt;0,M82*K82/S82,0))*VLOOKUP(B82,'2-Kosten per locatie'!$A$14:$C$61,3,FALSE)</f>
        <v>#DIV/0!</v>
      </c>
      <c r="Q82" s="410">
        <f>IF(N82&gt;0,N82*K82/T82,0)*VLOOKUP(B82,'2-Kosten per locatie'!$A$14:$C$61,3,FALSE)</f>
        <v>0</v>
      </c>
      <c r="R82" s="410">
        <f>IF(O82&gt;0,O82*K82/U82,0)*VLOOKUP(B82,'2-Kosten per locatie'!$A$14:$C$61,3,FALSE)</f>
        <v>0</v>
      </c>
      <c r="S82" s="411">
        <f>IF(M82="nio",0,IF(M82&gt;0,VLOOKUP(I82,'3-Productie normen'!A:P,VLOOKUP(M82,'3-Productie normen'!$B$38:$C$48,2,FALSE),FALSE)))</f>
        <v>0</v>
      </c>
      <c r="T82" s="411">
        <f t="shared" si="8"/>
        <v>0</v>
      </c>
      <c r="U82" s="411">
        <f t="shared" si="11"/>
        <v>0</v>
      </c>
      <c r="V82" s="412"/>
      <c r="X82" s="413">
        <f t="shared" si="9"/>
        <v>3059</v>
      </c>
    </row>
    <row r="83" spans="1:24" ht="14.1" customHeight="1">
      <c r="A83" s="70">
        <f t="shared" si="10"/>
        <v>83</v>
      </c>
      <c r="B83" s="354" t="s">
        <v>42</v>
      </c>
      <c r="C83" s="354" t="s">
        <v>164</v>
      </c>
      <c r="D83" s="354" t="s">
        <v>165</v>
      </c>
      <c r="E83" s="404" t="s">
        <v>166</v>
      </c>
      <c r="F83" s="405"/>
      <c r="G83" s="406" t="s">
        <v>260</v>
      </c>
      <c r="H83" s="399" t="s">
        <v>172</v>
      </c>
      <c r="I83" s="399" t="s">
        <v>105</v>
      </c>
      <c r="J83" s="399" t="s">
        <v>218</v>
      </c>
      <c r="K83" s="407">
        <v>12.7</v>
      </c>
      <c r="L83" s="408">
        <f t="shared" si="7"/>
        <v>230</v>
      </c>
      <c r="M83" s="409">
        <v>230</v>
      </c>
      <c r="N83" s="409"/>
      <c r="O83" s="409"/>
      <c r="P83" s="410" t="e">
        <f>IF(M83="nio",0,IF(M83&gt;0,M83*K83/S83,0))*VLOOKUP(B83,'2-Kosten per locatie'!$A$14:$C$61,3,FALSE)</f>
        <v>#DIV/0!</v>
      </c>
      <c r="Q83" s="410">
        <f>IF(N83&gt;0,N83*K83/T83,0)*VLOOKUP(B83,'2-Kosten per locatie'!$A$14:$C$61,3,FALSE)</f>
        <v>0</v>
      </c>
      <c r="R83" s="410">
        <f>IF(O83&gt;0,O83*K83/U83,0)*VLOOKUP(B83,'2-Kosten per locatie'!$A$14:$C$61,3,FALSE)</f>
        <v>0</v>
      </c>
      <c r="S83" s="411">
        <f>IF(M83="nio",0,IF(M83&gt;0,VLOOKUP(I83,'3-Productie normen'!A:P,VLOOKUP(M83,'3-Productie normen'!$B$38:$C$48,2,FALSE),FALSE)))</f>
        <v>0</v>
      </c>
      <c r="T83" s="411">
        <f t="shared" si="8"/>
        <v>0</v>
      </c>
      <c r="U83" s="411">
        <f t="shared" si="11"/>
        <v>0</v>
      </c>
      <c r="V83" s="412"/>
      <c r="X83" s="413">
        <f t="shared" si="9"/>
        <v>2921</v>
      </c>
    </row>
    <row r="84" spans="1:24" ht="14.1" customHeight="1">
      <c r="A84" s="70">
        <f t="shared" si="10"/>
        <v>84</v>
      </c>
      <c r="B84" s="354" t="s">
        <v>42</v>
      </c>
      <c r="C84" s="354" t="s">
        <v>164</v>
      </c>
      <c r="D84" s="354" t="s">
        <v>165</v>
      </c>
      <c r="E84" s="404" t="s">
        <v>166</v>
      </c>
      <c r="F84" s="405"/>
      <c r="G84" s="406" t="s">
        <v>261</v>
      </c>
      <c r="H84" s="399" t="s">
        <v>172</v>
      </c>
      <c r="I84" s="399" t="s">
        <v>105</v>
      </c>
      <c r="J84" s="399" t="s">
        <v>218</v>
      </c>
      <c r="K84" s="407">
        <v>11.5</v>
      </c>
      <c r="L84" s="408">
        <f t="shared" si="7"/>
        <v>230</v>
      </c>
      <c r="M84" s="409">
        <v>230</v>
      </c>
      <c r="N84" s="409"/>
      <c r="O84" s="409"/>
      <c r="P84" s="410" t="e">
        <f>IF(M84="nio",0,IF(M84&gt;0,M84*K84/S84,0))*VLOOKUP(B84,'2-Kosten per locatie'!$A$14:$C$61,3,FALSE)</f>
        <v>#DIV/0!</v>
      </c>
      <c r="Q84" s="410">
        <f>IF(N84&gt;0,N84*K84/T84,0)*VLOOKUP(B84,'2-Kosten per locatie'!$A$14:$C$61,3,FALSE)</f>
        <v>0</v>
      </c>
      <c r="R84" s="410">
        <f>IF(O84&gt;0,O84*K84/U84,0)*VLOOKUP(B84,'2-Kosten per locatie'!$A$14:$C$61,3,FALSE)</f>
        <v>0</v>
      </c>
      <c r="S84" s="411">
        <f>IF(M84="nio",0,IF(M84&gt;0,VLOOKUP(I84,'3-Productie normen'!A:P,VLOOKUP(M84,'3-Productie normen'!$B$38:$C$48,2,FALSE),FALSE)))</f>
        <v>0</v>
      </c>
      <c r="T84" s="411">
        <f t="shared" si="8"/>
        <v>0</v>
      </c>
      <c r="U84" s="411">
        <f t="shared" si="11"/>
        <v>0</v>
      </c>
      <c r="V84" s="412"/>
      <c r="X84" s="413">
        <f t="shared" si="9"/>
        <v>2645</v>
      </c>
    </row>
    <row r="85" spans="1:24" ht="14.1" customHeight="1">
      <c r="A85" s="70">
        <f t="shared" si="10"/>
        <v>85</v>
      </c>
      <c r="B85" s="354" t="s">
        <v>42</v>
      </c>
      <c r="C85" s="354" t="s">
        <v>164</v>
      </c>
      <c r="D85" s="354" t="s">
        <v>165</v>
      </c>
      <c r="E85" s="404" t="s">
        <v>166</v>
      </c>
      <c r="F85" s="405"/>
      <c r="G85" s="406" t="s">
        <v>262</v>
      </c>
      <c r="H85" s="399" t="s">
        <v>172</v>
      </c>
      <c r="I85" s="399" t="s">
        <v>105</v>
      </c>
      <c r="J85" s="399" t="s">
        <v>218</v>
      </c>
      <c r="K85" s="407">
        <v>28.4</v>
      </c>
      <c r="L85" s="408">
        <f t="shared" si="7"/>
        <v>230</v>
      </c>
      <c r="M85" s="409">
        <v>230</v>
      </c>
      <c r="N85" s="409"/>
      <c r="O85" s="409"/>
      <c r="P85" s="410" t="e">
        <f>IF(M85="nio",0,IF(M85&gt;0,M85*K85/S85,0))*VLOOKUP(B85,'2-Kosten per locatie'!$A$14:$C$61,3,FALSE)</f>
        <v>#DIV/0!</v>
      </c>
      <c r="Q85" s="410">
        <f>IF(N85&gt;0,N85*K85/T85,0)*VLOOKUP(B85,'2-Kosten per locatie'!$A$14:$C$61,3,FALSE)</f>
        <v>0</v>
      </c>
      <c r="R85" s="410">
        <f>IF(O85&gt;0,O85*K85/U85,0)*VLOOKUP(B85,'2-Kosten per locatie'!$A$14:$C$61,3,FALSE)</f>
        <v>0</v>
      </c>
      <c r="S85" s="411">
        <f>IF(M85="nio",0,IF(M85&gt;0,VLOOKUP(I85,'3-Productie normen'!A:P,VLOOKUP(M85,'3-Productie normen'!$B$38:$C$48,2,FALSE),FALSE)))</f>
        <v>0</v>
      </c>
      <c r="T85" s="411">
        <f t="shared" si="8"/>
        <v>0</v>
      </c>
      <c r="U85" s="411">
        <f t="shared" si="11"/>
        <v>0</v>
      </c>
      <c r="V85" s="412"/>
      <c r="X85" s="413">
        <f t="shared" si="9"/>
        <v>6532</v>
      </c>
    </row>
    <row r="86" spans="1:24" ht="14.1" customHeight="1">
      <c r="A86" s="70">
        <f t="shared" si="10"/>
        <v>86</v>
      </c>
      <c r="B86" s="354" t="s">
        <v>42</v>
      </c>
      <c r="C86" s="354" t="s">
        <v>164</v>
      </c>
      <c r="D86" s="354" t="s">
        <v>165</v>
      </c>
      <c r="E86" s="404" t="s">
        <v>166</v>
      </c>
      <c r="F86" s="405"/>
      <c r="G86" s="406" t="s">
        <v>263</v>
      </c>
      <c r="H86" s="399" t="s">
        <v>172</v>
      </c>
      <c r="I86" s="399" t="s">
        <v>105</v>
      </c>
      <c r="J86" s="399" t="s">
        <v>218</v>
      </c>
      <c r="K86" s="407">
        <v>21.4</v>
      </c>
      <c r="L86" s="408">
        <f t="shared" si="7"/>
        <v>230</v>
      </c>
      <c r="M86" s="409">
        <v>230</v>
      </c>
      <c r="N86" s="409"/>
      <c r="O86" s="409"/>
      <c r="P86" s="410" t="e">
        <f>IF(M86="nio",0,IF(M86&gt;0,M86*K86/S86,0))*VLOOKUP(B86,'2-Kosten per locatie'!$A$14:$C$61,3,FALSE)</f>
        <v>#DIV/0!</v>
      </c>
      <c r="Q86" s="410">
        <f>IF(N86&gt;0,N86*K86/T86,0)*VLOOKUP(B86,'2-Kosten per locatie'!$A$14:$C$61,3,FALSE)</f>
        <v>0</v>
      </c>
      <c r="R86" s="410">
        <f>IF(O86&gt;0,O86*K86/U86,0)*VLOOKUP(B86,'2-Kosten per locatie'!$A$14:$C$61,3,FALSE)</f>
        <v>0</v>
      </c>
      <c r="S86" s="411">
        <f>IF(M86="nio",0,IF(M86&gt;0,VLOOKUP(I86,'3-Productie normen'!A:P,VLOOKUP(M86,'3-Productie normen'!$B$38:$C$48,2,FALSE),FALSE)))</f>
        <v>0</v>
      </c>
      <c r="T86" s="411">
        <f t="shared" si="8"/>
        <v>0</v>
      </c>
      <c r="U86" s="411">
        <f t="shared" si="11"/>
        <v>0</v>
      </c>
      <c r="V86" s="412"/>
      <c r="X86" s="413">
        <f t="shared" si="9"/>
        <v>4922</v>
      </c>
    </row>
    <row r="87" spans="1:24" ht="14.1" customHeight="1">
      <c r="A87" s="70">
        <f t="shared" si="10"/>
        <v>87</v>
      </c>
      <c r="B87" s="354" t="s">
        <v>42</v>
      </c>
      <c r="C87" s="354" t="s">
        <v>164</v>
      </c>
      <c r="D87" s="354" t="s">
        <v>165</v>
      </c>
      <c r="E87" s="404" t="s">
        <v>166</v>
      </c>
      <c r="F87" s="405"/>
      <c r="G87" s="406" t="s">
        <v>264</v>
      </c>
      <c r="H87" s="399" t="s">
        <v>220</v>
      </c>
      <c r="I87" s="399" t="s">
        <v>108</v>
      </c>
      <c r="J87" s="399" t="s">
        <v>218</v>
      </c>
      <c r="K87" s="407">
        <v>33.700000000000003</v>
      </c>
      <c r="L87" s="408">
        <f t="shared" si="7"/>
        <v>230</v>
      </c>
      <c r="M87" s="409">
        <v>230</v>
      </c>
      <c r="N87" s="409"/>
      <c r="O87" s="409"/>
      <c r="P87" s="410" t="e">
        <f>IF(M87="nio",0,IF(M87&gt;0,M87*K87/S87,0))*VLOOKUP(B87,'2-Kosten per locatie'!$A$14:$C$61,3,FALSE)</f>
        <v>#DIV/0!</v>
      </c>
      <c r="Q87" s="410">
        <f>IF(N87&gt;0,N87*K87/T87,0)*VLOOKUP(B87,'2-Kosten per locatie'!$A$14:$C$61,3,FALSE)</f>
        <v>0</v>
      </c>
      <c r="R87" s="410">
        <f>IF(O87&gt;0,O87*K87/U87,0)*VLOOKUP(B87,'2-Kosten per locatie'!$A$14:$C$61,3,FALSE)</f>
        <v>0</v>
      </c>
      <c r="S87" s="411">
        <f>IF(M87="nio",0,IF(M87&gt;0,VLOOKUP(I87,'3-Productie normen'!A:P,VLOOKUP(M87,'3-Productie normen'!$B$38:$C$48,2,FALSE),FALSE)))</f>
        <v>0</v>
      </c>
      <c r="T87" s="411">
        <f t="shared" si="8"/>
        <v>0</v>
      </c>
      <c r="U87" s="411">
        <f t="shared" si="11"/>
        <v>0</v>
      </c>
      <c r="V87" s="412"/>
      <c r="X87" s="413">
        <f t="shared" si="9"/>
        <v>7751.0000000000009</v>
      </c>
    </row>
    <row r="88" spans="1:24" ht="14.1" customHeight="1">
      <c r="A88" s="70">
        <f t="shared" si="10"/>
        <v>88</v>
      </c>
      <c r="B88" s="354" t="s">
        <v>42</v>
      </c>
      <c r="C88" s="354" t="s">
        <v>164</v>
      </c>
      <c r="D88" s="354" t="s">
        <v>165</v>
      </c>
      <c r="E88" s="404" t="s">
        <v>166</v>
      </c>
      <c r="F88" s="405"/>
      <c r="G88" s="406" t="s">
        <v>265</v>
      </c>
      <c r="H88" s="399" t="s">
        <v>220</v>
      </c>
      <c r="I88" s="399" t="s">
        <v>108</v>
      </c>
      <c r="J88" s="399" t="s">
        <v>218</v>
      </c>
      <c r="K88" s="407">
        <v>2.5</v>
      </c>
      <c r="L88" s="408">
        <f t="shared" si="7"/>
        <v>230</v>
      </c>
      <c r="M88" s="409">
        <v>230</v>
      </c>
      <c r="N88" s="409"/>
      <c r="O88" s="409"/>
      <c r="P88" s="410" t="e">
        <f>IF(M88="nio",0,IF(M88&gt;0,M88*K88/S88,0))*VLOOKUP(B88,'2-Kosten per locatie'!$A$14:$C$61,3,FALSE)</f>
        <v>#DIV/0!</v>
      </c>
      <c r="Q88" s="410">
        <f>IF(N88&gt;0,N88*K88/T88,0)*VLOOKUP(B88,'2-Kosten per locatie'!$A$14:$C$61,3,FALSE)</f>
        <v>0</v>
      </c>
      <c r="R88" s="410">
        <f>IF(O88&gt;0,O88*K88/U88,0)*VLOOKUP(B88,'2-Kosten per locatie'!$A$14:$C$61,3,FALSE)</f>
        <v>0</v>
      </c>
      <c r="S88" s="411">
        <f>IF(M88="nio",0,IF(M88&gt;0,VLOOKUP(I88,'3-Productie normen'!A:P,VLOOKUP(M88,'3-Productie normen'!$B$38:$C$48,2,FALSE),FALSE)))</f>
        <v>0</v>
      </c>
      <c r="T88" s="411">
        <f t="shared" si="8"/>
        <v>0</v>
      </c>
      <c r="U88" s="411">
        <f t="shared" si="11"/>
        <v>0</v>
      </c>
      <c r="V88" s="412"/>
      <c r="X88" s="413">
        <f t="shared" si="9"/>
        <v>575</v>
      </c>
    </row>
    <row r="89" spans="1:24" ht="14.1" customHeight="1">
      <c r="A89" s="70">
        <f t="shared" si="10"/>
        <v>89</v>
      </c>
      <c r="B89" s="354" t="s">
        <v>42</v>
      </c>
      <c r="C89" s="354" t="s">
        <v>164</v>
      </c>
      <c r="D89" s="354" t="s">
        <v>165</v>
      </c>
      <c r="E89" s="404" t="s">
        <v>166</v>
      </c>
      <c r="F89" s="405"/>
      <c r="G89" s="406" t="s">
        <v>266</v>
      </c>
      <c r="H89" s="399" t="s">
        <v>267</v>
      </c>
      <c r="I89" s="399" t="s">
        <v>124</v>
      </c>
      <c r="J89" s="399"/>
      <c r="K89" s="407">
        <v>2.5</v>
      </c>
      <c r="L89" s="408">
        <f t="shared" si="7"/>
        <v>0</v>
      </c>
      <c r="M89" s="409" t="s">
        <v>242</v>
      </c>
      <c r="N89" s="409"/>
      <c r="O89" s="409"/>
      <c r="P89" s="410">
        <f>IF(M89="nio",0,IF(M89&gt;0,M89*K89/S89,0))*VLOOKUP(B89,'2-Kosten per locatie'!$A$14:$C$61,3,FALSE)</f>
        <v>0</v>
      </c>
      <c r="Q89" s="410">
        <f>IF(N89&gt;0,N89*K89/T89,0)*VLOOKUP(B89,'2-Kosten per locatie'!$A$14:$C$61,3,FALSE)</f>
        <v>0</v>
      </c>
      <c r="R89" s="410">
        <f>IF(O89&gt;0,O89*K89/U89,0)*VLOOKUP(B89,'2-Kosten per locatie'!$A$14:$C$61,3,FALSE)</f>
        <v>0</v>
      </c>
      <c r="S89" s="411">
        <f>IF(M89="nio",0,IF(M89&gt;0,VLOOKUP(I89,'3-Productie normen'!A:P,VLOOKUP(M89,'3-Productie normen'!$B$38:$C$48,2,FALSE),FALSE)))</f>
        <v>0</v>
      </c>
      <c r="T89" s="411">
        <f t="shared" si="8"/>
        <v>0</v>
      </c>
      <c r="U89" s="411">
        <f t="shared" si="11"/>
        <v>0</v>
      </c>
      <c r="V89" s="412"/>
      <c r="X89" s="413">
        <f t="shared" si="9"/>
        <v>0</v>
      </c>
    </row>
    <row r="90" spans="1:24" ht="14.1" customHeight="1">
      <c r="A90" s="70">
        <f t="shared" si="10"/>
        <v>90</v>
      </c>
      <c r="B90" s="354" t="s">
        <v>42</v>
      </c>
      <c r="C90" s="354" t="s">
        <v>164</v>
      </c>
      <c r="D90" s="354" t="s">
        <v>165</v>
      </c>
      <c r="E90" s="404" t="s">
        <v>166</v>
      </c>
      <c r="F90" s="405"/>
      <c r="G90" s="406" t="s">
        <v>268</v>
      </c>
      <c r="H90" s="399" t="s">
        <v>254</v>
      </c>
      <c r="I90" s="399" t="s">
        <v>108</v>
      </c>
      <c r="J90" s="399" t="s">
        <v>192</v>
      </c>
      <c r="K90" s="407">
        <v>5</v>
      </c>
      <c r="L90" s="408">
        <f t="shared" si="7"/>
        <v>230</v>
      </c>
      <c r="M90" s="409">
        <v>230</v>
      </c>
      <c r="N90" s="409"/>
      <c r="O90" s="409"/>
      <c r="P90" s="410" t="e">
        <f>IF(M90="nio",0,IF(M90&gt;0,M90*K90/S90,0))*VLOOKUP(B90,'2-Kosten per locatie'!$A$14:$C$61,3,FALSE)</f>
        <v>#DIV/0!</v>
      </c>
      <c r="Q90" s="410">
        <f>IF(N90&gt;0,N90*K90/T90,0)*VLOOKUP(B90,'2-Kosten per locatie'!$A$14:$C$61,3,FALSE)</f>
        <v>0</v>
      </c>
      <c r="R90" s="410">
        <f>IF(O90&gt;0,O90*K90/U90,0)*VLOOKUP(B90,'2-Kosten per locatie'!$A$14:$C$61,3,FALSE)</f>
        <v>0</v>
      </c>
      <c r="S90" s="411">
        <f>IF(M90="nio",0,IF(M90&gt;0,VLOOKUP(I90,'3-Productie normen'!A:P,VLOOKUP(M90,'3-Productie normen'!$B$38:$C$48,2,FALSE),FALSE)))</f>
        <v>0</v>
      </c>
      <c r="T90" s="411">
        <f t="shared" si="8"/>
        <v>0</v>
      </c>
      <c r="U90" s="411">
        <f t="shared" si="11"/>
        <v>0</v>
      </c>
      <c r="V90" s="412"/>
      <c r="X90" s="413">
        <f t="shared" si="9"/>
        <v>1150</v>
      </c>
    </row>
    <row r="91" spans="1:24" ht="14.1" customHeight="1">
      <c r="A91" s="70">
        <f t="shared" si="10"/>
        <v>91</v>
      </c>
      <c r="B91" s="354" t="s">
        <v>42</v>
      </c>
      <c r="C91" s="354" t="s">
        <v>164</v>
      </c>
      <c r="D91" s="354" t="s">
        <v>165</v>
      </c>
      <c r="E91" s="404" t="s">
        <v>166</v>
      </c>
      <c r="F91" s="405"/>
      <c r="G91" s="406" t="s">
        <v>269</v>
      </c>
      <c r="H91" s="399" t="s">
        <v>195</v>
      </c>
      <c r="I91" s="399" t="s">
        <v>121</v>
      </c>
      <c r="J91" s="399" t="s">
        <v>192</v>
      </c>
      <c r="K91" s="407">
        <v>5</v>
      </c>
      <c r="L91" s="408">
        <f t="shared" si="7"/>
        <v>230</v>
      </c>
      <c r="M91" s="409">
        <v>230</v>
      </c>
      <c r="N91" s="409"/>
      <c r="O91" s="409"/>
      <c r="P91" s="410" t="e">
        <f>IF(M91="nio",0,IF(M91&gt;0,M91*K91/S91,0))*VLOOKUP(B91,'2-Kosten per locatie'!$A$14:$C$61,3,FALSE)</f>
        <v>#DIV/0!</v>
      </c>
      <c r="Q91" s="410">
        <f>IF(N91&gt;0,N91*K91/T91,0)*VLOOKUP(B91,'2-Kosten per locatie'!$A$14:$C$61,3,FALSE)</f>
        <v>0</v>
      </c>
      <c r="R91" s="410">
        <f>IF(O91&gt;0,O91*K91/U91,0)*VLOOKUP(B91,'2-Kosten per locatie'!$A$14:$C$61,3,FALSE)</f>
        <v>0</v>
      </c>
      <c r="S91" s="411">
        <f>IF(M91="nio",0,IF(M91&gt;0,VLOOKUP(I91,'3-Productie normen'!A:P,VLOOKUP(M91,'3-Productie normen'!$B$38:$C$48,2,FALSE),FALSE)))</f>
        <v>0</v>
      </c>
      <c r="T91" s="411">
        <f t="shared" si="8"/>
        <v>0</v>
      </c>
      <c r="U91" s="411">
        <f t="shared" si="11"/>
        <v>0</v>
      </c>
      <c r="V91" s="412"/>
      <c r="X91" s="413">
        <f t="shared" si="9"/>
        <v>1150</v>
      </c>
    </row>
    <row r="92" spans="1:24" ht="14.1" customHeight="1">
      <c r="A92" s="70">
        <f t="shared" si="10"/>
        <v>92</v>
      </c>
      <c r="B92" s="354" t="s">
        <v>42</v>
      </c>
      <c r="C92" s="354" t="s">
        <v>164</v>
      </c>
      <c r="D92" s="354" t="s">
        <v>165</v>
      </c>
      <c r="E92" s="404" t="s">
        <v>166</v>
      </c>
      <c r="F92" s="405"/>
      <c r="G92" s="406" t="s">
        <v>270</v>
      </c>
      <c r="H92" s="399" t="s">
        <v>256</v>
      </c>
      <c r="I92" s="399" t="s">
        <v>124</v>
      </c>
      <c r="J92" s="399"/>
      <c r="K92" s="407"/>
      <c r="L92" s="408">
        <f t="shared" si="7"/>
        <v>0</v>
      </c>
      <c r="M92" s="409" t="s">
        <v>242</v>
      </c>
      <c r="N92" s="409"/>
      <c r="O92" s="409"/>
      <c r="P92" s="410">
        <f>IF(M92="nio",0,IF(M92&gt;0,M92*K92/S92,0))*VLOOKUP(B92,'2-Kosten per locatie'!$A$14:$C$61,3,FALSE)</f>
        <v>0</v>
      </c>
      <c r="Q92" s="410">
        <f>IF(N92&gt;0,N92*K92/T92,0)*VLOOKUP(B92,'2-Kosten per locatie'!$A$14:$C$61,3,FALSE)</f>
        <v>0</v>
      </c>
      <c r="R92" s="410">
        <f>IF(O92&gt;0,O92*K92/U92,0)*VLOOKUP(B92,'2-Kosten per locatie'!$A$14:$C$61,3,FALSE)</f>
        <v>0</v>
      </c>
      <c r="S92" s="411">
        <f>IF(M92="nio",0,IF(M92&gt;0,VLOOKUP(I92,'3-Productie normen'!A:P,VLOOKUP(M92,'3-Productie normen'!$B$38:$C$48,2,FALSE),FALSE)))</f>
        <v>0</v>
      </c>
      <c r="T92" s="411">
        <f t="shared" si="8"/>
        <v>0</v>
      </c>
      <c r="U92" s="411">
        <f t="shared" si="11"/>
        <v>0</v>
      </c>
      <c r="V92" s="412"/>
      <c r="X92" s="413">
        <f t="shared" si="9"/>
        <v>0</v>
      </c>
    </row>
    <row r="93" spans="1:24" ht="14.1" customHeight="1">
      <c r="A93" s="70">
        <f t="shared" si="10"/>
        <v>93</v>
      </c>
      <c r="B93" s="354" t="s">
        <v>42</v>
      </c>
      <c r="C93" s="354" t="s">
        <v>164</v>
      </c>
      <c r="D93" s="354" t="s">
        <v>165</v>
      </c>
      <c r="E93" s="404" t="s">
        <v>166</v>
      </c>
      <c r="F93" s="405" t="s">
        <v>167</v>
      </c>
      <c r="G93" s="406" t="s">
        <v>271</v>
      </c>
      <c r="H93" s="399" t="s">
        <v>206</v>
      </c>
      <c r="I93" s="399" t="s">
        <v>108</v>
      </c>
      <c r="J93" s="399" t="s">
        <v>218</v>
      </c>
      <c r="K93" s="407">
        <v>24.4</v>
      </c>
      <c r="L93" s="408">
        <v>230</v>
      </c>
      <c r="M93" s="409">
        <v>230</v>
      </c>
      <c r="N93" s="409"/>
      <c r="O93" s="409"/>
      <c r="P93" s="410" t="e">
        <f>IF(M93="nio",0,IF(M93&gt;0,M93*K93/S93,0))*VLOOKUP(B93,'2-Kosten per locatie'!$A$14:$C$61,3,FALSE)</f>
        <v>#DIV/0!</v>
      </c>
      <c r="Q93" s="410">
        <f>IF(N93&gt;0,N93*K93/T93,0)*VLOOKUP(B93,'2-Kosten per locatie'!$A$14:$C$61,3,FALSE)</f>
        <v>0</v>
      </c>
      <c r="R93" s="410">
        <f>IF(O93&gt;0,O93*K93/U93,0)*VLOOKUP(B93,'2-Kosten per locatie'!$A$14:$C$61,3,FALSE)</f>
        <v>0</v>
      </c>
      <c r="S93" s="411">
        <f>IF(M93="nio",0,IF(M93&gt;0,VLOOKUP(I93,'3-Productie normen'!A:P,VLOOKUP(M93,'3-Productie normen'!$B$38:$C$48,2,FALSE),FALSE)))</f>
        <v>0</v>
      </c>
      <c r="T93" s="411">
        <f t="shared" si="8"/>
        <v>0</v>
      </c>
      <c r="U93" s="411">
        <f t="shared" si="11"/>
        <v>0</v>
      </c>
      <c r="V93" s="412"/>
      <c r="X93" s="413">
        <f t="shared" si="9"/>
        <v>5612</v>
      </c>
    </row>
    <row r="94" spans="1:24" ht="14.1" customHeight="1">
      <c r="A94" s="70">
        <f t="shared" si="10"/>
        <v>94</v>
      </c>
      <c r="B94" s="354" t="s">
        <v>42</v>
      </c>
      <c r="C94" s="354" t="s">
        <v>164</v>
      </c>
      <c r="D94" s="354" t="s">
        <v>165</v>
      </c>
      <c r="E94" s="404" t="s">
        <v>166</v>
      </c>
      <c r="F94" s="405" t="s">
        <v>167</v>
      </c>
      <c r="G94" s="406" t="s">
        <v>272</v>
      </c>
      <c r="H94" s="399" t="s">
        <v>183</v>
      </c>
      <c r="I94" s="399" t="s">
        <v>106</v>
      </c>
      <c r="J94" s="399" t="s">
        <v>179</v>
      </c>
      <c r="K94" s="407">
        <v>7</v>
      </c>
      <c r="L94" s="408">
        <v>230</v>
      </c>
      <c r="M94" s="409">
        <v>230</v>
      </c>
      <c r="N94" s="409"/>
      <c r="O94" s="409"/>
      <c r="P94" s="410" t="e">
        <f>IF(M94="nio",0,IF(M94&gt;0,M94*K94/S94,0))*VLOOKUP(B94,'2-Kosten per locatie'!$A$14:$C$61,3,FALSE)</f>
        <v>#DIV/0!</v>
      </c>
      <c r="Q94" s="410">
        <f>IF(N94&gt;0,N94*K94/T94,0)*VLOOKUP(B94,'2-Kosten per locatie'!$A$14:$C$61,3,FALSE)</f>
        <v>0</v>
      </c>
      <c r="R94" s="410">
        <f>IF(O94&gt;0,O94*K94/U94,0)*VLOOKUP(B94,'2-Kosten per locatie'!$A$14:$C$61,3,FALSE)</f>
        <v>0</v>
      </c>
      <c r="S94" s="411">
        <f>IF(M94="nio",0,IF(M94&gt;0,VLOOKUP(I94,'3-Productie normen'!A:P,VLOOKUP(M94,'3-Productie normen'!$B$38:$C$48,2,FALSE),FALSE)))</f>
        <v>0</v>
      </c>
      <c r="T94" s="411">
        <f t="shared" si="8"/>
        <v>0</v>
      </c>
      <c r="U94" s="411">
        <f t="shared" si="11"/>
        <v>0</v>
      </c>
      <c r="V94" s="412"/>
      <c r="X94" s="413">
        <f t="shared" si="9"/>
        <v>1610</v>
      </c>
    </row>
    <row r="95" spans="1:24" ht="14.1" customHeight="1">
      <c r="A95" s="70">
        <f t="shared" si="10"/>
        <v>95</v>
      </c>
      <c r="B95" s="354" t="s">
        <v>42</v>
      </c>
      <c r="C95" s="354" t="s">
        <v>164</v>
      </c>
      <c r="D95" s="354" t="s">
        <v>165</v>
      </c>
      <c r="E95" s="404" t="s">
        <v>166</v>
      </c>
      <c r="F95" s="405" t="s">
        <v>273</v>
      </c>
      <c r="G95" s="406" t="s">
        <v>274</v>
      </c>
      <c r="H95" s="399" t="s">
        <v>183</v>
      </c>
      <c r="I95" s="399" t="s">
        <v>106</v>
      </c>
      <c r="J95" s="399" t="s">
        <v>179</v>
      </c>
      <c r="K95" s="407">
        <v>7</v>
      </c>
      <c r="L95" s="408">
        <v>230</v>
      </c>
      <c r="M95" s="409">
        <v>230</v>
      </c>
      <c r="N95" s="409"/>
      <c r="O95" s="409"/>
      <c r="P95" s="410" t="e">
        <f>IF(M95="nio",0,IF(M95&gt;0,M95*K95/S95,0))*VLOOKUP(B95,'2-Kosten per locatie'!$A$14:$C$61,3,FALSE)</f>
        <v>#DIV/0!</v>
      </c>
      <c r="Q95" s="410">
        <f>IF(N95&gt;0,N95*K95/T95,0)*VLOOKUP(B95,'2-Kosten per locatie'!$A$14:$C$61,3,FALSE)</f>
        <v>0</v>
      </c>
      <c r="R95" s="410">
        <f>IF(O95&gt;0,O95*K95/U95,0)*VLOOKUP(B95,'2-Kosten per locatie'!$A$14:$C$61,3,FALSE)</f>
        <v>0</v>
      </c>
      <c r="S95" s="411">
        <f>IF(M95="nio",0,IF(M95&gt;0,VLOOKUP(I95,'3-Productie normen'!A:P,VLOOKUP(M95,'3-Productie normen'!$B$38:$C$48,2,FALSE),FALSE)))</f>
        <v>0</v>
      </c>
      <c r="T95" s="411">
        <f t="shared" si="8"/>
        <v>0</v>
      </c>
      <c r="U95" s="411">
        <f t="shared" si="11"/>
        <v>0</v>
      </c>
      <c r="V95" s="412"/>
      <c r="X95" s="413">
        <f t="shared" si="9"/>
        <v>1610</v>
      </c>
    </row>
    <row r="96" spans="1:24" ht="14.1" customHeight="1">
      <c r="A96" s="70">
        <f t="shared" si="10"/>
        <v>96</v>
      </c>
      <c r="B96" s="354" t="s">
        <v>42</v>
      </c>
      <c r="C96" s="354" t="s">
        <v>164</v>
      </c>
      <c r="D96" s="354" t="s">
        <v>165</v>
      </c>
      <c r="E96" s="404" t="s">
        <v>166</v>
      </c>
      <c r="F96" s="405" t="s">
        <v>273</v>
      </c>
      <c r="G96" s="406" t="s">
        <v>275</v>
      </c>
      <c r="H96" s="399" t="s">
        <v>276</v>
      </c>
      <c r="I96" s="399" t="s">
        <v>106</v>
      </c>
      <c r="J96" s="399" t="s">
        <v>179</v>
      </c>
      <c r="K96" s="407">
        <v>4.8</v>
      </c>
      <c r="L96" s="408">
        <v>230</v>
      </c>
      <c r="M96" s="409">
        <v>230</v>
      </c>
      <c r="N96" s="409"/>
      <c r="O96" s="409"/>
      <c r="P96" s="410" t="e">
        <f>IF(M96="nio",0,IF(M96&gt;0,M96*K96/S96,0))*VLOOKUP(B96,'2-Kosten per locatie'!$A$14:$C$61,3,FALSE)</f>
        <v>#DIV/0!</v>
      </c>
      <c r="Q96" s="410">
        <f>IF(N96&gt;0,N96*K96/T96,0)*VLOOKUP(B96,'2-Kosten per locatie'!$A$14:$C$61,3,FALSE)</f>
        <v>0</v>
      </c>
      <c r="R96" s="410">
        <f>IF(O96&gt;0,O96*K96/U96,0)*VLOOKUP(B96,'2-Kosten per locatie'!$A$14:$C$61,3,FALSE)</f>
        <v>0</v>
      </c>
      <c r="S96" s="411">
        <f>IF(M96="nio",0,IF(M96&gt;0,VLOOKUP(I96,'3-Productie normen'!A:P,VLOOKUP(M96,'3-Productie normen'!$B$38:$C$48,2,FALSE),FALSE)))</f>
        <v>0</v>
      </c>
      <c r="T96" s="411">
        <f t="shared" si="8"/>
        <v>0</v>
      </c>
      <c r="U96" s="411">
        <f t="shared" si="11"/>
        <v>0</v>
      </c>
      <c r="V96" s="412"/>
      <c r="X96" s="413">
        <f t="shared" si="9"/>
        <v>1104</v>
      </c>
    </row>
    <row r="97" spans="1:24" ht="14.1" customHeight="1">
      <c r="A97" s="70">
        <f t="shared" si="10"/>
        <v>97</v>
      </c>
      <c r="B97" s="354" t="s">
        <v>42</v>
      </c>
      <c r="C97" s="354" t="s">
        <v>164</v>
      </c>
      <c r="D97" s="354" t="s">
        <v>165</v>
      </c>
      <c r="E97" s="404" t="s">
        <v>166</v>
      </c>
      <c r="F97" s="405" t="s">
        <v>273</v>
      </c>
      <c r="G97" s="406" t="s">
        <v>277</v>
      </c>
      <c r="H97" s="399" t="s">
        <v>252</v>
      </c>
      <c r="I97" s="399" t="s">
        <v>108</v>
      </c>
      <c r="J97" s="399" t="s">
        <v>218</v>
      </c>
      <c r="K97" s="407">
        <v>6</v>
      </c>
      <c r="L97" s="408">
        <v>230</v>
      </c>
      <c r="M97" s="409">
        <v>230</v>
      </c>
      <c r="N97" s="409"/>
      <c r="O97" s="409"/>
      <c r="P97" s="410" t="e">
        <f>IF(M97="nio",0,IF(M97&gt;0,M97*K97/S97,0))*VLOOKUP(B97,'2-Kosten per locatie'!$A$14:$C$61,3,FALSE)</f>
        <v>#DIV/0!</v>
      </c>
      <c r="Q97" s="410">
        <f>IF(N97&gt;0,N97*K97/T97,0)*VLOOKUP(B97,'2-Kosten per locatie'!$A$14:$C$61,3,FALSE)</f>
        <v>0</v>
      </c>
      <c r="R97" s="410">
        <f>IF(O97&gt;0,O97*K97/U97,0)*VLOOKUP(B97,'2-Kosten per locatie'!$A$14:$C$61,3,FALSE)</f>
        <v>0</v>
      </c>
      <c r="S97" s="411">
        <f>IF(M97="nio",0,IF(M97&gt;0,VLOOKUP(I97,'3-Productie normen'!A:P,VLOOKUP(M97,'3-Productie normen'!$B$38:$C$48,2,FALSE),FALSE)))</f>
        <v>0</v>
      </c>
      <c r="T97" s="411">
        <f t="shared" si="8"/>
        <v>0</v>
      </c>
      <c r="U97" s="411">
        <f t="shared" si="11"/>
        <v>0</v>
      </c>
      <c r="V97" s="412"/>
      <c r="X97" s="413">
        <f t="shared" si="9"/>
        <v>1380</v>
      </c>
    </row>
    <row r="98" spans="1:24" ht="14.1" customHeight="1">
      <c r="A98" s="70">
        <f t="shared" si="10"/>
        <v>98</v>
      </c>
      <c r="B98" s="354" t="s">
        <v>42</v>
      </c>
      <c r="C98" s="354" t="s">
        <v>164</v>
      </c>
      <c r="D98" s="354" t="s">
        <v>165</v>
      </c>
      <c r="E98" s="404" t="s">
        <v>166</v>
      </c>
      <c r="F98" s="405" t="s">
        <v>273</v>
      </c>
      <c r="G98" s="406" t="s">
        <v>278</v>
      </c>
      <c r="H98" s="399" t="s">
        <v>244</v>
      </c>
      <c r="I98" s="399" t="s">
        <v>124</v>
      </c>
      <c r="J98" s="399"/>
      <c r="K98" s="407"/>
      <c r="L98" s="408">
        <v>0</v>
      </c>
      <c r="M98" s="409" t="s">
        <v>242</v>
      </c>
      <c r="N98" s="409"/>
      <c r="O98" s="409"/>
      <c r="P98" s="410">
        <f>IF(M98="nio",0,IF(M98&gt;0,M98*K98/S98,0))*VLOOKUP(B98,'2-Kosten per locatie'!$A$14:$C$61,3,FALSE)</f>
        <v>0</v>
      </c>
      <c r="Q98" s="410">
        <f>IF(N98&gt;0,N98*K98/T98,0)*VLOOKUP(B98,'2-Kosten per locatie'!$A$14:$C$61,3,FALSE)</f>
        <v>0</v>
      </c>
      <c r="R98" s="410">
        <f>IF(O98&gt;0,O98*K98/U98,0)*VLOOKUP(B98,'2-Kosten per locatie'!$A$14:$C$61,3,FALSE)</f>
        <v>0</v>
      </c>
      <c r="S98" s="411">
        <f>IF(M98="nio",0,IF(M98&gt;0,VLOOKUP(I98,'3-Productie normen'!A:P,VLOOKUP(M98,'3-Productie normen'!$B$38:$C$48,2,FALSE),FALSE)))</f>
        <v>0</v>
      </c>
      <c r="T98" s="411">
        <f t="shared" si="8"/>
        <v>0</v>
      </c>
      <c r="U98" s="411">
        <f t="shared" si="11"/>
        <v>0</v>
      </c>
      <c r="V98" s="412"/>
      <c r="X98" s="413">
        <f t="shared" si="9"/>
        <v>0</v>
      </c>
    </row>
    <row r="99" spans="1:24" ht="14.1" customHeight="1">
      <c r="A99" s="70">
        <f t="shared" si="10"/>
        <v>99</v>
      </c>
      <c r="B99" s="354" t="s">
        <v>42</v>
      </c>
      <c r="C99" s="354" t="s">
        <v>164</v>
      </c>
      <c r="D99" s="354" t="s">
        <v>165</v>
      </c>
      <c r="E99" s="404" t="s">
        <v>166</v>
      </c>
      <c r="F99" s="405" t="s">
        <v>273</v>
      </c>
      <c r="G99" s="406" t="s">
        <v>279</v>
      </c>
      <c r="H99" s="399" t="s">
        <v>186</v>
      </c>
      <c r="I99" s="399" t="s">
        <v>120</v>
      </c>
      <c r="J99" s="399" t="s">
        <v>218</v>
      </c>
      <c r="K99" s="407">
        <v>41</v>
      </c>
      <c r="L99" s="408">
        <v>230</v>
      </c>
      <c r="M99" s="409">
        <v>230</v>
      </c>
      <c r="N99" s="409"/>
      <c r="O99" s="409"/>
      <c r="P99" s="410" t="e">
        <f>IF(M99="nio",0,IF(M99&gt;0,M99*K99/S99,0))*VLOOKUP(B99,'2-Kosten per locatie'!$A$14:$C$61,3,FALSE)</f>
        <v>#DIV/0!</v>
      </c>
      <c r="Q99" s="410">
        <f>IF(N99&gt;0,N99*K99/T99,0)*VLOOKUP(B99,'2-Kosten per locatie'!$A$14:$C$61,3,FALSE)</f>
        <v>0</v>
      </c>
      <c r="R99" s="410">
        <f>IF(O99&gt;0,O99*K99/U99,0)*VLOOKUP(B99,'2-Kosten per locatie'!$A$14:$C$61,3,FALSE)</f>
        <v>0</v>
      </c>
      <c r="S99" s="411">
        <f>IF(M99="nio",0,IF(M99&gt;0,VLOOKUP(I99,'3-Productie normen'!A:P,VLOOKUP(M99,'3-Productie normen'!$B$38:$C$48,2,FALSE),FALSE)))</f>
        <v>0</v>
      </c>
      <c r="T99" s="411">
        <f t="shared" si="8"/>
        <v>0</v>
      </c>
      <c r="U99" s="411">
        <f t="shared" si="11"/>
        <v>0</v>
      </c>
      <c r="V99" s="412"/>
      <c r="X99" s="413">
        <f t="shared" si="9"/>
        <v>9430</v>
      </c>
    </row>
    <row r="100" spans="1:24" ht="14.1" customHeight="1">
      <c r="A100" s="70">
        <f t="shared" si="10"/>
        <v>100</v>
      </c>
      <c r="B100" s="354" t="s">
        <v>42</v>
      </c>
      <c r="C100" s="354" t="s">
        <v>164</v>
      </c>
      <c r="D100" s="354" t="s">
        <v>165</v>
      </c>
      <c r="E100" s="404" t="s">
        <v>166</v>
      </c>
      <c r="F100" s="405" t="s">
        <v>273</v>
      </c>
      <c r="G100" s="406" t="s">
        <v>280</v>
      </c>
      <c r="H100" s="399" t="s">
        <v>186</v>
      </c>
      <c r="I100" s="399" t="s">
        <v>120</v>
      </c>
      <c r="J100" s="399" t="s">
        <v>218</v>
      </c>
      <c r="K100" s="407">
        <v>49.3</v>
      </c>
      <c r="L100" s="408">
        <v>230</v>
      </c>
      <c r="M100" s="409">
        <v>230</v>
      </c>
      <c r="N100" s="409"/>
      <c r="O100" s="409"/>
      <c r="P100" s="410" t="e">
        <f>IF(M100="nio",0,IF(M100&gt;0,M100*K100/S100,0))*VLOOKUP(B100,'2-Kosten per locatie'!$A$14:$C$61,3,FALSE)</f>
        <v>#DIV/0!</v>
      </c>
      <c r="Q100" s="410">
        <f>IF(N100&gt;0,N100*K100/T100,0)*VLOOKUP(B100,'2-Kosten per locatie'!$A$14:$C$61,3,FALSE)</f>
        <v>0</v>
      </c>
      <c r="R100" s="410">
        <f>IF(O100&gt;0,O100*K100/U100,0)*VLOOKUP(B100,'2-Kosten per locatie'!$A$14:$C$61,3,FALSE)</f>
        <v>0</v>
      </c>
      <c r="S100" s="411">
        <f>IF(M100="nio",0,IF(M100&gt;0,VLOOKUP(I100,'3-Productie normen'!A:P,VLOOKUP(M100,'3-Productie normen'!$B$38:$C$48,2,FALSE),FALSE)))</f>
        <v>0</v>
      </c>
      <c r="T100" s="411">
        <f t="shared" si="8"/>
        <v>0</v>
      </c>
      <c r="U100" s="411">
        <f t="shared" si="11"/>
        <v>0</v>
      </c>
      <c r="V100" s="412"/>
      <c r="X100" s="413">
        <f t="shared" si="9"/>
        <v>11339</v>
      </c>
    </row>
    <row r="101" spans="1:24" ht="14.1" customHeight="1">
      <c r="A101" s="70">
        <f t="shared" si="10"/>
        <v>101</v>
      </c>
      <c r="B101" s="354" t="s">
        <v>42</v>
      </c>
      <c r="C101" s="354" t="s">
        <v>164</v>
      </c>
      <c r="D101" s="354" t="s">
        <v>165</v>
      </c>
      <c r="E101" s="404" t="s">
        <v>166</v>
      </c>
      <c r="F101" s="405" t="s">
        <v>273</v>
      </c>
      <c r="G101" s="406" t="s">
        <v>281</v>
      </c>
      <c r="H101" s="399" t="s">
        <v>186</v>
      </c>
      <c r="I101" s="399" t="s">
        <v>120</v>
      </c>
      <c r="J101" s="399" t="s">
        <v>218</v>
      </c>
      <c r="K101" s="407">
        <v>48.3</v>
      </c>
      <c r="L101" s="408">
        <v>230</v>
      </c>
      <c r="M101" s="409">
        <v>230</v>
      </c>
      <c r="N101" s="409"/>
      <c r="O101" s="409"/>
      <c r="P101" s="410" t="e">
        <f>IF(M101="nio",0,IF(M101&gt;0,M101*K101/S101,0))*VLOOKUP(B101,'2-Kosten per locatie'!$A$14:$C$61,3,FALSE)</f>
        <v>#DIV/0!</v>
      </c>
      <c r="Q101" s="410">
        <f>IF(N101&gt;0,N101*K101/T101,0)*VLOOKUP(B101,'2-Kosten per locatie'!$A$14:$C$61,3,FALSE)</f>
        <v>0</v>
      </c>
      <c r="R101" s="410">
        <f>IF(O101&gt;0,O101*K101/U101,0)*VLOOKUP(B101,'2-Kosten per locatie'!$A$14:$C$61,3,FALSE)</f>
        <v>0</v>
      </c>
      <c r="S101" s="411">
        <f>IF(M101="nio",0,IF(M101&gt;0,VLOOKUP(I101,'3-Productie normen'!A:P,VLOOKUP(M101,'3-Productie normen'!$B$38:$C$48,2,FALSE),FALSE)))</f>
        <v>0</v>
      </c>
      <c r="T101" s="411">
        <f t="shared" si="8"/>
        <v>0</v>
      </c>
      <c r="U101" s="411">
        <f t="shared" si="11"/>
        <v>0</v>
      </c>
      <c r="V101" s="412"/>
      <c r="X101" s="413">
        <f t="shared" si="9"/>
        <v>11109</v>
      </c>
    </row>
    <row r="102" spans="1:24" ht="14.1" customHeight="1">
      <c r="A102" s="70">
        <f t="shared" si="10"/>
        <v>102</v>
      </c>
      <c r="B102" s="354" t="s">
        <v>42</v>
      </c>
      <c r="C102" s="354" t="s">
        <v>164</v>
      </c>
      <c r="D102" s="354" t="s">
        <v>165</v>
      </c>
      <c r="E102" s="404" t="s">
        <v>166</v>
      </c>
      <c r="F102" s="405" t="s">
        <v>273</v>
      </c>
      <c r="G102" s="406" t="s">
        <v>282</v>
      </c>
      <c r="H102" s="399" t="s">
        <v>181</v>
      </c>
      <c r="I102" s="399" t="s">
        <v>109</v>
      </c>
      <c r="J102" s="399" t="s">
        <v>179</v>
      </c>
      <c r="K102" s="407">
        <v>17.8</v>
      </c>
      <c r="L102" s="408">
        <v>230</v>
      </c>
      <c r="M102" s="409">
        <v>230</v>
      </c>
      <c r="N102" s="409"/>
      <c r="O102" s="409"/>
      <c r="P102" s="410" t="e">
        <f>IF(M102="nio",0,IF(M102&gt;0,M102*K102/S102,0))*VLOOKUP(B102,'2-Kosten per locatie'!$A$14:$C$61,3,FALSE)</f>
        <v>#DIV/0!</v>
      </c>
      <c r="Q102" s="410">
        <f>IF(N102&gt;0,N102*K102/T102,0)*VLOOKUP(B102,'2-Kosten per locatie'!$A$14:$C$61,3,FALSE)</f>
        <v>0</v>
      </c>
      <c r="R102" s="410">
        <f>IF(O102&gt;0,O102*K102/U102,0)*VLOOKUP(B102,'2-Kosten per locatie'!$A$14:$C$61,3,FALSE)</f>
        <v>0</v>
      </c>
      <c r="S102" s="411">
        <f>IF(M102="nio",0,IF(M102&gt;0,VLOOKUP(I102,'3-Productie normen'!A:P,VLOOKUP(M102,'3-Productie normen'!$B$38:$C$48,2,FALSE),FALSE)))</f>
        <v>0</v>
      </c>
      <c r="T102" s="411">
        <f t="shared" si="8"/>
        <v>0</v>
      </c>
      <c r="U102" s="411">
        <f t="shared" si="11"/>
        <v>0</v>
      </c>
      <c r="V102" s="412"/>
      <c r="X102" s="413">
        <f t="shared" si="9"/>
        <v>4094</v>
      </c>
    </row>
    <row r="103" spans="1:24" ht="14.1" customHeight="1">
      <c r="A103" s="70">
        <f t="shared" si="10"/>
        <v>103</v>
      </c>
      <c r="B103" s="354" t="s">
        <v>42</v>
      </c>
      <c r="C103" s="354" t="s">
        <v>164</v>
      </c>
      <c r="D103" s="354" t="s">
        <v>165</v>
      </c>
      <c r="E103" s="404" t="s">
        <v>166</v>
      </c>
      <c r="F103" s="405" t="s">
        <v>273</v>
      </c>
      <c r="G103" s="406" t="s">
        <v>283</v>
      </c>
      <c r="H103" s="399" t="s">
        <v>241</v>
      </c>
      <c r="I103" s="399" t="s">
        <v>124</v>
      </c>
      <c r="J103" s="399"/>
      <c r="K103" s="407"/>
      <c r="L103" s="408">
        <v>0</v>
      </c>
      <c r="M103" s="409" t="s">
        <v>242</v>
      </c>
      <c r="N103" s="409"/>
      <c r="O103" s="409"/>
      <c r="P103" s="410">
        <f>IF(M103="nio",0,IF(M103&gt;0,M103*K103/S103,0))*VLOOKUP(B103,'2-Kosten per locatie'!$A$14:$C$61,3,FALSE)</f>
        <v>0</v>
      </c>
      <c r="Q103" s="410">
        <f>IF(N103&gt;0,N103*K103/T103,0)*VLOOKUP(B103,'2-Kosten per locatie'!$A$14:$C$61,3,FALSE)</f>
        <v>0</v>
      </c>
      <c r="R103" s="410">
        <f>IF(O103&gt;0,O103*K103/U103,0)*VLOOKUP(B103,'2-Kosten per locatie'!$A$14:$C$61,3,FALSE)</f>
        <v>0</v>
      </c>
      <c r="S103" s="411">
        <f>IF(M103="nio",0,IF(M103&gt;0,VLOOKUP(I103,'3-Productie normen'!A:P,VLOOKUP(M103,'3-Productie normen'!$B$38:$C$48,2,FALSE),FALSE)))</f>
        <v>0</v>
      </c>
      <c r="T103" s="411">
        <f t="shared" si="8"/>
        <v>0</v>
      </c>
      <c r="U103" s="411">
        <f t="shared" si="11"/>
        <v>0</v>
      </c>
      <c r="V103" s="412"/>
      <c r="X103" s="413">
        <f t="shared" si="9"/>
        <v>0</v>
      </c>
    </row>
    <row r="104" spans="1:24" ht="14.1" customHeight="1">
      <c r="A104" s="70">
        <f t="shared" si="10"/>
        <v>104</v>
      </c>
      <c r="B104" s="354" t="s">
        <v>42</v>
      </c>
      <c r="C104" s="354" t="s">
        <v>164</v>
      </c>
      <c r="D104" s="354" t="s">
        <v>165</v>
      </c>
      <c r="E104" s="404" t="s">
        <v>166</v>
      </c>
      <c r="F104" s="405" t="s">
        <v>273</v>
      </c>
      <c r="G104" s="406" t="s">
        <v>284</v>
      </c>
      <c r="H104" s="399" t="s">
        <v>222</v>
      </c>
      <c r="I104" s="399" t="s">
        <v>105</v>
      </c>
      <c r="J104" s="399" t="s">
        <v>218</v>
      </c>
      <c r="K104" s="407">
        <v>11.4</v>
      </c>
      <c r="L104" s="408">
        <v>230</v>
      </c>
      <c r="M104" s="409">
        <v>230</v>
      </c>
      <c r="N104" s="409"/>
      <c r="O104" s="409"/>
      <c r="P104" s="410" t="e">
        <f>IF(M104="nio",0,IF(M104&gt;0,M104*K104/S104,0))*VLOOKUP(B104,'2-Kosten per locatie'!$A$14:$C$61,3,FALSE)</f>
        <v>#DIV/0!</v>
      </c>
      <c r="Q104" s="410">
        <f>IF(N104&gt;0,N104*K104/T104,0)*VLOOKUP(B104,'2-Kosten per locatie'!$A$14:$C$61,3,FALSE)</f>
        <v>0</v>
      </c>
      <c r="R104" s="410">
        <f>IF(O104&gt;0,O104*K104/U104,0)*VLOOKUP(B104,'2-Kosten per locatie'!$A$14:$C$61,3,FALSE)</f>
        <v>0</v>
      </c>
      <c r="S104" s="411">
        <f>IF(M104="nio",0,IF(M104&gt;0,VLOOKUP(I104,'3-Productie normen'!A:P,VLOOKUP(M104,'3-Productie normen'!$B$38:$C$48,2,FALSE),FALSE)))</f>
        <v>0</v>
      </c>
      <c r="T104" s="411">
        <f t="shared" si="8"/>
        <v>0</v>
      </c>
      <c r="U104" s="411">
        <f t="shared" si="11"/>
        <v>0</v>
      </c>
      <c r="V104" s="412"/>
      <c r="X104" s="413">
        <f t="shared" si="9"/>
        <v>2622</v>
      </c>
    </row>
    <row r="105" spans="1:24" ht="14.1" customHeight="1">
      <c r="A105" s="70">
        <f t="shared" si="10"/>
        <v>105</v>
      </c>
      <c r="B105" s="354" t="s">
        <v>42</v>
      </c>
      <c r="C105" s="354" t="s">
        <v>164</v>
      </c>
      <c r="D105" s="354" t="s">
        <v>165</v>
      </c>
      <c r="E105" s="404" t="s">
        <v>166</v>
      </c>
      <c r="F105" s="405" t="s">
        <v>273</v>
      </c>
      <c r="G105" s="406" t="s">
        <v>285</v>
      </c>
      <c r="H105" s="399" t="s">
        <v>241</v>
      </c>
      <c r="I105" s="399" t="s">
        <v>124</v>
      </c>
      <c r="J105" s="399"/>
      <c r="K105" s="407"/>
      <c r="L105" s="408">
        <v>0</v>
      </c>
      <c r="M105" s="409" t="s">
        <v>242</v>
      </c>
      <c r="N105" s="409"/>
      <c r="O105" s="409"/>
      <c r="P105" s="410">
        <f>IF(M105="nio",0,IF(M105&gt;0,M105*K105/S105,0))*VLOOKUP(B105,'2-Kosten per locatie'!$A$14:$C$61,3,FALSE)</f>
        <v>0</v>
      </c>
      <c r="Q105" s="410">
        <f>IF(N105&gt;0,N105*K105/T105,0)*VLOOKUP(B105,'2-Kosten per locatie'!$A$14:$C$61,3,FALSE)</f>
        <v>0</v>
      </c>
      <c r="R105" s="410">
        <f>IF(O105&gt;0,O105*K105/U105,0)*VLOOKUP(B105,'2-Kosten per locatie'!$A$14:$C$61,3,FALSE)</f>
        <v>0</v>
      </c>
      <c r="S105" s="411">
        <f>IF(M105="nio",0,IF(M105&gt;0,VLOOKUP(I105,'3-Productie normen'!A:P,VLOOKUP(M105,'3-Productie normen'!$B$38:$C$48,2,FALSE),FALSE)))</f>
        <v>0</v>
      </c>
      <c r="T105" s="411">
        <f t="shared" si="8"/>
        <v>0</v>
      </c>
      <c r="U105" s="411">
        <f t="shared" si="11"/>
        <v>0</v>
      </c>
      <c r="V105" s="412"/>
      <c r="X105" s="413">
        <f t="shared" si="9"/>
        <v>0</v>
      </c>
    </row>
    <row r="106" spans="1:24" ht="14.1" customHeight="1">
      <c r="A106" s="70">
        <f t="shared" si="10"/>
        <v>106</v>
      </c>
      <c r="B106" s="354" t="s">
        <v>42</v>
      </c>
      <c r="C106" s="354" t="s">
        <v>164</v>
      </c>
      <c r="D106" s="354" t="s">
        <v>165</v>
      </c>
      <c r="E106" s="404" t="s">
        <v>166</v>
      </c>
      <c r="F106" s="405" t="s">
        <v>273</v>
      </c>
      <c r="G106" s="406" t="s">
        <v>286</v>
      </c>
      <c r="H106" s="399" t="s">
        <v>287</v>
      </c>
      <c r="I106" s="399" t="s">
        <v>124</v>
      </c>
      <c r="J106" s="399"/>
      <c r="K106" s="407"/>
      <c r="L106" s="408">
        <v>0</v>
      </c>
      <c r="M106" s="409" t="s">
        <v>242</v>
      </c>
      <c r="N106" s="409"/>
      <c r="O106" s="409"/>
      <c r="P106" s="410">
        <f>IF(M106="nio",0,IF(M106&gt;0,M106*K106/S106,0))*VLOOKUP(B106,'2-Kosten per locatie'!$A$14:$C$61,3,FALSE)</f>
        <v>0</v>
      </c>
      <c r="Q106" s="410">
        <f>IF(N106&gt;0,N106*K106/T106,0)*VLOOKUP(B106,'2-Kosten per locatie'!$A$14:$C$61,3,FALSE)</f>
        <v>0</v>
      </c>
      <c r="R106" s="410">
        <f>IF(O106&gt;0,O106*K106/U106,0)*VLOOKUP(B106,'2-Kosten per locatie'!$A$14:$C$61,3,FALSE)</f>
        <v>0</v>
      </c>
      <c r="S106" s="411">
        <f>IF(M106="nio",0,IF(M106&gt;0,VLOOKUP(I106,'3-Productie normen'!A:P,VLOOKUP(M106,'3-Productie normen'!$B$38:$C$48,2,FALSE),FALSE)))</f>
        <v>0</v>
      </c>
      <c r="T106" s="411">
        <f t="shared" si="8"/>
        <v>0</v>
      </c>
      <c r="U106" s="411">
        <f t="shared" si="11"/>
        <v>0</v>
      </c>
      <c r="V106" s="412"/>
      <c r="X106" s="413">
        <f t="shared" si="9"/>
        <v>0</v>
      </c>
    </row>
    <row r="107" spans="1:24" ht="14.1" customHeight="1">
      <c r="A107" s="70">
        <f t="shared" si="10"/>
        <v>107</v>
      </c>
      <c r="B107" s="354" t="s">
        <v>42</v>
      </c>
      <c r="C107" s="354" t="s">
        <v>164</v>
      </c>
      <c r="D107" s="354" t="s">
        <v>165</v>
      </c>
      <c r="E107" s="404" t="s">
        <v>166</v>
      </c>
      <c r="F107" s="405" t="s">
        <v>273</v>
      </c>
      <c r="G107" s="406" t="s">
        <v>288</v>
      </c>
      <c r="H107" s="399" t="s">
        <v>186</v>
      </c>
      <c r="I107" s="399" t="s">
        <v>120</v>
      </c>
      <c r="J107" s="399" t="s">
        <v>218</v>
      </c>
      <c r="K107" s="407">
        <v>42.4</v>
      </c>
      <c r="L107" s="408">
        <v>230</v>
      </c>
      <c r="M107" s="409">
        <v>230</v>
      </c>
      <c r="N107" s="409"/>
      <c r="O107" s="409"/>
      <c r="P107" s="410" t="e">
        <f>IF(M107="nio",0,IF(M107&gt;0,M107*K107/S107,0))*VLOOKUP(B107,'2-Kosten per locatie'!$A$14:$C$61,3,FALSE)</f>
        <v>#DIV/0!</v>
      </c>
      <c r="Q107" s="410">
        <f>IF(N107&gt;0,N107*K107/T107,0)*VLOOKUP(B107,'2-Kosten per locatie'!$A$14:$C$61,3,FALSE)</f>
        <v>0</v>
      </c>
      <c r="R107" s="410">
        <f>IF(O107&gt;0,O107*K107/U107,0)*VLOOKUP(B107,'2-Kosten per locatie'!$A$14:$C$61,3,FALSE)</f>
        <v>0</v>
      </c>
      <c r="S107" s="411">
        <f>IF(M107="nio",0,IF(M107&gt;0,VLOOKUP(I107,'3-Productie normen'!A:P,VLOOKUP(M107,'3-Productie normen'!$B$38:$C$48,2,FALSE),FALSE)))</f>
        <v>0</v>
      </c>
      <c r="T107" s="411">
        <f t="shared" si="8"/>
        <v>0</v>
      </c>
      <c r="U107" s="411">
        <f t="shared" si="11"/>
        <v>0</v>
      </c>
      <c r="V107" s="412"/>
      <c r="X107" s="413">
        <f t="shared" si="9"/>
        <v>9752</v>
      </c>
    </row>
    <row r="108" spans="1:24" ht="14.1" customHeight="1">
      <c r="A108" s="70">
        <f t="shared" si="10"/>
        <v>108</v>
      </c>
      <c r="B108" s="354" t="s">
        <v>43</v>
      </c>
      <c r="C108" s="354" t="s">
        <v>164</v>
      </c>
      <c r="D108" s="354" t="s">
        <v>165</v>
      </c>
      <c r="E108" s="404" t="s">
        <v>166</v>
      </c>
      <c r="F108" s="405" t="s">
        <v>167</v>
      </c>
      <c r="G108" s="406" t="s">
        <v>289</v>
      </c>
      <c r="H108" s="399" t="s">
        <v>290</v>
      </c>
      <c r="I108" s="399" t="s">
        <v>108</v>
      </c>
      <c r="J108" s="399" t="s">
        <v>169</v>
      </c>
      <c r="K108" s="407">
        <v>13</v>
      </c>
      <c r="L108" s="408">
        <f t="shared" ref="L108:L171" si="12">SUM(M108:O108)</f>
        <v>255</v>
      </c>
      <c r="M108" s="409">
        <v>255</v>
      </c>
      <c r="N108" s="409"/>
      <c r="O108" s="409"/>
      <c r="P108" s="410" t="e">
        <f>IF(M108="nio",0,IF(M108&gt;0,M108*K108/S108,0))*VLOOKUP(B108,'2-Kosten per locatie'!$A$14:$C$61,3,FALSE)</f>
        <v>#DIV/0!</v>
      </c>
      <c r="Q108" s="410">
        <f>IF(N108&gt;0,N108*K108/T108,0)*VLOOKUP(B108,'2-Kosten per locatie'!$A$14:$C$61,3,FALSE)</f>
        <v>0</v>
      </c>
      <c r="R108" s="410">
        <f>IF(O108&gt;0,O108*K108/U108,0)*VLOOKUP(B108,'2-Kosten per locatie'!$A$14:$C$61,3,FALSE)</f>
        <v>0</v>
      </c>
      <c r="S108" s="411">
        <f>IF(M108="nio",0,IF(M108&gt;0,VLOOKUP(I108,'3-Productie normen'!A:P,VLOOKUP(M108,'3-Productie normen'!$B$38:$C$48,2,FALSE),FALSE)))</f>
        <v>0</v>
      </c>
      <c r="T108" s="411">
        <f t="shared" si="8"/>
        <v>0</v>
      </c>
      <c r="U108" s="411">
        <f t="shared" si="11"/>
        <v>0</v>
      </c>
      <c r="V108" s="412"/>
      <c r="X108" s="413">
        <f t="shared" si="9"/>
        <v>3315</v>
      </c>
    </row>
    <row r="109" spans="1:24" ht="14.1" customHeight="1">
      <c r="A109" s="70">
        <f t="shared" si="10"/>
        <v>109</v>
      </c>
      <c r="B109" s="354" t="s">
        <v>43</v>
      </c>
      <c r="C109" s="354" t="s">
        <v>164</v>
      </c>
      <c r="D109" s="354" t="s">
        <v>165</v>
      </c>
      <c r="E109" s="404" t="s">
        <v>166</v>
      </c>
      <c r="F109" s="405" t="s">
        <v>167</v>
      </c>
      <c r="G109" s="406" t="s">
        <v>194</v>
      </c>
      <c r="H109" s="399" t="s">
        <v>186</v>
      </c>
      <c r="I109" s="399" t="s">
        <v>120</v>
      </c>
      <c r="J109" s="399" t="s">
        <v>218</v>
      </c>
      <c r="K109" s="407">
        <v>103</v>
      </c>
      <c r="L109" s="408">
        <f t="shared" si="12"/>
        <v>255</v>
      </c>
      <c r="M109" s="409">
        <v>255</v>
      </c>
      <c r="N109" s="409"/>
      <c r="O109" s="409"/>
      <c r="P109" s="410" t="e">
        <f>IF(M109="nio",0,IF(M109&gt;0,M109*K109/S109,0))*VLOOKUP(B109,'2-Kosten per locatie'!$A$14:$C$61,3,FALSE)</f>
        <v>#DIV/0!</v>
      </c>
      <c r="Q109" s="410">
        <f>IF(N109&gt;0,N109*K109/T109,0)*VLOOKUP(B109,'2-Kosten per locatie'!$A$14:$C$61,3,FALSE)</f>
        <v>0</v>
      </c>
      <c r="R109" s="410">
        <f>IF(O109&gt;0,O109*K109/U109,0)*VLOOKUP(B109,'2-Kosten per locatie'!$A$14:$C$61,3,FALSE)</f>
        <v>0</v>
      </c>
      <c r="S109" s="411">
        <f>IF(M109="nio",0,IF(M109&gt;0,VLOOKUP(I109,'3-Productie normen'!A:P,VLOOKUP(M109,'3-Productie normen'!$B$38:$C$48,2,FALSE),FALSE)))</f>
        <v>0</v>
      </c>
      <c r="T109" s="411">
        <f t="shared" si="8"/>
        <v>0</v>
      </c>
      <c r="U109" s="411">
        <f t="shared" si="11"/>
        <v>0</v>
      </c>
      <c r="V109" s="412"/>
      <c r="X109" s="413">
        <f t="shared" si="9"/>
        <v>26265</v>
      </c>
    </row>
    <row r="110" spans="1:24" ht="14.1" customHeight="1">
      <c r="A110" s="70">
        <f t="shared" si="10"/>
        <v>110</v>
      </c>
      <c r="B110" s="354" t="s">
        <v>43</v>
      </c>
      <c r="C110" s="354" t="s">
        <v>164</v>
      </c>
      <c r="D110" s="354" t="s">
        <v>165</v>
      </c>
      <c r="E110" s="404" t="s">
        <v>166</v>
      </c>
      <c r="F110" s="405" t="s">
        <v>167</v>
      </c>
      <c r="G110" s="406" t="s">
        <v>191</v>
      </c>
      <c r="H110" s="399" t="s">
        <v>186</v>
      </c>
      <c r="I110" s="399" t="s">
        <v>120</v>
      </c>
      <c r="J110" s="399" t="s">
        <v>218</v>
      </c>
      <c r="K110" s="407">
        <v>54</v>
      </c>
      <c r="L110" s="408">
        <f t="shared" si="12"/>
        <v>255</v>
      </c>
      <c r="M110" s="409">
        <v>255</v>
      </c>
      <c r="N110" s="409"/>
      <c r="O110" s="409"/>
      <c r="P110" s="410" t="e">
        <f>IF(M110="nio",0,IF(M110&gt;0,M110*K110/S110,0))*VLOOKUP(B110,'2-Kosten per locatie'!$A$14:$C$61,3,FALSE)</f>
        <v>#DIV/0!</v>
      </c>
      <c r="Q110" s="410">
        <f>IF(N110&gt;0,N110*K110/T110,0)*VLOOKUP(B110,'2-Kosten per locatie'!$A$14:$C$61,3,FALSE)</f>
        <v>0</v>
      </c>
      <c r="R110" s="410">
        <f>IF(O110&gt;0,O110*K110/U110,0)*VLOOKUP(B110,'2-Kosten per locatie'!$A$14:$C$61,3,FALSE)</f>
        <v>0</v>
      </c>
      <c r="S110" s="411">
        <f>IF(M110="nio",0,IF(M110&gt;0,VLOOKUP(I110,'3-Productie normen'!A:P,VLOOKUP(M110,'3-Productie normen'!$B$38:$C$48,2,FALSE),FALSE)))</f>
        <v>0</v>
      </c>
      <c r="T110" s="411">
        <f t="shared" si="8"/>
        <v>0</v>
      </c>
      <c r="U110" s="411">
        <f t="shared" si="11"/>
        <v>0</v>
      </c>
      <c r="V110" s="412"/>
      <c r="X110" s="413">
        <f t="shared" si="9"/>
        <v>13770</v>
      </c>
    </row>
    <row r="111" spans="1:24" ht="14.1" customHeight="1">
      <c r="A111" s="70">
        <f t="shared" si="10"/>
        <v>111</v>
      </c>
      <c r="B111" s="354" t="s">
        <v>43</v>
      </c>
      <c r="C111" s="354" t="s">
        <v>164</v>
      </c>
      <c r="D111" s="354" t="s">
        <v>165</v>
      </c>
      <c r="E111" s="404" t="s">
        <v>166</v>
      </c>
      <c r="F111" s="405" t="s">
        <v>167</v>
      </c>
      <c r="G111" s="406" t="s">
        <v>196</v>
      </c>
      <c r="H111" s="399" t="s">
        <v>172</v>
      </c>
      <c r="I111" s="383" t="s">
        <v>105</v>
      </c>
      <c r="J111" s="399" t="s">
        <v>218</v>
      </c>
      <c r="K111" s="407">
        <v>22</v>
      </c>
      <c r="L111" s="408">
        <f t="shared" si="12"/>
        <v>255</v>
      </c>
      <c r="M111" s="409">
        <v>255</v>
      </c>
      <c r="N111" s="409"/>
      <c r="O111" s="409"/>
      <c r="P111" s="410" t="e">
        <f>IF(M111="nio",0,IF(M111&gt;0,M111*K111/S111,0))*VLOOKUP(B111,'2-Kosten per locatie'!$A$14:$C$61,3,FALSE)</f>
        <v>#DIV/0!</v>
      </c>
      <c r="Q111" s="410">
        <f>IF(N111&gt;0,N111*K111/T111,0)*VLOOKUP(B111,'2-Kosten per locatie'!$A$14:$C$61,3,FALSE)</f>
        <v>0</v>
      </c>
      <c r="R111" s="410">
        <f>IF(O111&gt;0,O111*K111/U111,0)*VLOOKUP(B111,'2-Kosten per locatie'!$A$14:$C$61,3,FALSE)</f>
        <v>0</v>
      </c>
      <c r="S111" s="411">
        <f>IF(M111="nio",0,IF(M111&gt;0,VLOOKUP(I111,'3-Productie normen'!A:P,VLOOKUP(M111,'3-Productie normen'!$B$38:$C$48,2,FALSE),FALSE)))</f>
        <v>0</v>
      </c>
      <c r="T111" s="411">
        <f t="shared" si="8"/>
        <v>0</v>
      </c>
      <c r="U111" s="411">
        <f t="shared" si="11"/>
        <v>0</v>
      </c>
      <c r="V111" s="412"/>
      <c r="X111" s="413">
        <f t="shared" si="9"/>
        <v>5610</v>
      </c>
    </row>
    <row r="112" spans="1:24" ht="14.1" customHeight="1">
      <c r="A112" s="70">
        <f t="shared" si="10"/>
        <v>112</v>
      </c>
      <c r="B112" s="354" t="s">
        <v>43</v>
      </c>
      <c r="C112" s="354" t="s">
        <v>164</v>
      </c>
      <c r="D112" s="354" t="s">
        <v>165</v>
      </c>
      <c r="E112" s="404" t="s">
        <v>166</v>
      </c>
      <c r="F112" s="405" t="s">
        <v>167</v>
      </c>
      <c r="G112" s="406" t="s">
        <v>198</v>
      </c>
      <c r="H112" s="399" t="s">
        <v>186</v>
      </c>
      <c r="I112" s="399" t="s">
        <v>120</v>
      </c>
      <c r="J112" s="399" t="s">
        <v>218</v>
      </c>
      <c r="K112" s="407">
        <v>5.5</v>
      </c>
      <c r="L112" s="408">
        <f t="shared" si="12"/>
        <v>255</v>
      </c>
      <c r="M112" s="409">
        <v>255</v>
      </c>
      <c r="N112" s="409"/>
      <c r="O112" s="409"/>
      <c r="P112" s="410" t="e">
        <f>IF(M112="nio",0,IF(M112&gt;0,M112*K112/S112,0))*VLOOKUP(B112,'2-Kosten per locatie'!$A$14:$C$61,3,FALSE)</f>
        <v>#DIV/0!</v>
      </c>
      <c r="Q112" s="410">
        <f>IF(N112&gt;0,N112*K112/T112,0)*VLOOKUP(B112,'2-Kosten per locatie'!$A$14:$C$61,3,FALSE)</f>
        <v>0</v>
      </c>
      <c r="R112" s="410">
        <f>IF(O112&gt;0,O112*K112/U112,0)*VLOOKUP(B112,'2-Kosten per locatie'!$A$14:$C$61,3,FALSE)</f>
        <v>0</v>
      </c>
      <c r="S112" s="411">
        <f>IF(M112="nio",0,IF(M112&gt;0,VLOOKUP(I112,'3-Productie normen'!A:P,VLOOKUP(M112,'3-Productie normen'!$B$38:$C$48,2,FALSE),FALSE)))</f>
        <v>0</v>
      </c>
      <c r="T112" s="411">
        <f t="shared" si="8"/>
        <v>0</v>
      </c>
      <c r="U112" s="411">
        <f t="shared" si="11"/>
        <v>0</v>
      </c>
      <c r="V112" s="412"/>
      <c r="X112" s="413">
        <f t="shared" si="9"/>
        <v>1402.5</v>
      </c>
    </row>
    <row r="113" spans="1:24" ht="14.1" customHeight="1">
      <c r="A113" s="70">
        <f t="shared" si="10"/>
        <v>113</v>
      </c>
      <c r="B113" s="354" t="s">
        <v>43</v>
      </c>
      <c r="C113" s="354" t="s">
        <v>164</v>
      </c>
      <c r="D113" s="354" t="s">
        <v>165</v>
      </c>
      <c r="E113" s="404" t="s">
        <v>166</v>
      </c>
      <c r="F113" s="405" t="s">
        <v>167</v>
      </c>
      <c r="G113" s="406" t="s">
        <v>199</v>
      </c>
      <c r="H113" s="399" t="s">
        <v>181</v>
      </c>
      <c r="I113" s="399" t="s">
        <v>121</v>
      </c>
      <c r="J113" s="399" t="s">
        <v>179</v>
      </c>
      <c r="K113" s="407">
        <v>29</v>
      </c>
      <c r="L113" s="408">
        <f t="shared" si="12"/>
        <v>255</v>
      </c>
      <c r="M113" s="409">
        <v>255</v>
      </c>
      <c r="N113" s="409"/>
      <c r="O113" s="409"/>
      <c r="P113" s="410" t="e">
        <f>IF(M113="nio",0,IF(M113&gt;0,M113*K113/S113,0))*VLOOKUP(B113,'2-Kosten per locatie'!$A$14:$C$61,3,FALSE)</f>
        <v>#DIV/0!</v>
      </c>
      <c r="Q113" s="410">
        <f>IF(N113&gt;0,N113*K113/T113,0)*VLOOKUP(B113,'2-Kosten per locatie'!$A$14:$C$61,3,FALSE)</f>
        <v>0</v>
      </c>
      <c r="R113" s="410">
        <f>IF(O113&gt;0,O113*K113/U113,0)*VLOOKUP(B113,'2-Kosten per locatie'!$A$14:$C$61,3,FALSE)</f>
        <v>0</v>
      </c>
      <c r="S113" s="411">
        <f>IF(M113="nio",0,IF(M113&gt;0,VLOOKUP(I113,'3-Productie normen'!A:P,VLOOKUP(M113,'3-Productie normen'!$B$38:$C$48,2,FALSE),FALSE)))</f>
        <v>0</v>
      </c>
      <c r="T113" s="411">
        <f t="shared" si="8"/>
        <v>0</v>
      </c>
      <c r="U113" s="411">
        <f t="shared" si="11"/>
        <v>0</v>
      </c>
      <c r="V113" s="412"/>
      <c r="X113" s="413">
        <f t="shared" si="9"/>
        <v>7395</v>
      </c>
    </row>
    <row r="114" spans="1:24" ht="14.1" customHeight="1">
      <c r="A114" s="70">
        <f t="shared" si="10"/>
        <v>114</v>
      </c>
      <c r="B114" s="354" t="s">
        <v>43</v>
      </c>
      <c r="C114" s="354" t="s">
        <v>164</v>
      </c>
      <c r="D114" s="354" t="s">
        <v>165</v>
      </c>
      <c r="E114" s="404" t="s">
        <v>166</v>
      </c>
      <c r="F114" s="405" t="s">
        <v>167</v>
      </c>
      <c r="G114" s="406" t="s">
        <v>202</v>
      </c>
      <c r="H114" s="399" t="s">
        <v>183</v>
      </c>
      <c r="I114" s="399" t="s">
        <v>106</v>
      </c>
      <c r="J114" s="399" t="s">
        <v>179</v>
      </c>
      <c r="K114" s="407">
        <v>5</v>
      </c>
      <c r="L114" s="408">
        <f t="shared" si="12"/>
        <v>255</v>
      </c>
      <c r="M114" s="409">
        <v>255</v>
      </c>
      <c r="N114" s="409"/>
      <c r="O114" s="409"/>
      <c r="P114" s="410" t="e">
        <f>IF(M114="nio",0,IF(M114&gt;0,M114*K114/S114,0))*VLOOKUP(B114,'2-Kosten per locatie'!$A$14:$C$61,3,FALSE)</f>
        <v>#DIV/0!</v>
      </c>
      <c r="Q114" s="410">
        <f>IF(N114&gt;0,N114*K114/T114,0)*VLOOKUP(B114,'2-Kosten per locatie'!$A$14:$C$61,3,FALSE)</f>
        <v>0</v>
      </c>
      <c r="R114" s="410">
        <f>IF(O114&gt;0,O114*K114/U114,0)*VLOOKUP(B114,'2-Kosten per locatie'!$A$14:$C$61,3,FALSE)</f>
        <v>0</v>
      </c>
      <c r="S114" s="411">
        <f>IF(M114="nio",0,IF(M114&gt;0,VLOOKUP(I114,'3-Productie normen'!A:P,VLOOKUP(M114,'3-Productie normen'!$B$38:$C$48,2,FALSE),FALSE)))</f>
        <v>0</v>
      </c>
      <c r="T114" s="411">
        <f t="shared" si="8"/>
        <v>0</v>
      </c>
      <c r="U114" s="411">
        <f t="shared" si="11"/>
        <v>0</v>
      </c>
      <c r="V114" s="412"/>
      <c r="X114" s="413">
        <f t="shared" si="9"/>
        <v>1275</v>
      </c>
    </row>
    <row r="115" spans="1:24" ht="14.1" customHeight="1">
      <c r="A115" s="70">
        <f t="shared" si="10"/>
        <v>115</v>
      </c>
      <c r="B115" s="354" t="s">
        <v>43</v>
      </c>
      <c r="C115" s="354" t="s">
        <v>164</v>
      </c>
      <c r="D115" s="354" t="s">
        <v>165</v>
      </c>
      <c r="E115" s="404" t="s">
        <v>166</v>
      </c>
      <c r="F115" s="405" t="s">
        <v>167</v>
      </c>
      <c r="G115" s="406" t="s">
        <v>203</v>
      </c>
      <c r="H115" s="399" t="s">
        <v>183</v>
      </c>
      <c r="I115" s="399" t="s">
        <v>106</v>
      </c>
      <c r="J115" s="399" t="s">
        <v>179</v>
      </c>
      <c r="K115" s="407">
        <v>5</v>
      </c>
      <c r="L115" s="408">
        <f t="shared" si="12"/>
        <v>255</v>
      </c>
      <c r="M115" s="409">
        <v>255</v>
      </c>
      <c r="N115" s="409"/>
      <c r="O115" s="409"/>
      <c r="P115" s="410" t="e">
        <f>IF(M115="nio",0,IF(M115&gt;0,M115*K115/S115,0))*VLOOKUP(B115,'2-Kosten per locatie'!$A$14:$C$61,3,FALSE)</f>
        <v>#DIV/0!</v>
      </c>
      <c r="Q115" s="410">
        <f>IF(N115&gt;0,N115*K115/T115,0)*VLOOKUP(B115,'2-Kosten per locatie'!$A$14:$C$61,3,FALSE)</f>
        <v>0</v>
      </c>
      <c r="R115" s="410">
        <f>IF(O115&gt;0,O115*K115/U115,0)*VLOOKUP(B115,'2-Kosten per locatie'!$A$14:$C$61,3,FALSE)</f>
        <v>0</v>
      </c>
      <c r="S115" s="411">
        <f>IF(M115="nio",0,IF(M115&gt;0,VLOOKUP(I115,'3-Productie normen'!A:P,VLOOKUP(M115,'3-Productie normen'!$B$38:$C$48,2,FALSE),FALSE)))</f>
        <v>0</v>
      </c>
      <c r="T115" s="411">
        <f t="shared" si="8"/>
        <v>0</v>
      </c>
      <c r="U115" s="411">
        <f t="shared" si="11"/>
        <v>0</v>
      </c>
      <c r="V115" s="412"/>
      <c r="X115" s="413">
        <f t="shared" si="9"/>
        <v>1275</v>
      </c>
    </row>
    <row r="116" spans="1:24" ht="14.1" customHeight="1">
      <c r="A116" s="70">
        <f t="shared" si="10"/>
        <v>116</v>
      </c>
      <c r="B116" s="354" t="s">
        <v>43</v>
      </c>
      <c r="C116" s="354" t="s">
        <v>164</v>
      </c>
      <c r="D116" s="354" t="s">
        <v>165</v>
      </c>
      <c r="E116" s="404" t="s">
        <v>166</v>
      </c>
      <c r="F116" s="405" t="s">
        <v>167</v>
      </c>
      <c r="G116" s="406" t="s">
        <v>204</v>
      </c>
      <c r="H116" s="399" t="s">
        <v>291</v>
      </c>
      <c r="I116" s="399" t="s">
        <v>106</v>
      </c>
      <c r="J116" s="399" t="s">
        <v>179</v>
      </c>
      <c r="K116" s="407">
        <v>3.5</v>
      </c>
      <c r="L116" s="408">
        <f t="shared" si="12"/>
        <v>255</v>
      </c>
      <c r="M116" s="409">
        <v>255</v>
      </c>
      <c r="N116" s="409"/>
      <c r="O116" s="409"/>
      <c r="P116" s="410" t="e">
        <f>IF(M116="nio",0,IF(M116&gt;0,M116*K116/S116,0))*VLOOKUP(B116,'2-Kosten per locatie'!$A$14:$C$61,3,FALSE)</f>
        <v>#DIV/0!</v>
      </c>
      <c r="Q116" s="410">
        <f>IF(N116&gt;0,N116*K116/T116,0)*VLOOKUP(B116,'2-Kosten per locatie'!$A$14:$C$61,3,FALSE)</f>
        <v>0</v>
      </c>
      <c r="R116" s="410">
        <f>IF(O116&gt;0,O116*K116/U116,0)*VLOOKUP(B116,'2-Kosten per locatie'!$A$14:$C$61,3,FALSE)</f>
        <v>0</v>
      </c>
      <c r="S116" s="411">
        <f>IF(M116="nio",0,IF(M116&gt;0,VLOOKUP(I116,'3-Productie normen'!A:P,VLOOKUP(M116,'3-Productie normen'!$B$38:$C$48,2,FALSE),FALSE)))</f>
        <v>0</v>
      </c>
      <c r="T116" s="411">
        <f t="shared" si="8"/>
        <v>0</v>
      </c>
      <c r="U116" s="411">
        <f t="shared" si="11"/>
        <v>0</v>
      </c>
      <c r="V116" s="412"/>
      <c r="X116" s="413">
        <f t="shared" si="9"/>
        <v>892.5</v>
      </c>
    </row>
    <row r="117" spans="1:24" ht="14.1" customHeight="1">
      <c r="A117" s="70">
        <f t="shared" si="10"/>
        <v>117</v>
      </c>
      <c r="B117" s="354" t="s">
        <v>44</v>
      </c>
      <c r="C117" s="354" t="s">
        <v>292</v>
      </c>
      <c r="D117" s="354" t="s">
        <v>165</v>
      </c>
      <c r="E117" s="404" t="s">
        <v>234</v>
      </c>
      <c r="F117" s="405" t="s">
        <v>167</v>
      </c>
      <c r="G117" s="406" t="s">
        <v>293</v>
      </c>
      <c r="H117" s="399" t="s">
        <v>294</v>
      </c>
      <c r="I117" s="399" t="s">
        <v>107</v>
      </c>
      <c r="J117" s="399" t="s">
        <v>179</v>
      </c>
      <c r="K117" s="407">
        <v>19.7</v>
      </c>
      <c r="L117" s="408">
        <f t="shared" si="12"/>
        <v>255</v>
      </c>
      <c r="M117" s="409">
        <v>255</v>
      </c>
      <c r="N117" s="409"/>
      <c r="O117" s="409"/>
      <c r="P117" s="410" t="e">
        <f>IF(M117="nio",0,IF(M117&gt;0,M117*K117/S117,0))*VLOOKUP(B117,'2-Kosten per locatie'!$A$14:$C$61,3,FALSE)</f>
        <v>#DIV/0!</v>
      </c>
      <c r="Q117" s="410">
        <f>IF(N117&gt;0,N117*K117/T117,0)*VLOOKUP(B117,'2-Kosten per locatie'!$A$14:$C$61,3,FALSE)</f>
        <v>0</v>
      </c>
      <c r="R117" s="410">
        <f>IF(O117&gt;0,O117*K117/U117,0)*VLOOKUP(B117,'2-Kosten per locatie'!$A$14:$C$61,3,FALSE)</f>
        <v>0</v>
      </c>
      <c r="S117" s="411">
        <f>IF(M117="nio",0,IF(M117&gt;0,VLOOKUP(I117,'3-Productie normen'!A:P,VLOOKUP(M117,'3-Productie normen'!$B$38:$C$48,2,FALSE),FALSE)))</f>
        <v>0</v>
      </c>
      <c r="T117" s="411">
        <f t="shared" si="8"/>
        <v>0</v>
      </c>
      <c r="U117" s="411">
        <f t="shared" si="11"/>
        <v>0</v>
      </c>
      <c r="V117" s="412"/>
      <c r="X117" s="413">
        <f t="shared" si="9"/>
        <v>5023.5</v>
      </c>
    </row>
    <row r="118" spans="1:24" ht="14.1" customHeight="1">
      <c r="A118" s="70">
        <f t="shared" si="10"/>
        <v>118</v>
      </c>
      <c r="B118" s="354" t="s">
        <v>44</v>
      </c>
      <c r="C118" s="354" t="s">
        <v>292</v>
      </c>
      <c r="D118" s="354" t="s">
        <v>165</v>
      </c>
      <c r="E118" s="404" t="s">
        <v>234</v>
      </c>
      <c r="F118" s="405" t="s">
        <v>167</v>
      </c>
      <c r="G118" s="406" t="s">
        <v>295</v>
      </c>
      <c r="H118" s="399" t="s">
        <v>290</v>
      </c>
      <c r="I118" s="399" t="s">
        <v>108</v>
      </c>
      <c r="J118" s="399" t="s">
        <v>179</v>
      </c>
      <c r="K118" s="407">
        <v>22</v>
      </c>
      <c r="L118" s="408">
        <f t="shared" si="12"/>
        <v>255</v>
      </c>
      <c r="M118" s="409">
        <v>255</v>
      </c>
      <c r="N118" s="409"/>
      <c r="O118" s="409"/>
      <c r="P118" s="410" t="e">
        <f>IF(M118="nio",0,IF(M118&gt;0,M118*K118/S118,0))*VLOOKUP(B118,'2-Kosten per locatie'!$A$14:$C$61,3,FALSE)</f>
        <v>#DIV/0!</v>
      </c>
      <c r="Q118" s="410">
        <f>IF(N118&gt;0,N118*K118/T118,0)*VLOOKUP(B118,'2-Kosten per locatie'!$A$14:$C$61,3,FALSE)</f>
        <v>0</v>
      </c>
      <c r="R118" s="410">
        <f>IF(O118&gt;0,O118*K118/U118,0)*VLOOKUP(B118,'2-Kosten per locatie'!$A$14:$C$61,3,FALSE)</f>
        <v>0</v>
      </c>
      <c r="S118" s="411">
        <f>IF(M118="nio",0,IF(M118&gt;0,VLOOKUP(I118,'3-Productie normen'!A:P,VLOOKUP(M118,'3-Productie normen'!$B$38:$C$48,2,FALSE),FALSE)))</f>
        <v>0</v>
      </c>
      <c r="T118" s="411">
        <f t="shared" si="8"/>
        <v>0</v>
      </c>
      <c r="U118" s="411">
        <f t="shared" si="11"/>
        <v>0</v>
      </c>
      <c r="V118" s="412"/>
      <c r="X118" s="413">
        <f t="shared" si="9"/>
        <v>5610</v>
      </c>
    </row>
    <row r="119" spans="1:24" ht="14.1" customHeight="1">
      <c r="A119" s="70">
        <f t="shared" si="10"/>
        <v>119</v>
      </c>
      <c r="B119" s="354" t="s">
        <v>44</v>
      </c>
      <c r="C119" s="354" t="s">
        <v>292</v>
      </c>
      <c r="D119" s="354" t="s">
        <v>165</v>
      </c>
      <c r="E119" s="404" t="s">
        <v>234</v>
      </c>
      <c r="F119" s="405" t="s">
        <v>167</v>
      </c>
      <c r="G119" s="406" t="s">
        <v>296</v>
      </c>
      <c r="H119" s="399" t="s">
        <v>297</v>
      </c>
      <c r="I119" s="383" t="s">
        <v>113</v>
      </c>
      <c r="J119" s="399"/>
      <c r="K119" s="407">
        <v>2.7</v>
      </c>
      <c r="L119" s="408">
        <f t="shared" si="12"/>
        <v>52</v>
      </c>
      <c r="M119" s="409">
        <v>52</v>
      </c>
      <c r="N119" s="409"/>
      <c r="O119" s="409"/>
      <c r="P119" s="410" t="e">
        <f>IF(M119="nio",0,IF(M119&gt;0,M119*K119/S119,0))*VLOOKUP(B119,'2-Kosten per locatie'!$A$14:$C$61,3,FALSE)</f>
        <v>#DIV/0!</v>
      </c>
      <c r="Q119" s="410">
        <f>IF(N119&gt;0,N119*K119/T119,0)*VLOOKUP(B119,'2-Kosten per locatie'!$A$14:$C$61,3,FALSE)</f>
        <v>0</v>
      </c>
      <c r="R119" s="410">
        <f>IF(O119&gt;0,O119*K119/U119,0)*VLOOKUP(B119,'2-Kosten per locatie'!$A$14:$C$61,3,FALSE)</f>
        <v>0</v>
      </c>
      <c r="S119" s="411">
        <f>IF(M119="nio",0,IF(M119&gt;0,VLOOKUP(I119,'3-Productie normen'!A:P,VLOOKUP(M119,'3-Productie normen'!$B$38:$C$48,2,FALSE),FALSE)))</f>
        <v>0</v>
      </c>
      <c r="T119" s="411">
        <f t="shared" si="8"/>
        <v>0</v>
      </c>
      <c r="U119" s="411">
        <f t="shared" si="11"/>
        <v>0</v>
      </c>
      <c r="V119" s="412"/>
      <c r="X119" s="413">
        <f t="shared" si="9"/>
        <v>140.4</v>
      </c>
    </row>
    <row r="120" spans="1:24" ht="14.1" customHeight="1">
      <c r="A120" s="70">
        <f t="shared" si="10"/>
        <v>120</v>
      </c>
      <c r="B120" s="354" t="s">
        <v>44</v>
      </c>
      <c r="C120" s="354" t="s">
        <v>292</v>
      </c>
      <c r="D120" s="354" t="s">
        <v>165</v>
      </c>
      <c r="E120" s="404" t="s">
        <v>234</v>
      </c>
      <c r="F120" s="405" t="s">
        <v>167</v>
      </c>
      <c r="G120" s="406" t="s">
        <v>298</v>
      </c>
      <c r="H120" s="399" t="s">
        <v>220</v>
      </c>
      <c r="I120" s="399" t="s">
        <v>108</v>
      </c>
      <c r="J120" s="399" t="s">
        <v>171</v>
      </c>
      <c r="K120" s="407">
        <v>13.9</v>
      </c>
      <c r="L120" s="408">
        <f t="shared" si="12"/>
        <v>255</v>
      </c>
      <c r="M120" s="409">
        <v>255</v>
      </c>
      <c r="N120" s="409"/>
      <c r="O120" s="409"/>
      <c r="P120" s="410" t="e">
        <f>IF(M120="nio",0,IF(M120&gt;0,M120*K120/S120,0))*VLOOKUP(B120,'2-Kosten per locatie'!$A$14:$C$61,3,FALSE)</f>
        <v>#DIV/0!</v>
      </c>
      <c r="Q120" s="410">
        <f>IF(N120&gt;0,N120*K120/T120,0)*VLOOKUP(B120,'2-Kosten per locatie'!$A$14:$C$61,3,FALSE)</f>
        <v>0</v>
      </c>
      <c r="R120" s="410">
        <f>IF(O120&gt;0,O120*K120/U120,0)*VLOOKUP(B120,'2-Kosten per locatie'!$A$14:$C$61,3,FALSE)</f>
        <v>0</v>
      </c>
      <c r="S120" s="411">
        <f>IF(M120="nio",0,IF(M120&gt;0,VLOOKUP(I120,'3-Productie normen'!A:P,VLOOKUP(M120,'3-Productie normen'!$B$38:$C$48,2,FALSE),FALSE)))</f>
        <v>0</v>
      </c>
      <c r="T120" s="411">
        <f t="shared" si="8"/>
        <v>0</v>
      </c>
      <c r="U120" s="411">
        <f t="shared" si="11"/>
        <v>0</v>
      </c>
      <c r="V120" s="412"/>
      <c r="X120" s="413">
        <f t="shared" si="9"/>
        <v>3544.5</v>
      </c>
    </row>
    <row r="121" spans="1:24" ht="14.1" customHeight="1">
      <c r="A121" s="70">
        <f t="shared" si="10"/>
        <v>121</v>
      </c>
      <c r="B121" s="354" t="s">
        <v>44</v>
      </c>
      <c r="C121" s="354" t="s">
        <v>292</v>
      </c>
      <c r="D121" s="354" t="s">
        <v>165</v>
      </c>
      <c r="E121" s="404" t="s">
        <v>234</v>
      </c>
      <c r="F121" s="405" t="s">
        <v>167</v>
      </c>
      <c r="G121" s="406" t="s">
        <v>299</v>
      </c>
      <c r="H121" s="399" t="s">
        <v>300</v>
      </c>
      <c r="I121" s="399" t="s">
        <v>117</v>
      </c>
      <c r="J121" s="399" t="s">
        <v>173</v>
      </c>
      <c r="K121" s="407">
        <v>2</v>
      </c>
      <c r="L121" s="408">
        <f t="shared" si="12"/>
        <v>156</v>
      </c>
      <c r="M121" s="409">
        <v>156</v>
      </c>
      <c r="N121" s="409"/>
      <c r="O121" s="409"/>
      <c r="P121" s="410" t="e">
        <f>IF(M121="nio",0,IF(M121&gt;0,M121*K121/S121,0))*VLOOKUP(B121,'2-Kosten per locatie'!$A$14:$C$61,3,FALSE)</f>
        <v>#DIV/0!</v>
      </c>
      <c r="Q121" s="410">
        <f>IF(N121&gt;0,N121*K121/T121,0)*VLOOKUP(B121,'2-Kosten per locatie'!$A$14:$C$61,3,FALSE)</f>
        <v>0</v>
      </c>
      <c r="R121" s="410">
        <f>IF(O121&gt;0,O121*K121/U121,0)*VLOOKUP(B121,'2-Kosten per locatie'!$A$14:$C$61,3,FALSE)</f>
        <v>0</v>
      </c>
      <c r="S121" s="411">
        <f>IF(M121="nio",0,IF(M121&gt;0,VLOOKUP(I121,'3-Productie normen'!A:P,VLOOKUP(M121,'3-Productie normen'!$B$38:$C$48,2,FALSE),FALSE)))</f>
        <v>0</v>
      </c>
      <c r="T121" s="411">
        <f t="shared" si="8"/>
        <v>0</v>
      </c>
      <c r="U121" s="411">
        <f t="shared" si="11"/>
        <v>0</v>
      </c>
      <c r="V121" s="412"/>
      <c r="X121" s="413">
        <f t="shared" si="9"/>
        <v>312</v>
      </c>
    </row>
    <row r="122" spans="1:24" ht="14.1" customHeight="1">
      <c r="A122" s="70">
        <f t="shared" si="10"/>
        <v>122</v>
      </c>
      <c r="B122" s="354" t="s">
        <v>44</v>
      </c>
      <c r="C122" s="354" t="s">
        <v>292</v>
      </c>
      <c r="D122" s="354" t="s">
        <v>165</v>
      </c>
      <c r="E122" s="404" t="s">
        <v>234</v>
      </c>
      <c r="F122" s="405" t="s">
        <v>301</v>
      </c>
      <c r="G122" s="406" t="s">
        <v>207</v>
      </c>
      <c r="H122" s="399" t="s">
        <v>302</v>
      </c>
      <c r="I122" s="399" t="s">
        <v>105</v>
      </c>
      <c r="J122" s="399" t="s">
        <v>173</v>
      </c>
      <c r="K122" s="407">
        <v>8.8000000000000007</v>
      </c>
      <c r="L122" s="408">
        <f t="shared" si="12"/>
        <v>255</v>
      </c>
      <c r="M122" s="409">
        <v>255</v>
      </c>
      <c r="N122" s="409"/>
      <c r="O122" s="409"/>
      <c r="P122" s="410" t="e">
        <f>IF(M122="nio",0,IF(M122&gt;0,M122*K122/S122,0))*VLOOKUP(B122,'2-Kosten per locatie'!$A$14:$C$61,3,FALSE)</f>
        <v>#DIV/0!</v>
      </c>
      <c r="Q122" s="410">
        <f>IF(N122&gt;0,N122*K122/T122,0)*VLOOKUP(B122,'2-Kosten per locatie'!$A$14:$C$61,3,FALSE)</f>
        <v>0</v>
      </c>
      <c r="R122" s="410">
        <f>IF(O122&gt;0,O122*K122/U122,0)*VLOOKUP(B122,'2-Kosten per locatie'!$A$14:$C$61,3,FALSE)</f>
        <v>0</v>
      </c>
      <c r="S122" s="411">
        <f>IF(M122="nio",0,IF(M122&gt;0,VLOOKUP(I122,'3-Productie normen'!A:P,VLOOKUP(M122,'3-Productie normen'!$B$38:$C$48,2,FALSE),FALSE)))</f>
        <v>0</v>
      </c>
      <c r="T122" s="411">
        <f t="shared" si="8"/>
        <v>0</v>
      </c>
      <c r="U122" s="411">
        <f t="shared" si="11"/>
        <v>0</v>
      </c>
      <c r="V122" s="412"/>
      <c r="X122" s="413">
        <f t="shared" si="9"/>
        <v>2244</v>
      </c>
    </row>
    <row r="123" spans="1:24" ht="14.1" customHeight="1">
      <c r="A123" s="70">
        <f t="shared" si="10"/>
        <v>123</v>
      </c>
      <c r="B123" s="354" t="s">
        <v>44</v>
      </c>
      <c r="C123" s="354" t="s">
        <v>292</v>
      </c>
      <c r="D123" s="354" t="s">
        <v>165</v>
      </c>
      <c r="E123" s="404" t="s">
        <v>234</v>
      </c>
      <c r="F123" s="405" t="s">
        <v>167</v>
      </c>
      <c r="G123" s="406" t="s">
        <v>303</v>
      </c>
      <c r="H123" s="399" t="s">
        <v>220</v>
      </c>
      <c r="I123" s="399" t="s">
        <v>108</v>
      </c>
      <c r="J123" s="399" t="s">
        <v>171</v>
      </c>
      <c r="K123" s="407">
        <v>43.8</v>
      </c>
      <c r="L123" s="408">
        <f t="shared" si="12"/>
        <v>156</v>
      </c>
      <c r="M123" s="409">
        <v>156</v>
      </c>
      <c r="N123" s="409"/>
      <c r="O123" s="409"/>
      <c r="P123" s="410" t="e">
        <f>IF(M123="nio",0,IF(M123&gt;0,M123*K123/S123,0))*VLOOKUP(B123,'2-Kosten per locatie'!$A$14:$C$61,3,FALSE)</f>
        <v>#DIV/0!</v>
      </c>
      <c r="Q123" s="410">
        <f>IF(N123&gt;0,N123*K123/T123,0)*VLOOKUP(B123,'2-Kosten per locatie'!$A$14:$C$61,3,FALSE)</f>
        <v>0</v>
      </c>
      <c r="R123" s="410">
        <f>IF(O123&gt;0,O123*K123/U123,0)*VLOOKUP(B123,'2-Kosten per locatie'!$A$14:$C$61,3,FALSE)</f>
        <v>0</v>
      </c>
      <c r="S123" s="411">
        <f>IF(M123="nio",0,IF(M123&gt;0,VLOOKUP(I123,'3-Productie normen'!A:P,VLOOKUP(M123,'3-Productie normen'!$B$38:$C$48,2,FALSE),FALSE)))</f>
        <v>0</v>
      </c>
      <c r="T123" s="411">
        <f t="shared" si="8"/>
        <v>0</v>
      </c>
      <c r="U123" s="411">
        <f t="shared" si="11"/>
        <v>0</v>
      </c>
      <c r="V123" s="412"/>
      <c r="X123" s="413">
        <f t="shared" si="9"/>
        <v>6832.7999999999993</v>
      </c>
    </row>
    <row r="124" spans="1:24" ht="14.1" customHeight="1">
      <c r="A124" s="70">
        <f t="shared" si="10"/>
        <v>124</v>
      </c>
      <c r="B124" s="354" t="s">
        <v>44</v>
      </c>
      <c r="C124" s="354" t="s">
        <v>292</v>
      </c>
      <c r="D124" s="354" t="s">
        <v>165</v>
      </c>
      <c r="E124" s="404" t="s">
        <v>234</v>
      </c>
      <c r="F124" s="405" t="s">
        <v>167</v>
      </c>
      <c r="G124" s="406" t="s">
        <v>304</v>
      </c>
      <c r="H124" s="399" t="s">
        <v>305</v>
      </c>
      <c r="I124" s="399" t="s">
        <v>116</v>
      </c>
      <c r="J124" s="399"/>
      <c r="K124" s="407">
        <v>14.7</v>
      </c>
      <c r="L124" s="408">
        <f t="shared" si="12"/>
        <v>156</v>
      </c>
      <c r="M124" s="409">
        <v>156</v>
      </c>
      <c r="N124" s="409"/>
      <c r="O124" s="409"/>
      <c r="P124" s="410" t="e">
        <f>IF(M124="nio",0,IF(M124&gt;0,M124*K124/S124,0))*VLOOKUP(B124,'2-Kosten per locatie'!$A$14:$C$61,3,FALSE)</f>
        <v>#DIV/0!</v>
      </c>
      <c r="Q124" s="410">
        <f>IF(N124&gt;0,N124*K124/T124,0)*VLOOKUP(B124,'2-Kosten per locatie'!$A$14:$C$61,3,FALSE)</f>
        <v>0</v>
      </c>
      <c r="R124" s="410">
        <f>IF(O124&gt;0,O124*K124/U124,0)*VLOOKUP(B124,'2-Kosten per locatie'!$A$14:$C$61,3,FALSE)</f>
        <v>0</v>
      </c>
      <c r="S124" s="411">
        <f>IF(M124="nio",0,IF(M124&gt;0,VLOOKUP(I124,'3-Productie normen'!A:P,VLOOKUP(M124,'3-Productie normen'!$B$38:$C$48,2,FALSE),FALSE)))</f>
        <v>0</v>
      </c>
      <c r="T124" s="411">
        <f t="shared" si="8"/>
        <v>0</v>
      </c>
      <c r="U124" s="411">
        <f t="shared" si="11"/>
        <v>0</v>
      </c>
      <c r="V124" s="412"/>
      <c r="X124" s="413">
        <f t="shared" si="9"/>
        <v>2293.1999999999998</v>
      </c>
    </row>
    <row r="125" spans="1:24" ht="14.1" customHeight="1">
      <c r="A125" s="70">
        <f t="shared" si="10"/>
        <v>125</v>
      </c>
      <c r="B125" s="354" t="s">
        <v>44</v>
      </c>
      <c r="C125" s="354" t="s">
        <v>292</v>
      </c>
      <c r="D125" s="354" t="s">
        <v>165</v>
      </c>
      <c r="E125" s="404" t="s">
        <v>234</v>
      </c>
      <c r="F125" s="405" t="s">
        <v>167</v>
      </c>
      <c r="G125" s="406" t="s">
        <v>306</v>
      </c>
      <c r="H125" s="399" t="s">
        <v>307</v>
      </c>
      <c r="I125" s="399" t="s">
        <v>106</v>
      </c>
      <c r="J125" s="399" t="s">
        <v>179</v>
      </c>
      <c r="K125" s="407">
        <v>2.7</v>
      </c>
      <c r="L125" s="408">
        <f t="shared" si="12"/>
        <v>255</v>
      </c>
      <c r="M125" s="409">
        <v>255</v>
      </c>
      <c r="N125" s="409"/>
      <c r="O125" s="409"/>
      <c r="P125" s="410" t="e">
        <f>IF(M125="nio",0,IF(M125&gt;0,M125*K125/S125,0))*VLOOKUP(B125,'2-Kosten per locatie'!$A$14:$C$61,3,FALSE)</f>
        <v>#DIV/0!</v>
      </c>
      <c r="Q125" s="410">
        <f>IF(N125&gt;0,N125*K125/T125,0)*VLOOKUP(B125,'2-Kosten per locatie'!$A$14:$C$61,3,FALSE)</f>
        <v>0</v>
      </c>
      <c r="R125" s="410">
        <f>IF(O125&gt;0,O125*K125/U125,0)*VLOOKUP(B125,'2-Kosten per locatie'!$A$14:$C$61,3,FALSE)</f>
        <v>0</v>
      </c>
      <c r="S125" s="411">
        <f>IF(M125="nio",0,IF(M125&gt;0,VLOOKUP(I125,'3-Productie normen'!A:P,VLOOKUP(M125,'3-Productie normen'!$B$38:$C$48,2,FALSE),FALSE)))</f>
        <v>0</v>
      </c>
      <c r="T125" s="411">
        <f t="shared" si="8"/>
        <v>0</v>
      </c>
      <c r="U125" s="411">
        <f t="shared" si="11"/>
        <v>0</v>
      </c>
      <c r="V125" s="412"/>
      <c r="X125" s="413">
        <f t="shared" si="9"/>
        <v>688.5</v>
      </c>
    </row>
    <row r="126" spans="1:24" ht="14.1" customHeight="1">
      <c r="A126" s="70">
        <f t="shared" si="10"/>
        <v>126</v>
      </c>
      <c r="B126" s="354" t="s">
        <v>44</v>
      </c>
      <c r="C126" s="354" t="s">
        <v>292</v>
      </c>
      <c r="D126" s="354" t="s">
        <v>165</v>
      </c>
      <c r="E126" s="404" t="s">
        <v>234</v>
      </c>
      <c r="F126" s="405" t="s">
        <v>167</v>
      </c>
      <c r="G126" s="406" t="s">
        <v>308</v>
      </c>
      <c r="H126" s="399" t="s">
        <v>307</v>
      </c>
      <c r="I126" s="399" t="s">
        <v>106</v>
      </c>
      <c r="J126" s="399" t="s">
        <v>179</v>
      </c>
      <c r="K126" s="407">
        <v>2.7</v>
      </c>
      <c r="L126" s="408">
        <f t="shared" si="12"/>
        <v>255</v>
      </c>
      <c r="M126" s="409">
        <v>255</v>
      </c>
      <c r="N126" s="409"/>
      <c r="O126" s="409"/>
      <c r="P126" s="410" t="e">
        <f>IF(M126="nio",0,IF(M126&gt;0,M126*K126/S126,0))*VLOOKUP(B126,'2-Kosten per locatie'!$A$14:$C$61,3,FALSE)</f>
        <v>#DIV/0!</v>
      </c>
      <c r="Q126" s="410">
        <f>IF(N126&gt;0,N126*K126/T126,0)*VLOOKUP(B126,'2-Kosten per locatie'!$A$14:$C$61,3,FALSE)</f>
        <v>0</v>
      </c>
      <c r="R126" s="410">
        <f>IF(O126&gt;0,O126*K126/U126,0)*VLOOKUP(B126,'2-Kosten per locatie'!$A$14:$C$61,3,FALSE)</f>
        <v>0</v>
      </c>
      <c r="S126" s="411">
        <f>IF(M126="nio",0,IF(M126&gt;0,VLOOKUP(I126,'3-Productie normen'!A:P,VLOOKUP(M126,'3-Productie normen'!$B$38:$C$48,2,FALSE),FALSE)))</f>
        <v>0</v>
      </c>
      <c r="T126" s="411">
        <f t="shared" si="8"/>
        <v>0</v>
      </c>
      <c r="U126" s="411">
        <f t="shared" si="11"/>
        <v>0</v>
      </c>
      <c r="V126" s="412"/>
      <c r="X126" s="413">
        <f t="shared" si="9"/>
        <v>688.5</v>
      </c>
    </row>
    <row r="127" spans="1:24" ht="14.1" customHeight="1">
      <c r="A127" s="70">
        <f t="shared" si="10"/>
        <v>127</v>
      </c>
      <c r="B127" s="354" t="s">
        <v>44</v>
      </c>
      <c r="C127" s="354" t="s">
        <v>292</v>
      </c>
      <c r="D127" s="354" t="s">
        <v>165</v>
      </c>
      <c r="E127" s="404" t="s">
        <v>234</v>
      </c>
      <c r="F127" s="405" t="s">
        <v>167</v>
      </c>
      <c r="G127" s="406" t="s">
        <v>309</v>
      </c>
      <c r="H127" s="399" t="s">
        <v>181</v>
      </c>
      <c r="I127" s="399" t="s">
        <v>109</v>
      </c>
      <c r="J127" s="399" t="s">
        <v>171</v>
      </c>
      <c r="K127" s="407">
        <v>8.1999999999999993</v>
      </c>
      <c r="L127" s="408">
        <f t="shared" si="12"/>
        <v>255</v>
      </c>
      <c r="M127" s="409">
        <v>255</v>
      </c>
      <c r="N127" s="409"/>
      <c r="O127" s="409"/>
      <c r="P127" s="410" t="e">
        <f>IF(M127="nio",0,IF(M127&gt;0,M127*K127/S127,0))*VLOOKUP(B127,'2-Kosten per locatie'!$A$14:$C$61,3,FALSE)</f>
        <v>#DIV/0!</v>
      </c>
      <c r="Q127" s="410">
        <f>IF(N127&gt;0,N127*K127/T127,0)*VLOOKUP(B127,'2-Kosten per locatie'!$A$14:$C$61,3,FALSE)</f>
        <v>0</v>
      </c>
      <c r="R127" s="410">
        <f>IF(O127&gt;0,O127*K127/U127,0)*VLOOKUP(B127,'2-Kosten per locatie'!$A$14:$C$61,3,FALSE)</f>
        <v>0</v>
      </c>
      <c r="S127" s="411">
        <f>IF(M127="nio",0,IF(M127&gt;0,VLOOKUP(I127,'3-Productie normen'!A:P,VLOOKUP(M127,'3-Productie normen'!$B$38:$C$48,2,FALSE),FALSE)))</f>
        <v>0</v>
      </c>
      <c r="T127" s="411">
        <f t="shared" si="8"/>
        <v>0</v>
      </c>
      <c r="U127" s="411">
        <f t="shared" si="11"/>
        <v>0</v>
      </c>
      <c r="V127" s="412"/>
      <c r="X127" s="413">
        <f t="shared" si="9"/>
        <v>2091</v>
      </c>
    </row>
    <row r="128" spans="1:24" ht="14.1" customHeight="1">
      <c r="A128" s="70">
        <f t="shared" si="10"/>
        <v>128</v>
      </c>
      <c r="B128" s="354" t="s">
        <v>44</v>
      </c>
      <c r="C128" s="354" t="s">
        <v>292</v>
      </c>
      <c r="D128" s="354" t="s">
        <v>165</v>
      </c>
      <c r="E128" s="404" t="s">
        <v>234</v>
      </c>
      <c r="F128" s="405" t="s">
        <v>301</v>
      </c>
      <c r="G128" s="406" t="s">
        <v>289</v>
      </c>
      <c r="H128" s="399" t="s">
        <v>172</v>
      </c>
      <c r="I128" s="399" t="s">
        <v>105</v>
      </c>
      <c r="J128" s="399" t="s">
        <v>310</v>
      </c>
      <c r="K128" s="407">
        <v>42.7</v>
      </c>
      <c r="L128" s="408">
        <f t="shared" si="12"/>
        <v>52</v>
      </c>
      <c r="M128" s="409">
        <v>52</v>
      </c>
      <c r="N128" s="409"/>
      <c r="O128" s="409"/>
      <c r="P128" s="410" t="e">
        <f>IF(M128="nio",0,IF(M128&gt;0,M128*K128/S128,0))*VLOOKUP(B128,'2-Kosten per locatie'!$A$14:$C$61,3,FALSE)</f>
        <v>#DIV/0!</v>
      </c>
      <c r="Q128" s="410">
        <f>IF(N128&gt;0,N128*K128/T128,0)*VLOOKUP(B128,'2-Kosten per locatie'!$A$14:$C$61,3,FALSE)</f>
        <v>0</v>
      </c>
      <c r="R128" s="410">
        <f>IF(O128&gt;0,O128*K128/U128,0)*VLOOKUP(B128,'2-Kosten per locatie'!$A$14:$C$61,3,FALSE)</f>
        <v>0</v>
      </c>
      <c r="S128" s="411">
        <f>IF(M128="nio",0,IF(M128&gt;0,VLOOKUP(I128,'3-Productie normen'!A:P,VLOOKUP(M128,'3-Productie normen'!$B$38:$C$48,2,FALSE),FALSE)))</f>
        <v>0</v>
      </c>
      <c r="T128" s="411">
        <f t="shared" si="8"/>
        <v>0</v>
      </c>
      <c r="U128" s="411">
        <f t="shared" si="11"/>
        <v>0</v>
      </c>
      <c r="V128" s="412"/>
      <c r="X128" s="413">
        <f t="shared" si="9"/>
        <v>2220.4</v>
      </c>
    </row>
    <row r="129" spans="1:24" ht="14.1" customHeight="1">
      <c r="A129" s="70">
        <f t="shared" si="10"/>
        <v>129</v>
      </c>
      <c r="B129" s="354" t="s">
        <v>44</v>
      </c>
      <c r="C129" s="354" t="s">
        <v>292</v>
      </c>
      <c r="D129" s="354" t="s">
        <v>165</v>
      </c>
      <c r="E129" s="404" t="s">
        <v>234</v>
      </c>
      <c r="F129" s="405" t="s">
        <v>301</v>
      </c>
      <c r="G129" s="406" t="s">
        <v>311</v>
      </c>
      <c r="H129" s="399" t="s">
        <v>172</v>
      </c>
      <c r="I129" s="399" t="s">
        <v>105</v>
      </c>
      <c r="J129" s="399" t="s">
        <v>310</v>
      </c>
      <c r="K129" s="407">
        <v>43</v>
      </c>
      <c r="L129" s="408">
        <f t="shared" si="12"/>
        <v>52</v>
      </c>
      <c r="M129" s="409">
        <v>52</v>
      </c>
      <c r="N129" s="409"/>
      <c r="O129" s="409"/>
      <c r="P129" s="410" t="e">
        <f>IF(M129="nio",0,IF(M129&gt;0,M129*K129/S129,0))*VLOOKUP(B129,'2-Kosten per locatie'!$A$14:$C$61,3,FALSE)</f>
        <v>#DIV/0!</v>
      </c>
      <c r="Q129" s="410">
        <f>IF(N129&gt;0,N129*K129/T129,0)*VLOOKUP(B129,'2-Kosten per locatie'!$A$14:$C$61,3,FALSE)</f>
        <v>0</v>
      </c>
      <c r="R129" s="410">
        <f>IF(O129&gt;0,O129*K129/U129,0)*VLOOKUP(B129,'2-Kosten per locatie'!$A$14:$C$61,3,FALSE)</f>
        <v>0</v>
      </c>
      <c r="S129" s="411">
        <f>IF(M129="nio",0,IF(M129&gt;0,VLOOKUP(I129,'3-Productie normen'!A:P,VLOOKUP(M129,'3-Productie normen'!$B$38:$C$48,2,FALSE),FALSE)))</f>
        <v>0</v>
      </c>
      <c r="T129" s="411">
        <f t="shared" si="8"/>
        <v>0</v>
      </c>
      <c r="U129" s="411">
        <f t="shared" si="11"/>
        <v>0</v>
      </c>
      <c r="V129" s="412"/>
      <c r="X129" s="413">
        <f t="shared" si="9"/>
        <v>2236</v>
      </c>
    </row>
    <row r="130" spans="1:24" ht="14.1" customHeight="1">
      <c r="A130" s="70">
        <f t="shared" si="10"/>
        <v>130</v>
      </c>
      <c r="B130" s="354" t="s">
        <v>44</v>
      </c>
      <c r="C130" s="354" t="s">
        <v>292</v>
      </c>
      <c r="D130" s="354" t="s">
        <v>165</v>
      </c>
      <c r="E130" s="404" t="s">
        <v>234</v>
      </c>
      <c r="F130" s="405" t="s">
        <v>301</v>
      </c>
      <c r="G130" s="406" t="s">
        <v>312</v>
      </c>
      <c r="H130" s="399" t="s">
        <v>172</v>
      </c>
      <c r="I130" s="399" t="s">
        <v>105</v>
      </c>
      <c r="J130" s="399" t="s">
        <v>310</v>
      </c>
      <c r="K130" s="407">
        <v>21.1</v>
      </c>
      <c r="L130" s="408">
        <f t="shared" si="12"/>
        <v>52</v>
      </c>
      <c r="M130" s="409">
        <v>52</v>
      </c>
      <c r="N130" s="409"/>
      <c r="O130" s="409"/>
      <c r="P130" s="410" t="e">
        <f>IF(M130="nio",0,IF(M130&gt;0,M130*K130/S130,0))*VLOOKUP(B130,'2-Kosten per locatie'!$A$14:$C$61,3,FALSE)</f>
        <v>#DIV/0!</v>
      </c>
      <c r="Q130" s="410">
        <f>IF(N130&gt;0,N130*K130/T130,0)*VLOOKUP(B130,'2-Kosten per locatie'!$A$14:$C$61,3,FALSE)</f>
        <v>0</v>
      </c>
      <c r="R130" s="410">
        <f>IF(O130&gt;0,O130*K130/U130,0)*VLOOKUP(B130,'2-Kosten per locatie'!$A$14:$C$61,3,FALSE)</f>
        <v>0</v>
      </c>
      <c r="S130" s="411">
        <f>IF(M130="nio",0,IF(M130&gt;0,VLOOKUP(I130,'3-Productie normen'!A:P,VLOOKUP(M130,'3-Productie normen'!$B$38:$C$48,2,FALSE),FALSE)))</f>
        <v>0</v>
      </c>
      <c r="T130" s="411">
        <f t="shared" si="8"/>
        <v>0</v>
      </c>
      <c r="U130" s="411">
        <f t="shared" si="11"/>
        <v>0</v>
      </c>
      <c r="V130" s="412"/>
      <c r="X130" s="413">
        <f t="shared" si="9"/>
        <v>1097.2</v>
      </c>
    </row>
    <row r="131" spans="1:24" ht="14.1" customHeight="1">
      <c r="A131" s="70">
        <f t="shared" si="10"/>
        <v>131</v>
      </c>
      <c r="B131" s="354" t="s">
        <v>44</v>
      </c>
      <c r="C131" s="354" t="s">
        <v>292</v>
      </c>
      <c r="D131" s="354" t="s">
        <v>165</v>
      </c>
      <c r="E131" s="404" t="s">
        <v>234</v>
      </c>
      <c r="F131" s="405" t="s">
        <v>301</v>
      </c>
      <c r="G131" s="406" t="s">
        <v>313</v>
      </c>
      <c r="H131" s="399" t="s">
        <v>222</v>
      </c>
      <c r="I131" s="399" t="s">
        <v>112</v>
      </c>
      <c r="J131" s="399" t="s">
        <v>173</v>
      </c>
      <c r="K131" s="229">
        <v>8.1999999999999993</v>
      </c>
      <c r="L131" s="408">
        <f t="shared" si="12"/>
        <v>4</v>
      </c>
      <c r="M131" s="409">
        <v>4</v>
      </c>
      <c r="N131" s="409"/>
      <c r="O131" s="409"/>
      <c r="P131" s="410" t="e">
        <f>IF(M131="nio",0,IF(M131&gt;0,M131*K131/S131,0))*VLOOKUP(B131,'2-Kosten per locatie'!$A$14:$C$61,3,FALSE)</f>
        <v>#DIV/0!</v>
      </c>
      <c r="Q131" s="410">
        <f>IF(N131&gt;0,N131*K131/T131,0)*VLOOKUP(B131,'2-Kosten per locatie'!$A$14:$C$61,3,FALSE)</f>
        <v>0</v>
      </c>
      <c r="R131" s="410">
        <f>IF(O131&gt;0,O131*K131/U131,0)*VLOOKUP(B131,'2-Kosten per locatie'!$A$14:$C$61,3,FALSE)</f>
        <v>0</v>
      </c>
      <c r="S131" s="411">
        <f>IF(M131="nio",0,IF(M131&gt;0,VLOOKUP(I131,'3-Productie normen'!A:P,VLOOKUP(M131,'3-Productie normen'!$B$38:$C$48,2,FALSE),FALSE)))</f>
        <v>0</v>
      </c>
      <c r="T131" s="411">
        <f t="shared" si="8"/>
        <v>0</v>
      </c>
      <c r="U131" s="411">
        <f t="shared" si="11"/>
        <v>0</v>
      </c>
      <c r="V131" s="412"/>
      <c r="X131" s="413">
        <f t="shared" si="9"/>
        <v>32.799999999999997</v>
      </c>
    </row>
    <row r="132" spans="1:24" ht="14.1" customHeight="1">
      <c r="A132" s="70">
        <f t="shared" si="10"/>
        <v>132</v>
      </c>
      <c r="B132" s="354" t="s">
        <v>44</v>
      </c>
      <c r="C132" s="354" t="s">
        <v>292</v>
      </c>
      <c r="D132" s="354" t="s">
        <v>165</v>
      </c>
      <c r="E132" s="404" t="s">
        <v>234</v>
      </c>
      <c r="F132" s="81" t="s">
        <v>301</v>
      </c>
      <c r="G132" s="207" t="s">
        <v>180</v>
      </c>
      <c r="H132" s="80" t="s">
        <v>222</v>
      </c>
      <c r="I132" s="80" t="s">
        <v>112</v>
      </c>
      <c r="J132" s="80" t="s">
        <v>173</v>
      </c>
      <c r="K132" s="407">
        <v>8.1999999999999993</v>
      </c>
      <c r="L132" s="408">
        <f t="shared" si="12"/>
        <v>4</v>
      </c>
      <c r="M132" s="409">
        <v>4</v>
      </c>
      <c r="N132" s="409"/>
      <c r="O132" s="409"/>
      <c r="P132" s="410" t="e">
        <f>IF(M132="nio",0,IF(M132&gt;0,M132*K132/S132,0))*VLOOKUP(B132,'2-Kosten per locatie'!$A$14:$C$61,3,FALSE)</f>
        <v>#DIV/0!</v>
      </c>
      <c r="Q132" s="410">
        <f>IF(N132&gt;0,N132*K132/T132,0)*VLOOKUP(B132,'2-Kosten per locatie'!$A$14:$C$61,3,FALSE)</f>
        <v>0</v>
      </c>
      <c r="R132" s="410">
        <f>IF(O132&gt;0,O132*K132/U132,0)*VLOOKUP(B132,'2-Kosten per locatie'!$A$14:$C$61,3,FALSE)</f>
        <v>0</v>
      </c>
      <c r="S132" s="411">
        <f>IF(M132="nio",0,IF(M132&gt;0,VLOOKUP(I132,'3-Productie normen'!A:P,VLOOKUP(M132,'3-Productie normen'!$B$38:$C$48,2,FALSE),FALSE)))</f>
        <v>0</v>
      </c>
      <c r="T132" s="411">
        <f t="shared" si="8"/>
        <v>0</v>
      </c>
      <c r="U132" s="411">
        <f t="shared" si="11"/>
        <v>0</v>
      </c>
      <c r="V132" s="412"/>
      <c r="X132" s="413">
        <f t="shared" si="9"/>
        <v>32.799999999999997</v>
      </c>
    </row>
    <row r="133" spans="1:24" ht="14.1" customHeight="1">
      <c r="A133" s="70">
        <f t="shared" si="10"/>
        <v>133</v>
      </c>
      <c r="B133" s="354" t="s">
        <v>44</v>
      </c>
      <c r="C133" s="354" t="s">
        <v>292</v>
      </c>
      <c r="D133" s="354" t="s">
        <v>165</v>
      </c>
      <c r="E133" s="404" t="s">
        <v>234</v>
      </c>
      <c r="F133" s="405" t="s">
        <v>301</v>
      </c>
      <c r="G133" s="406" t="s">
        <v>182</v>
      </c>
      <c r="H133" s="399" t="s">
        <v>172</v>
      </c>
      <c r="I133" s="399" t="s">
        <v>105</v>
      </c>
      <c r="J133" s="399" t="s">
        <v>310</v>
      </c>
      <c r="K133" s="407">
        <v>8.4</v>
      </c>
      <c r="L133" s="408">
        <f t="shared" si="12"/>
        <v>52</v>
      </c>
      <c r="M133" s="409">
        <v>52</v>
      </c>
      <c r="N133" s="409"/>
      <c r="O133" s="409"/>
      <c r="P133" s="410" t="e">
        <f>IF(M133="nio",0,IF(M133&gt;0,M133*K133/S133,0))*VLOOKUP(B133,'2-Kosten per locatie'!$A$14:$C$61,3,FALSE)</f>
        <v>#DIV/0!</v>
      </c>
      <c r="Q133" s="410">
        <f>IF(N133&gt;0,N133*K133/T133,0)*VLOOKUP(B133,'2-Kosten per locatie'!$A$14:$C$61,3,FALSE)</f>
        <v>0</v>
      </c>
      <c r="R133" s="410">
        <f>IF(O133&gt;0,O133*K133/U133,0)*VLOOKUP(B133,'2-Kosten per locatie'!$A$14:$C$61,3,FALSE)</f>
        <v>0</v>
      </c>
      <c r="S133" s="411">
        <f>IF(M133="nio",0,IF(M133&gt;0,VLOOKUP(I133,'3-Productie normen'!A:P,VLOOKUP(M133,'3-Productie normen'!$B$38:$C$48,2,FALSE),FALSE)))</f>
        <v>0</v>
      </c>
      <c r="T133" s="411">
        <f t="shared" si="8"/>
        <v>0</v>
      </c>
      <c r="U133" s="411">
        <f t="shared" si="11"/>
        <v>0</v>
      </c>
      <c r="V133" s="412"/>
      <c r="X133" s="413">
        <f t="shared" si="9"/>
        <v>436.8</v>
      </c>
    </row>
    <row r="134" spans="1:24" ht="14.1" customHeight="1">
      <c r="A134" s="70">
        <f t="shared" si="10"/>
        <v>134</v>
      </c>
      <c r="B134" s="354" t="s">
        <v>44</v>
      </c>
      <c r="C134" s="354" t="s">
        <v>292</v>
      </c>
      <c r="D134" s="354" t="s">
        <v>165</v>
      </c>
      <c r="E134" s="404" t="s">
        <v>234</v>
      </c>
      <c r="F134" s="405" t="s">
        <v>167</v>
      </c>
      <c r="G134" s="406" t="s">
        <v>314</v>
      </c>
      <c r="H134" s="399" t="s">
        <v>315</v>
      </c>
      <c r="I134" s="399" t="s">
        <v>107</v>
      </c>
      <c r="J134" s="399" t="s">
        <v>179</v>
      </c>
      <c r="K134" s="407">
        <v>28.5</v>
      </c>
      <c r="L134" s="408">
        <f t="shared" si="12"/>
        <v>255</v>
      </c>
      <c r="M134" s="409">
        <v>255</v>
      </c>
      <c r="N134" s="409"/>
      <c r="O134" s="409"/>
      <c r="P134" s="410" t="e">
        <f>IF(M134="nio",0,IF(M134&gt;0,M134*K134/S134,0))*VLOOKUP(B134,'2-Kosten per locatie'!$A$14:$C$61,3,FALSE)</f>
        <v>#DIV/0!</v>
      </c>
      <c r="Q134" s="410">
        <f>IF(N134&gt;0,N134*K134/T134,0)*VLOOKUP(B134,'2-Kosten per locatie'!$A$14:$C$61,3,FALSE)</f>
        <v>0</v>
      </c>
      <c r="R134" s="410">
        <f>IF(O134&gt;0,O134*K134/U134,0)*VLOOKUP(B134,'2-Kosten per locatie'!$A$14:$C$61,3,FALSE)</f>
        <v>0</v>
      </c>
      <c r="S134" s="411">
        <f>IF(M134="nio",0,IF(M134&gt;0,VLOOKUP(I134,'3-Productie normen'!A:P,VLOOKUP(M134,'3-Productie normen'!$B$38:$C$48,2,FALSE),FALSE)))</f>
        <v>0</v>
      </c>
      <c r="T134" s="411">
        <f t="shared" si="8"/>
        <v>0</v>
      </c>
      <c r="U134" s="411">
        <f t="shared" si="11"/>
        <v>0</v>
      </c>
      <c r="V134" s="412"/>
      <c r="X134" s="413">
        <f t="shared" si="9"/>
        <v>7267.5</v>
      </c>
    </row>
    <row r="135" spans="1:24" ht="14.1" customHeight="1">
      <c r="A135" s="70">
        <f t="shared" si="10"/>
        <v>135</v>
      </c>
      <c r="B135" s="354" t="s">
        <v>44</v>
      </c>
      <c r="C135" s="354" t="s">
        <v>292</v>
      </c>
      <c r="D135" s="354" t="s">
        <v>165</v>
      </c>
      <c r="E135" s="404" t="s">
        <v>234</v>
      </c>
      <c r="F135" s="405" t="s">
        <v>167</v>
      </c>
      <c r="G135" s="406" t="s">
        <v>316</v>
      </c>
      <c r="H135" s="399" t="s">
        <v>290</v>
      </c>
      <c r="I135" s="399" t="s">
        <v>108</v>
      </c>
      <c r="J135" s="399" t="s">
        <v>179</v>
      </c>
      <c r="K135" s="407">
        <v>38</v>
      </c>
      <c r="L135" s="408">
        <f t="shared" si="12"/>
        <v>255</v>
      </c>
      <c r="M135" s="409">
        <v>255</v>
      </c>
      <c r="N135" s="409"/>
      <c r="O135" s="409"/>
      <c r="P135" s="410" t="e">
        <f>IF(M135="nio",0,IF(M135&gt;0,M135*K135/S135,0))*VLOOKUP(B135,'2-Kosten per locatie'!$A$14:$C$61,3,FALSE)</f>
        <v>#DIV/0!</v>
      </c>
      <c r="Q135" s="410">
        <f>IF(N135&gt;0,N135*K135/T135,0)*VLOOKUP(B135,'2-Kosten per locatie'!$A$14:$C$61,3,FALSE)</f>
        <v>0</v>
      </c>
      <c r="R135" s="410">
        <f>IF(O135&gt;0,O135*K135/U135,0)*VLOOKUP(B135,'2-Kosten per locatie'!$A$14:$C$61,3,FALSE)</f>
        <v>0</v>
      </c>
      <c r="S135" s="411">
        <f>IF(M135="nio",0,IF(M135&gt;0,VLOOKUP(I135,'3-Productie normen'!A:P,VLOOKUP(M135,'3-Productie normen'!$B$38:$C$48,2,FALSE),FALSE)))</f>
        <v>0</v>
      </c>
      <c r="T135" s="411">
        <f t="shared" si="8"/>
        <v>0</v>
      </c>
      <c r="U135" s="411">
        <f t="shared" si="11"/>
        <v>0</v>
      </c>
      <c r="V135" s="412"/>
      <c r="X135" s="413">
        <f t="shared" si="9"/>
        <v>9690</v>
      </c>
    </row>
    <row r="136" spans="1:24" ht="14.1" customHeight="1">
      <c r="A136" s="70">
        <f t="shared" si="10"/>
        <v>136</v>
      </c>
      <c r="B136" s="354" t="s">
        <v>44</v>
      </c>
      <c r="C136" s="354" t="s">
        <v>292</v>
      </c>
      <c r="D136" s="354" t="s">
        <v>165</v>
      </c>
      <c r="E136" s="404" t="s">
        <v>234</v>
      </c>
      <c r="F136" s="405" t="s">
        <v>167</v>
      </c>
      <c r="G136" s="406" t="s">
        <v>317</v>
      </c>
      <c r="H136" s="399" t="s">
        <v>318</v>
      </c>
      <c r="I136" s="399" t="s">
        <v>105</v>
      </c>
      <c r="J136" s="399" t="s">
        <v>179</v>
      </c>
      <c r="K136" s="407">
        <v>16.399999999999999</v>
      </c>
      <c r="L136" s="408">
        <f t="shared" si="12"/>
        <v>255</v>
      </c>
      <c r="M136" s="409">
        <v>255</v>
      </c>
      <c r="N136" s="409"/>
      <c r="O136" s="409"/>
      <c r="P136" s="410" t="e">
        <f>IF(M136="nio",0,IF(M136&gt;0,M136*K136/S136,0))*VLOOKUP(B136,'2-Kosten per locatie'!$A$14:$C$61,3,FALSE)</f>
        <v>#DIV/0!</v>
      </c>
      <c r="Q136" s="410">
        <f>IF(N136&gt;0,N136*K136/T136,0)*VLOOKUP(B136,'2-Kosten per locatie'!$A$14:$C$61,3,FALSE)</f>
        <v>0</v>
      </c>
      <c r="R136" s="410">
        <f>IF(O136&gt;0,O136*K136/U136,0)*VLOOKUP(B136,'2-Kosten per locatie'!$A$14:$C$61,3,FALSE)</f>
        <v>0</v>
      </c>
      <c r="S136" s="411">
        <f>IF(M136="nio",0,IF(M136&gt;0,VLOOKUP(I136,'3-Productie normen'!A:P,VLOOKUP(M136,'3-Productie normen'!$B$38:$C$48,2,FALSE),FALSE)))</f>
        <v>0</v>
      </c>
      <c r="T136" s="411">
        <f t="shared" si="8"/>
        <v>0</v>
      </c>
      <c r="U136" s="411">
        <f t="shared" si="11"/>
        <v>0</v>
      </c>
      <c r="V136" s="412"/>
      <c r="X136" s="413">
        <f t="shared" si="9"/>
        <v>4182</v>
      </c>
    </row>
    <row r="137" spans="1:24" ht="14.1" customHeight="1">
      <c r="A137" s="70">
        <f t="shared" si="10"/>
        <v>137</v>
      </c>
      <c r="B137" s="354" t="s">
        <v>44</v>
      </c>
      <c r="C137" s="354" t="s">
        <v>292</v>
      </c>
      <c r="D137" s="354" t="s">
        <v>165</v>
      </c>
      <c r="E137" s="404" t="s">
        <v>234</v>
      </c>
      <c r="F137" s="405" t="s">
        <v>167</v>
      </c>
      <c r="G137" s="406" t="s">
        <v>299</v>
      </c>
      <c r="H137" s="399" t="s">
        <v>300</v>
      </c>
      <c r="I137" s="399" t="s">
        <v>117</v>
      </c>
      <c r="J137" s="399" t="s">
        <v>173</v>
      </c>
      <c r="K137" s="407">
        <v>2</v>
      </c>
      <c r="L137" s="408">
        <f t="shared" si="12"/>
        <v>156</v>
      </c>
      <c r="M137" s="409">
        <v>156</v>
      </c>
      <c r="N137" s="409"/>
      <c r="O137" s="409"/>
      <c r="P137" s="410" t="e">
        <f>IF(M137="nio",0,IF(M137&gt;0,M137*K137/S137,0))*VLOOKUP(B137,'2-Kosten per locatie'!$A$14:$C$61,3,FALSE)</f>
        <v>#DIV/0!</v>
      </c>
      <c r="Q137" s="410">
        <f>IF(N137&gt;0,N137*K137/T137,0)*VLOOKUP(B137,'2-Kosten per locatie'!$A$14:$C$61,3,FALSE)</f>
        <v>0</v>
      </c>
      <c r="R137" s="410">
        <f>IF(O137&gt;0,O137*K137/U137,0)*VLOOKUP(B137,'2-Kosten per locatie'!$A$14:$C$61,3,FALSE)</f>
        <v>0</v>
      </c>
      <c r="S137" s="411">
        <f>IF(M137="nio",0,IF(M137&gt;0,VLOOKUP(I137,'3-Productie normen'!A:P,VLOOKUP(M137,'3-Productie normen'!$B$38:$C$48,2,FALSE),FALSE)))</f>
        <v>0</v>
      </c>
      <c r="T137" s="411">
        <f t="shared" si="8"/>
        <v>0</v>
      </c>
      <c r="U137" s="411">
        <f t="shared" si="11"/>
        <v>0</v>
      </c>
      <c r="V137" s="412"/>
      <c r="X137" s="413">
        <f t="shared" si="9"/>
        <v>312</v>
      </c>
    </row>
    <row r="138" spans="1:24" ht="14.1" customHeight="1">
      <c r="A138" s="70">
        <f t="shared" si="10"/>
        <v>138</v>
      </c>
      <c r="B138" s="354" t="s">
        <v>44</v>
      </c>
      <c r="C138" s="354" t="s">
        <v>292</v>
      </c>
      <c r="D138" s="354" t="s">
        <v>165</v>
      </c>
      <c r="E138" s="404" t="s">
        <v>234</v>
      </c>
      <c r="F138" s="405" t="s">
        <v>167</v>
      </c>
      <c r="G138" s="406" t="s">
        <v>319</v>
      </c>
      <c r="H138" s="399" t="s">
        <v>305</v>
      </c>
      <c r="I138" s="399" t="s">
        <v>116</v>
      </c>
      <c r="J138" s="399" t="s">
        <v>179</v>
      </c>
      <c r="K138" s="407">
        <v>10.4</v>
      </c>
      <c r="L138" s="408">
        <f t="shared" si="12"/>
        <v>156</v>
      </c>
      <c r="M138" s="409">
        <v>156</v>
      </c>
      <c r="N138" s="409"/>
      <c r="O138" s="409"/>
      <c r="P138" s="410" t="e">
        <f>IF(M138="nio",0,IF(M138&gt;0,M138*K138/S138,0))*VLOOKUP(B138,'2-Kosten per locatie'!$A$14:$C$61,3,FALSE)</f>
        <v>#DIV/0!</v>
      </c>
      <c r="Q138" s="410">
        <f>IF(N138&gt;0,N138*K138/T138,0)*VLOOKUP(B138,'2-Kosten per locatie'!$A$14:$C$61,3,FALSE)</f>
        <v>0</v>
      </c>
      <c r="R138" s="410">
        <f>IF(O138&gt;0,O138*K138/U138,0)*VLOOKUP(B138,'2-Kosten per locatie'!$A$14:$C$61,3,FALSE)</f>
        <v>0</v>
      </c>
      <c r="S138" s="411">
        <f>IF(M138="nio",0,IF(M138&gt;0,VLOOKUP(I138,'3-Productie normen'!A:P,VLOOKUP(M138,'3-Productie normen'!$B$38:$C$48,2,FALSE),FALSE)))</f>
        <v>0</v>
      </c>
      <c r="T138" s="411">
        <f t="shared" ref="T138:T201" si="13">IF(N138&gt;0,S138*$T$8,0)</f>
        <v>0</v>
      </c>
      <c r="U138" s="411">
        <f t="shared" si="11"/>
        <v>0</v>
      </c>
      <c r="V138" s="412"/>
      <c r="X138" s="413">
        <f t="shared" ref="X138:X201" si="14">L138*K138</f>
        <v>1622.4</v>
      </c>
    </row>
    <row r="139" spans="1:24" ht="14.1" customHeight="1">
      <c r="A139" s="70">
        <f t="shared" ref="A139:A202" si="15">A138+1</f>
        <v>139</v>
      </c>
      <c r="B139" s="354" t="s">
        <v>44</v>
      </c>
      <c r="C139" s="354" t="s">
        <v>292</v>
      </c>
      <c r="D139" s="354" t="s">
        <v>165</v>
      </c>
      <c r="E139" s="404" t="s">
        <v>234</v>
      </c>
      <c r="F139" s="405" t="s">
        <v>167</v>
      </c>
      <c r="G139" s="406" t="s">
        <v>320</v>
      </c>
      <c r="H139" s="399" t="s">
        <v>307</v>
      </c>
      <c r="I139" s="399" t="s">
        <v>106</v>
      </c>
      <c r="J139" s="399" t="s">
        <v>179</v>
      </c>
      <c r="K139" s="407">
        <v>3</v>
      </c>
      <c r="L139" s="408">
        <f t="shared" si="12"/>
        <v>255</v>
      </c>
      <c r="M139" s="409">
        <v>255</v>
      </c>
      <c r="N139" s="409"/>
      <c r="O139" s="409"/>
      <c r="P139" s="410" t="e">
        <f>IF(M139="nio",0,IF(M139&gt;0,M139*K139/S139,0))*VLOOKUP(B139,'2-Kosten per locatie'!$A$14:$C$61,3,FALSE)</f>
        <v>#DIV/0!</v>
      </c>
      <c r="Q139" s="410">
        <f>IF(N139&gt;0,N139*K139/T139,0)*VLOOKUP(B139,'2-Kosten per locatie'!$A$14:$C$61,3,FALSE)</f>
        <v>0</v>
      </c>
      <c r="R139" s="410">
        <f>IF(O139&gt;0,O139*K139/U139,0)*VLOOKUP(B139,'2-Kosten per locatie'!$A$14:$C$61,3,FALSE)</f>
        <v>0</v>
      </c>
      <c r="S139" s="411">
        <f>IF(M139="nio",0,IF(M139&gt;0,VLOOKUP(I139,'3-Productie normen'!A:P,VLOOKUP(M139,'3-Productie normen'!$B$38:$C$48,2,FALSE),FALSE)))</f>
        <v>0</v>
      </c>
      <c r="T139" s="411">
        <f t="shared" si="13"/>
        <v>0</v>
      </c>
      <c r="U139" s="411">
        <f t="shared" si="11"/>
        <v>0</v>
      </c>
      <c r="V139" s="412"/>
      <c r="X139" s="413">
        <f t="shared" si="14"/>
        <v>765</v>
      </c>
    </row>
    <row r="140" spans="1:24" ht="14.1" customHeight="1">
      <c r="A140" s="70">
        <f t="shared" si="15"/>
        <v>140</v>
      </c>
      <c r="B140" s="354" t="s">
        <v>44</v>
      </c>
      <c r="C140" s="354" t="s">
        <v>292</v>
      </c>
      <c r="D140" s="354" t="s">
        <v>165</v>
      </c>
      <c r="E140" s="404" t="s">
        <v>234</v>
      </c>
      <c r="F140" s="405" t="s">
        <v>273</v>
      </c>
      <c r="G140" s="406" t="s">
        <v>321</v>
      </c>
      <c r="H140" s="399" t="s">
        <v>172</v>
      </c>
      <c r="I140" s="399" t="s">
        <v>124</v>
      </c>
      <c r="J140" s="399" t="s">
        <v>173</v>
      </c>
      <c r="K140" s="407">
        <v>49.4</v>
      </c>
      <c r="L140" s="408">
        <f t="shared" si="12"/>
        <v>0</v>
      </c>
      <c r="M140" s="409" t="s">
        <v>242</v>
      </c>
      <c r="N140" s="409"/>
      <c r="O140" s="409"/>
      <c r="P140" s="410">
        <f>IF(M140="nio",0,IF(M140&gt;0,M140*K140/S140,0))*VLOOKUP(B140,'2-Kosten per locatie'!$A$14:$C$61,3,FALSE)</f>
        <v>0</v>
      </c>
      <c r="Q140" s="410">
        <f>IF(N140&gt;0,N140*K140/T140,0)*VLOOKUP(B140,'2-Kosten per locatie'!$A$14:$C$61,3,FALSE)</f>
        <v>0</v>
      </c>
      <c r="R140" s="410">
        <f>IF(O140&gt;0,O140*K140/U140,0)*VLOOKUP(B140,'2-Kosten per locatie'!$A$14:$C$61,3,FALSE)</f>
        <v>0</v>
      </c>
      <c r="S140" s="411">
        <f>IF(M140="nio",0,IF(M140&gt;0,VLOOKUP(I140,'3-Productie normen'!A:P,VLOOKUP(M140,'3-Productie normen'!$B$38:$C$48,2,FALSE),FALSE)))</f>
        <v>0</v>
      </c>
      <c r="T140" s="411">
        <f t="shared" si="13"/>
        <v>0</v>
      </c>
      <c r="U140" s="411">
        <f t="shared" si="11"/>
        <v>0</v>
      </c>
      <c r="V140" s="412"/>
      <c r="X140" s="413">
        <f t="shared" si="14"/>
        <v>0</v>
      </c>
    </row>
    <row r="141" spans="1:24" ht="14.1" customHeight="1">
      <c r="A141" s="70">
        <f t="shared" si="15"/>
        <v>141</v>
      </c>
      <c r="B141" s="354" t="s">
        <v>44</v>
      </c>
      <c r="C141" s="354" t="s">
        <v>292</v>
      </c>
      <c r="D141" s="354" t="s">
        <v>165</v>
      </c>
      <c r="E141" s="404" t="s">
        <v>234</v>
      </c>
      <c r="F141" s="405" t="s">
        <v>273</v>
      </c>
      <c r="G141" s="406" t="s">
        <v>277</v>
      </c>
      <c r="H141" s="399" t="s">
        <v>172</v>
      </c>
      <c r="I141" s="399" t="s">
        <v>124</v>
      </c>
      <c r="J141" s="399" t="s">
        <v>173</v>
      </c>
      <c r="K141" s="407">
        <v>20.9</v>
      </c>
      <c r="L141" s="408">
        <f t="shared" si="12"/>
        <v>0</v>
      </c>
      <c r="M141" s="409" t="s">
        <v>242</v>
      </c>
      <c r="N141" s="409"/>
      <c r="O141" s="409"/>
      <c r="P141" s="410">
        <f>IF(M141="nio",0,IF(M141&gt;0,M141*K141/S141,0))*VLOOKUP(B141,'2-Kosten per locatie'!$A$14:$C$61,3,FALSE)</f>
        <v>0</v>
      </c>
      <c r="Q141" s="410">
        <f>IF(N141&gt;0,N141*K141/T141,0)*VLOOKUP(B141,'2-Kosten per locatie'!$A$14:$C$61,3,FALSE)</f>
        <v>0</v>
      </c>
      <c r="R141" s="410">
        <f>IF(O141&gt;0,O141*K141/U141,0)*VLOOKUP(B141,'2-Kosten per locatie'!$A$14:$C$61,3,FALSE)</f>
        <v>0</v>
      </c>
      <c r="S141" s="411">
        <f>IF(M141="nio",0,IF(M141&gt;0,VLOOKUP(I141,'3-Productie normen'!A:P,VLOOKUP(M141,'3-Productie normen'!$B$38:$C$48,2,FALSE),FALSE)))</f>
        <v>0</v>
      </c>
      <c r="T141" s="411">
        <f t="shared" si="13"/>
        <v>0</v>
      </c>
      <c r="U141" s="411">
        <f t="shared" si="11"/>
        <v>0</v>
      </c>
      <c r="V141" s="412"/>
      <c r="X141" s="413">
        <f t="shared" si="14"/>
        <v>0</v>
      </c>
    </row>
    <row r="142" spans="1:24" ht="14.1" customHeight="1">
      <c r="A142" s="70">
        <f t="shared" si="15"/>
        <v>142</v>
      </c>
      <c r="B142" s="354" t="s">
        <v>44</v>
      </c>
      <c r="C142" s="354" t="s">
        <v>292</v>
      </c>
      <c r="D142" s="354" t="s">
        <v>165</v>
      </c>
      <c r="E142" s="404" t="s">
        <v>234</v>
      </c>
      <c r="F142" s="405" t="s">
        <v>273</v>
      </c>
      <c r="G142" s="406" t="s">
        <v>278</v>
      </c>
      <c r="H142" s="399" t="s">
        <v>322</v>
      </c>
      <c r="I142" s="399" t="s">
        <v>124</v>
      </c>
      <c r="J142" s="399" t="s">
        <v>171</v>
      </c>
      <c r="K142" s="407">
        <v>20.8</v>
      </c>
      <c r="L142" s="408">
        <f t="shared" si="12"/>
        <v>0</v>
      </c>
      <c r="M142" s="409" t="s">
        <v>242</v>
      </c>
      <c r="N142" s="409"/>
      <c r="O142" s="409"/>
      <c r="P142" s="410">
        <f>IF(M142="nio",0,IF(M142&gt;0,M142*K142/S142,0))*VLOOKUP(B142,'2-Kosten per locatie'!$A$14:$C$61,3,FALSE)</f>
        <v>0</v>
      </c>
      <c r="Q142" s="410">
        <f>IF(N142&gt;0,N142*K142/T142,0)*VLOOKUP(B142,'2-Kosten per locatie'!$A$14:$C$61,3,FALSE)</f>
        <v>0</v>
      </c>
      <c r="R142" s="410">
        <f>IF(O142&gt;0,O142*K142/U142,0)*VLOOKUP(B142,'2-Kosten per locatie'!$A$14:$C$61,3,FALSE)</f>
        <v>0</v>
      </c>
      <c r="S142" s="411">
        <f>IF(M142="nio",0,IF(M142&gt;0,VLOOKUP(I142,'3-Productie normen'!A:P,VLOOKUP(M142,'3-Productie normen'!$B$38:$C$48,2,FALSE),FALSE)))</f>
        <v>0</v>
      </c>
      <c r="T142" s="411">
        <f t="shared" si="13"/>
        <v>0</v>
      </c>
      <c r="U142" s="411">
        <f t="shared" ref="U142:U205" si="16">IF(OR(O142&gt;0),S142*$U$8,0)</f>
        <v>0</v>
      </c>
      <c r="V142" s="412"/>
      <c r="X142" s="413">
        <f t="shared" si="14"/>
        <v>0</v>
      </c>
    </row>
    <row r="143" spans="1:24" ht="14.1" customHeight="1">
      <c r="A143" s="70">
        <f t="shared" si="15"/>
        <v>143</v>
      </c>
      <c r="B143" s="354" t="s">
        <v>44</v>
      </c>
      <c r="C143" s="354" t="s">
        <v>292</v>
      </c>
      <c r="D143" s="354" t="s">
        <v>165</v>
      </c>
      <c r="E143" s="404" t="s">
        <v>234</v>
      </c>
      <c r="F143" s="405" t="s">
        <v>273</v>
      </c>
      <c r="G143" s="406" t="s">
        <v>279</v>
      </c>
      <c r="H143" s="399" t="s">
        <v>172</v>
      </c>
      <c r="I143" s="399" t="s">
        <v>124</v>
      </c>
      <c r="J143" s="399" t="s">
        <v>171</v>
      </c>
      <c r="K143" s="407">
        <v>21.9</v>
      </c>
      <c r="L143" s="408">
        <f t="shared" si="12"/>
        <v>0</v>
      </c>
      <c r="M143" s="409" t="s">
        <v>242</v>
      </c>
      <c r="N143" s="409"/>
      <c r="O143" s="409"/>
      <c r="P143" s="410">
        <f>IF(M143="nio",0,IF(M143&gt;0,M143*K143/S143,0))*VLOOKUP(B143,'2-Kosten per locatie'!$A$14:$C$61,3,FALSE)</f>
        <v>0</v>
      </c>
      <c r="Q143" s="410">
        <f>IF(N143&gt;0,N143*K143/T143,0)*VLOOKUP(B143,'2-Kosten per locatie'!$A$14:$C$61,3,FALSE)</f>
        <v>0</v>
      </c>
      <c r="R143" s="410">
        <f>IF(O143&gt;0,O143*K143/U143,0)*VLOOKUP(B143,'2-Kosten per locatie'!$A$14:$C$61,3,FALSE)</f>
        <v>0</v>
      </c>
      <c r="S143" s="411">
        <f>IF(M143="nio",0,IF(M143&gt;0,VLOOKUP(I143,'3-Productie normen'!A:P,VLOOKUP(M143,'3-Productie normen'!$B$38:$C$48,2,FALSE),FALSE)))</f>
        <v>0</v>
      </c>
      <c r="T143" s="411">
        <f t="shared" si="13"/>
        <v>0</v>
      </c>
      <c r="U143" s="411">
        <f t="shared" si="16"/>
        <v>0</v>
      </c>
      <c r="V143" s="412"/>
      <c r="X143" s="413">
        <f t="shared" si="14"/>
        <v>0</v>
      </c>
    </row>
    <row r="144" spans="1:24" ht="14.1" customHeight="1">
      <c r="A144" s="70">
        <f t="shared" si="15"/>
        <v>144</v>
      </c>
      <c r="B144" s="354" t="s">
        <v>44</v>
      </c>
      <c r="C144" s="354" t="s">
        <v>292</v>
      </c>
      <c r="D144" s="354" t="s">
        <v>165</v>
      </c>
      <c r="E144" s="404" t="s">
        <v>234</v>
      </c>
      <c r="F144" s="405" t="s">
        <v>273</v>
      </c>
      <c r="G144" s="406" t="s">
        <v>280</v>
      </c>
      <c r="H144" s="399" t="s">
        <v>322</v>
      </c>
      <c r="I144" s="399" t="s">
        <v>124</v>
      </c>
      <c r="J144" s="399" t="s">
        <v>171</v>
      </c>
      <c r="K144" s="407">
        <v>21.9</v>
      </c>
      <c r="L144" s="408">
        <f t="shared" si="12"/>
        <v>0</v>
      </c>
      <c r="M144" s="409" t="s">
        <v>242</v>
      </c>
      <c r="N144" s="409"/>
      <c r="O144" s="409"/>
      <c r="P144" s="410">
        <f>IF(M144="nio",0,IF(M144&gt;0,M144*K144/S144,0))*VLOOKUP(B144,'2-Kosten per locatie'!$A$14:$C$61,3,FALSE)</f>
        <v>0</v>
      </c>
      <c r="Q144" s="410">
        <f>IF(N144&gt;0,N144*K144/T144,0)*VLOOKUP(B144,'2-Kosten per locatie'!$A$14:$C$61,3,FALSE)</f>
        <v>0</v>
      </c>
      <c r="R144" s="410">
        <f>IF(O144&gt;0,O144*K144/U144,0)*VLOOKUP(B144,'2-Kosten per locatie'!$A$14:$C$61,3,FALSE)</f>
        <v>0</v>
      </c>
      <c r="S144" s="411">
        <f>IF(M144="nio",0,IF(M144&gt;0,VLOOKUP(I144,'3-Productie normen'!A:P,VLOOKUP(M144,'3-Productie normen'!$B$38:$C$48,2,FALSE),FALSE)))</f>
        <v>0</v>
      </c>
      <c r="T144" s="411">
        <f t="shared" si="13"/>
        <v>0</v>
      </c>
      <c r="U144" s="411">
        <f t="shared" si="16"/>
        <v>0</v>
      </c>
      <c r="V144" s="412"/>
      <c r="X144" s="413">
        <f t="shared" si="14"/>
        <v>0</v>
      </c>
    </row>
    <row r="145" spans="1:24" ht="14.1" customHeight="1">
      <c r="A145" s="70">
        <f t="shared" si="15"/>
        <v>145</v>
      </c>
      <c r="B145" s="354" t="s">
        <v>44</v>
      </c>
      <c r="C145" s="354" t="s">
        <v>292</v>
      </c>
      <c r="D145" s="354" t="s">
        <v>165</v>
      </c>
      <c r="E145" s="404" t="s">
        <v>234</v>
      </c>
      <c r="F145" s="405" t="s">
        <v>273</v>
      </c>
      <c r="G145" s="406" t="s">
        <v>281</v>
      </c>
      <c r="H145" s="399" t="s">
        <v>322</v>
      </c>
      <c r="I145" s="399" t="s">
        <v>124</v>
      </c>
      <c r="J145" s="399" t="s">
        <v>171</v>
      </c>
      <c r="K145" s="407">
        <v>21.9</v>
      </c>
      <c r="L145" s="408">
        <f t="shared" si="12"/>
        <v>0</v>
      </c>
      <c r="M145" s="409" t="s">
        <v>242</v>
      </c>
      <c r="N145" s="409"/>
      <c r="O145" s="409"/>
      <c r="P145" s="410">
        <f>IF(M145="nio",0,IF(M145&gt;0,M145*K145/S145,0))*VLOOKUP(B145,'2-Kosten per locatie'!$A$14:$C$61,3,FALSE)</f>
        <v>0</v>
      </c>
      <c r="Q145" s="410">
        <f>IF(N145&gt;0,N145*K145/T145,0)*VLOOKUP(B145,'2-Kosten per locatie'!$A$14:$C$61,3,FALSE)</f>
        <v>0</v>
      </c>
      <c r="R145" s="410">
        <f>IF(O145&gt;0,O145*K145/U145,0)*VLOOKUP(B145,'2-Kosten per locatie'!$A$14:$C$61,3,FALSE)</f>
        <v>0</v>
      </c>
      <c r="S145" s="411">
        <f>IF(M145="nio",0,IF(M145&gt;0,VLOOKUP(I145,'3-Productie normen'!A:P,VLOOKUP(M145,'3-Productie normen'!$B$38:$C$48,2,FALSE),FALSE)))</f>
        <v>0</v>
      </c>
      <c r="T145" s="411">
        <f t="shared" si="13"/>
        <v>0</v>
      </c>
      <c r="U145" s="411">
        <f t="shared" si="16"/>
        <v>0</v>
      </c>
      <c r="V145" s="412"/>
      <c r="X145" s="413">
        <f t="shared" si="14"/>
        <v>0</v>
      </c>
    </row>
    <row r="146" spans="1:24" ht="14.1" customHeight="1">
      <c r="A146" s="70">
        <f t="shared" si="15"/>
        <v>146</v>
      </c>
      <c r="B146" s="354" t="s">
        <v>44</v>
      </c>
      <c r="C146" s="354" t="s">
        <v>292</v>
      </c>
      <c r="D146" s="354" t="s">
        <v>165</v>
      </c>
      <c r="E146" s="404" t="s">
        <v>234</v>
      </c>
      <c r="F146" s="405" t="s">
        <v>273</v>
      </c>
      <c r="G146" s="406" t="s">
        <v>282</v>
      </c>
      <c r="H146" s="399" t="s">
        <v>172</v>
      </c>
      <c r="I146" s="399" t="s">
        <v>124</v>
      </c>
      <c r="J146" s="399" t="s">
        <v>171</v>
      </c>
      <c r="K146" s="407">
        <v>23.9</v>
      </c>
      <c r="L146" s="408">
        <f t="shared" si="12"/>
        <v>0</v>
      </c>
      <c r="M146" s="409" t="s">
        <v>242</v>
      </c>
      <c r="N146" s="409"/>
      <c r="O146" s="409"/>
      <c r="P146" s="410">
        <f>IF(M146="nio",0,IF(M146&gt;0,M146*K146/S146,0))*VLOOKUP(B146,'2-Kosten per locatie'!$A$14:$C$61,3,FALSE)</f>
        <v>0</v>
      </c>
      <c r="Q146" s="410">
        <f>IF(N146&gt;0,N146*K146/T146,0)*VLOOKUP(B146,'2-Kosten per locatie'!$A$14:$C$61,3,FALSE)</f>
        <v>0</v>
      </c>
      <c r="R146" s="410">
        <f>IF(O146&gt;0,O146*K146/U146,0)*VLOOKUP(B146,'2-Kosten per locatie'!$A$14:$C$61,3,FALSE)</f>
        <v>0</v>
      </c>
      <c r="S146" s="411">
        <f>IF(M146="nio",0,IF(M146&gt;0,VLOOKUP(I146,'3-Productie normen'!A:P,VLOOKUP(M146,'3-Productie normen'!$B$38:$C$48,2,FALSE),FALSE)))</f>
        <v>0</v>
      </c>
      <c r="T146" s="411">
        <f t="shared" si="13"/>
        <v>0</v>
      </c>
      <c r="U146" s="411">
        <f t="shared" si="16"/>
        <v>0</v>
      </c>
      <c r="V146" s="412"/>
      <c r="X146" s="413">
        <f t="shared" si="14"/>
        <v>0</v>
      </c>
    </row>
    <row r="147" spans="1:24" ht="14.1" customHeight="1">
      <c r="A147" s="70">
        <f t="shared" si="15"/>
        <v>147</v>
      </c>
      <c r="B147" s="354" t="s">
        <v>44</v>
      </c>
      <c r="C147" s="354" t="s">
        <v>292</v>
      </c>
      <c r="D147" s="354" t="s">
        <v>165</v>
      </c>
      <c r="E147" s="404" t="s">
        <v>234</v>
      </c>
      <c r="F147" s="405" t="s">
        <v>273</v>
      </c>
      <c r="G147" s="406" t="s">
        <v>283</v>
      </c>
      <c r="H147" s="399" t="s">
        <v>323</v>
      </c>
      <c r="I147" s="399" t="s">
        <v>124</v>
      </c>
      <c r="J147" s="399" t="s">
        <v>171</v>
      </c>
      <c r="K147" s="407">
        <v>9.9</v>
      </c>
      <c r="L147" s="408">
        <f t="shared" si="12"/>
        <v>0</v>
      </c>
      <c r="M147" s="409" t="s">
        <v>242</v>
      </c>
      <c r="N147" s="409"/>
      <c r="O147" s="409"/>
      <c r="P147" s="410">
        <f>IF(M147="nio",0,IF(M147&gt;0,M147*K147/S147,0))*VLOOKUP(B147,'2-Kosten per locatie'!$A$14:$C$61,3,FALSE)</f>
        <v>0</v>
      </c>
      <c r="Q147" s="410">
        <f>IF(N147&gt;0,N147*K147/T147,0)*VLOOKUP(B147,'2-Kosten per locatie'!$A$14:$C$61,3,FALSE)</f>
        <v>0</v>
      </c>
      <c r="R147" s="410">
        <f>IF(O147&gt;0,O147*K147/U147,0)*VLOOKUP(B147,'2-Kosten per locatie'!$A$14:$C$61,3,FALSE)</f>
        <v>0</v>
      </c>
      <c r="S147" s="411">
        <f>IF(M147="nio",0,IF(M147&gt;0,VLOOKUP(I147,'3-Productie normen'!A:P,VLOOKUP(M147,'3-Productie normen'!$B$38:$C$48,2,FALSE),FALSE)))</f>
        <v>0</v>
      </c>
      <c r="T147" s="411">
        <f t="shared" si="13"/>
        <v>0</v>
      </c>
      <c r="U147" s="411">
        <f t="shared" si="16"/>
        <v>0</v>
      </c>
      <c r="V147" s="412"/>
      <c r="X147" s="413">
        <f t="shared" si="14"/>
        <v>0</v>
      </c>
    </row>
    <row r="148" spans="1:24" ht="14.1" customHeight="1">
      <c r="A148" s="70">
        <f t="shared" si="15"/>
        <v>148</v>
      </c>
      <c r="B148" s="354" t="s">
        <v>44</v>
      </c>
      <c r="C148" s="354" t="s">
        <v>292</v>
      </c>
      <c r="D148" s="354" t="s">
        <v>165</v>
      </c>
      <c r="E148" s="404" t="s">
        <v>234</v>
      </c>
      <c r="F148" s="405" t="s">
        <v>273</v>
      </c>
      <c r="G148" s="406" t="s">
        <v>324</v>
      </c>
      <c r="H148" s="399" t="s">
        <v>323</v>
      </c>
      <c r="I148" s="399" t="s">
        <v>124</v>
      </c>
      <c r="J148" s="399" t="s">
        <v>171</v>
      </c>
      <c r="K148" s="407">
        <v>13.7</v>
      </c>
      <c r="L148" s="408">
        <f t="shared" si="12"/>
        <v>0</v>
      </c>
      <c r="M148" s="409" t="s">
        <v>242</v>
      </c>
      <c r="N148" s="409"/>
      <c r="O148" s="409"/>
      <c r="P148" s="410">
        <f>IF(M148="nio",0,IF(M148&gt;0,M148*K148/S148,0))*VLOOKUP(B148,'2-Kosten per locatie'!$A$14:$C$61,3,FALSE)</f>
        <v>0</v>
      </c>
      <c r="Q148" s="410">
        <f>IF(N148&gt;0,N148*K148/T148,0)*VLOOKUP(B148,'2-Kosten per locatie'!$A$14:$C$61,3,FALSE)</f>
        <v>0</v>
      </c>
      <c r="R148" s="410">
        <f>IF(O148&gt;0,O148*K148/U148,0)*VLOOKUP(B148,'2-Kosten per locatie'!$A$14:$C$61,3,FALSE)</f>
        <v>0</v>
      </c>
      <c r="S148" s="411">
        <f>IF(M148="nio",0,IF(M148&gt;0,VLOOKUP(I148,'3-Productie normen'!A:P,VLOOKUP(M148,'3-Productie normen'!$B$38:$C$48,2,FALSE),FALSE)))</f>
        <v>0</v>
      </c>
      <c r="T148" s="411">
        <f t="shared" si="13"/>
        <v>0</v>
      </c>
      <c r="U148" s="411">
        <f t="shared" si="16"/>
        <v>0</v>
      </c>
      <c r="V148" s="412"/>
      <c r="X148" s="413">
        <f t="shared" si="14"/>
        <v>0</v>
      </c>
    </row>
    <row r="149" spans="1:24" ht="14.1" customHeight="1">
      <c r="A149" s="70">
        <f t="shared" si="15"/>
        <v>149</v>
      </c>
      <c r="B149" s="354" t="s">
        <v>44</v>
      </c>
      <c r="C149" s="354" t="s">
        <v>292</v>
      </c>
      <c r="D149" s="354" t="s">
        <v>165</v>
      </c>
      <c r="E149" s="404" t="s">
        <v>234</v>
      </c>
      <c r="F149" s="405" t="s">
        <v>273</v>
      </c>
      <c r="G149" s="406" t="s">
        <v>284</v>
      </c>
      <c r="H149" s="399" t="s">
        <v>325</v>
      </c>
      <c r="I149" s="399" t="s">
        <v>124</v>
      </c>
      <c r="J149" s="399" t="s">
        <v>171</v>
      </c>
      <c r="K149" s="407">
        <v>24.9</v>
      </c>
      <c r="L149" s="408">
        <f t="shared" si="12"/>
        <v>0</v>
      </c>
      <c r="M149" s="409" t="s">
        <v>242</v>
      </c>
      <c r="N149" s="409"/>
      <c r="O149" s="409"/>
      <c r="P149" s="410">
        <f>IF(M149="nio",0,IF(M149&gt;0,M149*K149/S149,0))*VLOOKUP(B149,'2-Kosten per locatie'!$A$14:$C$61,3,FALSE)</f>
        <v>0</v>
      </c>
      <c r="Q149" s="410">
        <f>IF(N149&gt;0,N149*K149/T149,0)*VLOOKUP(B149,'2-Kosten per locatie'!$A$14:$C$61,3,FALSE)</f>
        <v>0</v>
      </c>
      <c r="R149" s="410">
        <f>IF(O149&gt;0,O149*K149/U149,0)*VLOOKUP(B149,'2-Kosten per locatie'!$A$14:$C$61,3,FALSE)</f>
        <v>0</v>
      </c>
      <c r="S149" s="411">
        <f>IF(M149="nio",0,IF(M149&gt;0,VLOOKUP(I149,'3-Productie normen'!A:P,VLOOKUP(M149,'3-Productie normen'!$B$38:$C$48,2,FALSE),FALSE)))</f>
        <v>0</v>
      </c>
      <c r="T149" s="411">
        <f t="shared" si="13"/>
        <v>0</v>
      </c>
      <c r="U149" s="411">
        <f t="shared" si="16"/>
        <v>0</v>
      </c>
      <c r="V149" s="412"/>
      <c r="X149" s="413">
        <f t="shared" si="14"/>
        <v>0</v>
      </c>
    </row>
    <row r="150" spans="1:24" ht="14.1" customHeight="1">
      <c r="A150" s="70">
        <f t="shared" si="15"/>
        <v>150</v>
      </c>
      <c r="B150" s="354" t="s">
        <v>44</v>
      </c>
      <c r="C150" s="354" t="s">
        <v>292</v>
      </c>
      <c r="D150" s="354" t="s">
        <v>165</v>
      </c>
      <c r="E150" s="404" t="s">
        <v>234</v>
      </c>
      <c r="F150" s="405" t="s">
        <v>273</v>
      </c>
      <c r="G150" s="406" t="s">
        <v>285</v>
      </c>
      <c r="H150" s="399" t="s">
        <v>326</v>
      </c>
      <c r="I150" s="399" t="s">
        <v>124</v>
      </c>
      <c r="J150" s="399" t="s">
        <v>171</v>
      </c>
      <c r="K150" s="407">
        <v>8.6999999999999993</v>
      </c>
      <c r="L150" s="408">
        <f t="shared" si="12"/>
        <v>0</v>
      </c>
      <c r="M150" s="409" t="s">
        <v>242</v>
      </c>
      <c r="N150" s="409"/>
      <c r="O150" s="409"/>
      <c r="P150" s="410">
        <f>IF(M150="nio",0,IF(M150&gt;0,M150*K150/S150,0))*VLOOKUP(B150,'2-Kosten per locatie'!$A$14:$C$61,3,FALSE)</f>
        <v>0</v>
      </c>
      <c r="Q150" s="410">
        <f>IF(N150&gt;0,N150*K150/T150,0)*VLOOKUP(B150,'2-Kosten per locatie'!$A$14:$C$61,3,FALSE)</f>
        <v>0</v>
      </c>
      <c r="R150" s="410">
        <f>IF(O150&gt;0,O150*K150/U150,0)*VLOOKUP(B150,'2-Kosten per locatie'!$A$14:$C$61,3,FALSE)</f>
        <v>0</v>
      </c>
      <c r="S150" s="411">
        <f>IF(M150="nio",0,IF(M150&gt;0,VLOOKUP(I150,'3-Productie normen'!A:P,VLOOKUP(M150,'3-Productie normen'!$B$38:$C$48,2,FALSE),FALSE)))</f>
        <v>0</v>
      </c>
      <c r="T150" s="411">
        <f t="shared" si="13"/>
        <v>0</v>
      </c>
      <c r="U150" s="411">
        <f t="shared" si="16"/>
        <v>0</v>
      </c>
      <c r="V150" s="412"/>
      <c r="X150" s="413">
        <f t="shared" si="14"/>
        <v>0</v>
      </c>
    </row>
    <row r="151" spans="1:24" ht="14.1" customHeight="1">
      <c r="A151" s="70">
        <f t="shared" si="15"/>
        <v>151</v>
      </c>
      <c r="B151" s="354" t="s">
        <v>44</v>
      </c>
      <c r="C151" s="354" t="s">
        <v>292</v>
      </c>
      <c r="D151" s="354" t="s">
        <v>165</v>
      </c>
      <c r="E151" s="404" t="s">
        <v>234</v>
      </c>
      <c r="F151" s="405" t="s">
        <v>273</v>
      </c>
      <c r="G151" s="406" t="s">
        <v>286</v>
      </c>
      <c r="H151" s="399" t="s">
        <v>254</v>
      </c>
      <c r="I151" s="399" t="s">
        <v>124</v>
      </c>
      <c r="J151" s="399" t="s">
        <v>171</v>
      </c>
      <c r="K151" s="407">
        <v>6.1</v>
      </c>
      <c r="L151" s="408">
        <f t="shared" si="12"/>
        <v>0</v>
      </c>
      <c r="M151" s="409" t="s">
        <v>242</v>
      </c>
      <c r="N151" s="409"/>
      <c r="O151" s="409"/>
      <c r="P151" s="410">
        <f>IF(M151="nio",0,IF(M151&gt;0,M151*K151/S151,0))*VLOOKUP(B151,'2-Kosten per locatie'!$A$14:$C$61,3,FALSE)</f>
        <v>0</v>
      </c>
      <c r="Q151" s="410">
        <f>IF(N151&gt;0,N151*K151/T151,0)*VLOOKUP(B151,'2-Kosten per locatie'!$A$14:$C$61,3,FALSE)</f>
        <v>0</v>
      </c>
      <c r="R151" s="410">
        <f>IF(O151&gt;0,O151*K151/U151,0)*VLOOKUP(B151,'2-Kosten per locatie'!$A$14:$C$61,3,FALSE)</f>
        <v>0</v>
      </c>
      <c r="S151" s="411">
        <f>IF(M151="nio",0,IF(M151&gt;0,VLOOKUP(I151,'3-Productie normen'!A:P,VLOOKUP(M151,'3-Productie normen'!$B$38:$C$48,2,FALSE),FALSE)))</f>
        <v>0</v>
      </c>
      <c r="T151" s="411">
        <f t="shared" si="13"/>
        <v>0</v>
      </c>
      <c r="U151" s="411">
        <f t="shared" si="16"/>
        <v>0</v>
      </c>
      <c r="V151" s="412"/>
      <c r="X151" s="413">
        <f t="shared" si="14"/>
        <v>0</v>
      </c>
    </row>
    <row r="152" spans="1:24" ht="14.1" customHeight="1">
      <c r="A152" s="70">
        <f t="shared" si="15"/>
        <v>152</v>
      </c>
      <c r="B152" s="354" t="s">
        <v>44</v>
      </c>
      <c r="C152" s="354" t="s">
        <v>292</v>
      </c>
      <c r="D152" s="354" t="s">
        <v>165</v>
      </c>
      <c r="E152" s="404" t="s">
        <v>234</v>
      </c>
      <c r="F152" s="405" t="s">
        <v>273</v>
      </c>
      <c r="G152" s="406" t="s">
        <v>327</v>
      </c>
      <c r="H152" s="399" t="s">
        <v>250</v>
      </c>
      <c r="I152" s="399" t="s">
        <v>106</v>
      </c>
      <c r="J152" s="399" t="s">
        <v>179</v>
      </c>
      <c r="K152" s="407">
        <v>7.2</v>
      </c>
      <c r="L152" s="408">
        <f t="shared" si="12"/>
        <v>255</v>
      </c>
      <c r="M152" s="409">
        <v>255</v>
      </c>
      <c r="N152" s="409"/>
      <c r="O152" s="409"/>
      <c r="P152" s="410" t="e">
        <f>IF(M152="nio",0,IF(M152&gt;0,M152*K152/S152,0))*VLOOKUP(B152,'2-Kosten per locatie'!$A$14:$C$61,3,FALSE)</f>
        <v>#DIV/0!</v>
      </c>
      <c r="Q152" s="410">
        <f>IF(N152&gt;0,N152*K152/T152,0)*VLOOKUP(B152,'2-Kosten per locatie'!$A$14:$C$61,3,FALSE)</f>
        <v>0</v>
      </c>
      <c r="R152" s="410">
        <f>IF(O152&gt;0,O152*K152/U152,0)*VLOOKUP(B152,'2-Kosten per locatie'!$A$14:$C$61,3,FALSE)</f>
        <v>0</v>
      </c>
      <c r="S152" s="411">
        <f>IF(M152="nio",0,IF(M152&gt;0,VLOOKUP(I152,'3-Productie normen'!A:P,VLOOKUP(M152,'3-Productie normen'!$B$38:$C$48,2,FALSE),FALSE)))</f>
        <v>0</v>
      </c>
      <c r="T152" s="411">
        <f t="shared" si="13"/>
        <v>0</v>
      </c>
      <c r="U152" s="411">
        <f t="shared" si="16"/>
        <v>0</v>
      </c>
      <c r="V152" s="412"/>
      <c r="X152" s="413">
        <f t="shared" si="14"/>
        <v>1836</v>
      </c>
    </row>
    <row r="153" spans="1:24" ht="14.1" customHeight="1">
      <c r="A153" s="70">
        <f t="shared" si="15"/>
        <v>153</v>
      </c>
      <c r="B153" s="354" t="s">
        <v>44</v>
      </c>
      <c r="C153" s="354" t="s">
        <v>292</v>
      </c>
      <c r="D153" s="354" t="s">
        <v>165</v>
      </c>
      <c r="E153" s="404" t="s">
        <v>234</v>
      </c>
      <c r="F153" s="405" t="s">
        <v>273</v>
      </c>
      <c r="G153" s="406" t="s">
        <v>328</v>
      </c>
      <c r="H153" s="399" t="s">
        <v>172</v>
      </c>
      <c r="I153" s="399" t="s">
        <v>124</v>
      </c>
      <c r="J153" s="399" t="s">
        <v>171</v>
      </c>
      <c r="K153" s="407">
        <v>24.1</v>
      </c>
      <c r="L153" s="408">
        <f t="shared" si="12"/>
        <v>0</v>
      </c>
      <c r="M153" s="409" t="s">
        <v>242</v>
      </c>
      <c r="N153" s="409"/>
      <c r="O153" s="409"/>
      <c r="P153" s="410">
        <f>IF(M153="nio",0,IF(M153&gt;0,M153*K153/S153,0))*VLOOKUP(B153,'2-Kosten per locatie'!$A$14:$C$61,3,FALSE)</f>
        <v>0</v>
      </c>
      <c r="Q153" s="410">
        <f>IF(N153&gt;0,N153*K153/T153,0)*VLOOKUP(B153,'2-Kosten per locatie'!$A$14:$C$61,3,FALSE)</f>
        <v>0</v>
      </c>
      <c r="R153" s="410">
        <f>IF(O153&gt;0,O153*K153/U153,0)*VLOOKUP(B153,'2-Kosten per locatie'!$A$14:$C$61,3,FALSE)</f>
        <v>0</v>
      </c>
      <c r="S153" s="411">
        <f>IF(M153="nio",0,IF(M153&gt;0,VLOOKUP(I153,'3-Productie normen'!A:P,VLOOKUP(M153,'3-Productie normen'!$B$38:$C$48,2,FALSE),FALSE)))</f>
        <v>0</v>
      </c>
      <c r="T153" s="411">
        <f t="shared" si="13"/>
        <v>0</v>
      </c>
      <c r="U153" s="411">
        <f t="shared" si="16"/>
        <v>0</v>
      </c>
      <c r="V153" s="412"/>
      <c r="X153" s="413">
        <f t="shared" si="14"/>
        <v>0</v>
      </c>
    </row>
    <row r="154" spans="1:24" ht="14.1" customHeight="1">
      <c r="A154" s="70">
        <f t="shared" si="15"/>
        <v>154</v>
      </c>
      <c r="B154" s="354" t="s">
        <v>44</v>
      </c>
      <c r="C154" s="354" t="s">
        <v>292</v>
      </c>
      <c r="D154" s="354" t="s">
        <v>165</v>
      </c>
      <c r="E154" s="404" t="s">
        <v>234</v>
      </c>
      <c r="F154" s="405" t="s">
        <v>273</v>
      </c>
      <c r="G154" s="406" t="s">
        <v>329</v>
      </c>
      <c r="H154" s="399" t="s">
        <v>172</v>
      </c>
      <c r="I154" s="399" t="s">
        <v>124</v>
      </c>
      <c r="J154" s="399" t="s">
        <v>171</v>
      </c>
      <c r="K154" s="407">
        <v>17.2</v>
      </c>
      <c r="L154" s="408">
        <f t="shared" si="12"/>
        <v>0</v>
      </c>
      <c r="M154" s="409" t="s">
        <v>242</v>
      </c>
      <c r="N154" s="409"/>
      <c r="O154" s="409"/>
      <c r="P154" s="410">
        <f>IF(M154="nio",0,IF(M154&gt;0,M154*K154/S154,0))*VLOOKUP(B154,'2-Kosten per locatie'!$A$14:$C$61,3,FALSE)</f>
        <v>0</v>
      </c>
      <c r="Q154" s="410">
        <f>IF(N154&gt;0,N154*K154/T154,0)*VLOOKUP(B154,'2-Kosten per locatie'!$A$14:$C$61,3,FALSE)</f>
        <v>0</v>
      </c>
      <c r="R154" s="410">
        <f>IF(O154&gt;0,O154*K154/U154,0)*VLOOKUP(B154,'2-Kosten per locatie'!$A$14:$C$61,3,FALSE)</f>
        <v>0</v>
      </c>
      <c r="S154" s="411">
        <f>IF(M154="nio",0,IF(M154&gt;0,VLOOKUP(I154,'3-Productie normen'!A:P,VLOOKUP(M154,'3-Productie normen'!$B$38:$C$48,2,FALSE),FALSE)))</f>
        <v>0</v>
      </c>
      <c r="T154" s="411">
        <f t="shared" si="13"/>
        <v>0</v>
      </c>
      <c r="U154" s="411">
        <f t="shared" si="16"/>
        <v>0</v>
      </c>
      <c r="V154" s="412"/>
      <c r="X154" s="413">
        <f t="shared" si="14"/>
        <v>0</v>
      </c>
    </row>
    <row r="155" spans="1:24" ht="14.1" customHeight="1">
      <c r="A155" s="70">
        <f t="shared" si="15"/>
        <v>155</v>
      </c>
      <c r="B155" s="354" t="s">
        <v>44</v>
      </c>
      <c r="C155" s="354" t="s">
        <v>292</v>
      </c>
      <c r="D155" s="354" t="s">
        <v>165</v>
      </c>
      <c r="E155" s="404" t="s">
        <v>234</v>
      </c>
      <c r="F155" s="405" t="s">
        <v>273</v>
      </c>
      <c r="G155" s="406" t="s">
        <v>330</v>
      </c>
      <c r="H155" s="399" t="s">
        <v>172</v>
      </c>
      <c r="I155" s="399" t="s">
        <v>105</v>
      </c>
      <c r="J155" s="399" t="s">
        <v>171</v>
      </c>
      <c r="K155" s="407">
        <v>21</v>
      </c>
      <c r="L155" s="408">
        <f t="shared" si="12"/>
        <v>156</v>
      </c>
      <c r="M155" s="409">
        <v>156</v>
      </c>
      <c r="N155" s="409"/>
      <c r="O155" s="409"/>
      <c r="P155" s="410" t="e">
        <f>IF(M155="nio",0,IF(M155&gt;0,M155*K155/S155,0))*VLOOKUP(B155,'2-Kosten per locatie'!$A$14:$C$61,3,FALSE)</f>
        <v>#DIV/0!</v>
      </c>
      <c r="Q155" s="410">
        <f>IF(N155&gt;0,N155*K155/T155,0)*VLOOKUP(B155,'2-Kosten per locatie'!$A$14:$C$61,3,FALSE)</f>
        <v>0</v>
      </c>
      <c r="R155" s="410">
        <f>IF(O155&gt;0,O155*K155/U155,0)*VLOOKUP(B155,'2-Kosten per locatie'!$A$14:$C$61,3,FALSE)</f>
        <v>0</v>
      </c>
      <c r="S155" s="411">
        <f>IF(M155="nio",0,IF(M155&gt;0,VLOOKUP(I155,'3-Productie normen'!A:P,VLOOKUP(M155,'3-Productie normen'!$B$38:$C$48,2,FALSE),FALSE)))</f>
        <v>0</v>
      </c>
      <c r="T155" s="411">
        <f t="shared" si="13"/>
        <v>0</v>
      </c>
      <c r="U155" s="411">
        <f t="shared" si="16"/>
        <v>0</v>
      </c>
      <c r="V155" s="412"/>
      <c r="X155" s="413">
        <f t="shared" si="14"/>
        <v>3276</v>
      </c>
    </row>
    <row r="156" spans="1:24" ht="14.1" customHeight="1">
      <c r="A156" s="70">
        <f t="shared" si="15"/>
        <v>156</v>
      </c>
      <c r="B156" s="354" t="s">
        <v>44</v>
      </c>
      <c r="C156" s="354" t="s">
        <v>292</v>
      </c>
      <c r="D156" s="354" t="s">
        <v>165</v>
      </c>
      <c r="E156" s="404" t="s">
        <v>234</v>
      </c>
      <c r="F156" s="405" t="s">
        <v>273</v>
      </c>
      <c r="G156" s="406" t="s">
        <v>331</v>
      </c>
      <c r="H156" s="399" t="s">
        <v>172</v>
      </c>
      <c r="I156" s="399" t="s">
        <v>124</v>
      </c>
      <c r="J156" s="399" t="s">
        <v>171</v>
      </c>
      <c r="K156" s="407">
        <v>16.3</v>
      </c>
      <c r="L156" s="408">
        <f t="shared" si="12"/>
        <v>0</v>
      </c>
      <c r="M156" s="409" t="s">
        <v>242</v>
      </c>
      <c r="N156" s="409"/>
      <c r="O156" s="409"/>
      <c r="P156" s="410">
        <f>IF(M156="nio",0,IF(M156&gt;0,M156*K156/S156,0))*VLOOKUP(B156,'2-Kosten per locatie'!$A$14:$C$61,3,FALSE)</f>
        <v>0</v>
      </c>
      <c r="Q156" s="410">
        <f>IF(N156&gt;0,N156*K156/T156,0)*VLOOKUP(B156,'2-Kosten per locatie'!$A$14:$C$61,3,FALSE)</f>
        <v>0</v>
      </c>
      <c r="R156" s="410">
        <f>IF(O156&gt;0,O156*K156/U156,0)*VLOOKUP(B156,'2-Kosten per locatie'!$A$14:$C$61,3,FALSE)</f>
        <v>0</v>
      </c>
      <c r="S156" s="411">
        <f>IF(M156="nio",0,IF(M156&gt;0,VLOOKUP(I156,'3-Productie normen'!A:P,VLOOKUP(M156,'3-Productie normen'!$B$38:$C$48,2,FALSE),FALSE)))</f>
        <v>0</v>
      </c>
      <c r="T156" s="411">
        <f t="shared" si="13"/>
        <v>0</v>
      </c>
      <c r="U156" s="411">
        <f t="shared" si="16"/>
        <v>0</v>
      </c>
      <c r="V156" s="412"/>
      <c r="X156" s="413">
        <f t="shared" si="14"/>
        <v>0</v>
      </c>
    </row>
    <row r="157" spans="1:24" ht="14.1" customHeight="1">
      <c r="A157" s="70">
        <f t="shared" si="15"/>
        <v>157</v>
      </c>
      <c r="B157" s="354" t="s">
        <v>44</v>
      </c>
      <c r="C157" s="354" t="s">
        <v>292</v>
      </c>
      <c r="D157" s="354" t="s">
        <v>165</v>
      </c>
      <c r="E157" s="404" t="s">
        <v>234</v>
      </c>
      <c r="F157" s="405" t="s">
        <v>273</v>
      </c>
      <c r="G157" s="406" t="s">
        <v>332</v>
      </c>
      <c r="H157" s="399" t="s">
        <v>172</v>
      </c>
      <c r="I157" s="399" t="s">
        <v>124</v>
      </c>
      <c r="J157" s="399" t="s">
        <v>171</v>
      </c>
      <c r="K157" s="407">
        <v>48.7</v>
      </c>
      <c r="L157" s="408">
        <f t="shared" si="12"/>
        <v>0</v>
      </c>
      <c r="M157" s="409" t="s">
        <v>242</v>
      </c>
      <c r="N157" s="409"/>
      <c r="O157" s="409"/>
      <c r="P157" s="410">
        <f>IF(M157="nio",0,IF(M157&gt;0,M157*K157/S157,0))*VLOOKUP(B157,'2-Kosten per locatie'!$A$14:$C$61,3,FALSE)</f>
        <v>0</v>
      </c>
      <c r="Q157" s="410">
        <f>IF(N157&gt;0,N157*K157/T157,0)*VLOOKUP(B157,'2-Kosten per locatie'!$A$14:$C$61,3,FALSE)</f>
        <v>0</v>
      </c>
      <c r="R157" s="410">
        <f>IF(O157&gt;0,O157*K157/U157,0)*VLOOKUP(B157,'2-Kosten per locatie'!$A$14:$C$61,3,FALSE)</f>
        <v>0</v>
      </c>
      <c r="S157" s="411">
        <f>IF(M157="nio",0,IF(M157&gt;0,VLOOKUP(I157,'3-Productie normen'!A:P,VLOOKUP(M157,'3-Productie normen'!$B$38:$C$48,2,FALSE),FALSE)))</f>
        <v>0</v>
      </c>
      <c r="T157" s="411">
        <f t="shared" si="13"/>
        <v>0</v>
      </c>
      <c r="U157" s="411">
        <f t="shared" si="16"/>
        <v>0</v>
      </c>
      <c r="V157" s="412"/>
      <c r="X157" s="413">
        <f t="shared" si="14"/>
        <v>0</v>
      </c>
    </row>
    <row r="158" spans="1:24" ht="14.1" customHeight="1">
      <c r="A158" s="70">
        <f t="shared" si="15"/>
        <v>158</v>
      </c>
      <c r="B158" s="354" t="s">
        <v>44</v>
      </c>
      <c r="C158" s="354" t="s">
        <v>292</v>
      </c>
      <c r="D158" s="354" t="s">
        <v>165</v>
      </c>
      <c r="E158" s="404" t="s">
        <v>234</v>
      </c>
      <c r="F158" s="405" t="s">
        <v>273</v>
      </c>
      <c r="G158" s="406" t="s">
        <v>333</v>
      </c>
      <c r="H158" s="354" t="s">
        <v>172</v>
      </c>
      <c r="I158" s="399" t="s">
        <v>124</v>
      </c>
      <c r="J158" s="399" t="s">
        <v>171</v>
      </c>
      <c r="K158" s="407">
        <v>9.1999999999999993</v>
      </c>
      <c r="L158" s="408">
        <f t="shared" si="12"/>
        <v>0</v>
      </c>
      <c r="M158" s="409" t="s">
        <v>242</v>
      </c>
      <c r="N158" s="409"/>
      <c r="O158" s="409"/>
      <c r="P158" s="410">
        <f>IF(M158="nio",0,IF(M158&gt;0,M158*K158/S158,0))*VLOOKUP(B158,'2-Kosten per locatie'!$A$14:$C$61,3,FALSE)</f>
        <v>0</v>
      </c>
      <c r="Q158" s="410">
        <f>IF(N158&gt;0,N158*K158/T158,0)*VLOOKUP(B158,'2-Kosten per locatie'!$A$14:$C$61,3,FALSE)</f>
        <v>0</v>
      </c>
      <c r="R158" s="410">
        <f>IF(O158&gt;0,O158*K158/U158,0)*VLOOKUP(B158,'2-Kosten per locatie'!$A$14:$C$61,3,FALSE)</f>
        <v>0</v>
      </c>
      <c r="S158" s="411">
        <f>IF(M158="nio",0,IF(M158&gt;0,VLOOKUP(I158,'3-Productie normen'!A:P,VLOOKUP(M158,'3-Productie normen'!$B$38:$C$48,2,FALSE),FALSE)))</f>
        <v>0</v>
      </c>
      <c r="T158" s="411">
        <f t="shared" si="13"/>
        <v>0</v>
      </c>
      <c r="U158" s="411">
        <f t="shared" si="16"/>
        <v>0</v>
      </c>
      <c r="V158" s="412"/>
      <c r="X158" s="413">
        <f t="shared" si="14"/>
        <v>0</v>
      </c>
    </row>
    <row r="159" spans="1:24" ht="14.1" customHeight="1">
      <c r="A159" s="70">
        <f t="shared" si="15"/>
        <v>159</v>
      </c>
      <c r="B159" s="354" t="s">
        <v>44</v>
      </c>
      <c r="C159" s="354" t="s">
        <v>292</v>
      </c>
      <c r="D159" s="354" t="s">
        <v>165</v>
      </c>
      <c r="E159" s="404" t="s">
        <v>234</v>
      </c>
      <c r="F159" s="405" t="s">
        <v>273</v>
      </c>
      <c r="G159" s="406" t="s">
        <v>334</v>
      </c>
      <c r="H159" s="354" t="s">
        <v>172</v>
      </c>
      <c r="I159" s="399" t="s">
        <v>124</v>
      </c>
      <c r="J159" s="399" t="s">
        <v>171</v>
      </c>
      <c r="K159" s="407">
        <v>2.1</v>
      </c>
      <c r="L159" s="408">
        <f t="shared" si="12"/>
        <v>0</v>
      </c>
      <c r="M159" s="409" t="s">
        <v>242</v>
      </c>
      <c r="N159" s="409"/>
      <c r="O159" s="409"/>
      <c r="P159" s="410">
        <f>IF(M159="nio",0,IF(M159&gt;0,M159*K159/S159,0))*VLOOKUP(B159,'2-Kosten per locatie'!$A$14:$C$61,3,FALSE)</f>
        <v>0</v>
      </c>
      <c r="Q159" s="410">
        <f>IF(N159&gt;0,N159*K159/T159,0)*VLOOKUP(B159,'2-Kosten per locatie'!$A$14:$C$61,3,FALSE)</f>
        <v>0</v>
      </c>
      <c r="R159" s="410">
        <f>IF(O159&gt;0,O159*K159/U159,0)*VLOOKUP(B159,'2-Kosten per locatie'!$A$14:$C$61,3,FALSE)</f>
        <v>0</v>
      </c>
      <c r="S159" s="411">
        <f>IF(M159="nio",0,IF(M159&gt;0,VLOOKUP(I159,'3-Productie normen'!A:P,VLOOKUP(M159,'3-Productie normen'!$B$38:$C$48,2,FALSE),FALSE)))</f>
        <v>0</v>
      </c>
      <c r="T159" s="411">
        <f t="shared" si="13"/>
        <v>0</v>
      </c>
      <c r="U159" s="411">
        <f t="shared" si="16"/>
        <v>0</v>
      </c>
      <c r="V159" s="412"/>
      <c r="X159" s="413">
        <f t="shared" si="14"/>
        <v>0</v>
      </c>
    </row>
    <row r="160" spans="1:24" ht="14.1" customHeight="1">
      <c r="A160" s="70">
        <f t="shared" si="15"/>
        <v>160</v>
      </c>
      <c r="B160" s="354" t="s">
        <v>44</v>
      </c>
      <c r="C160" s="354" t="s">
        <v>292</v>
      </c>
      <c r="D160" s="354" t="s">
        <v>165</v>
      </c>
      <c r="E160" s="404" t="s">
        <v>234</v>
      </c>
      <c r="F160" s="405" t="s">
        <v>273</v>
      </c>
      <c r="G160" s="406" t="s">
        <v>335</v>
      </c>
      <c r="H160" s="354" t="s">
        <v>172</v>
      </c>
      <c r="I160" s="399" t="s">
        <v>124</v>
      </c>
      <c r="J160" s="399" t="s">
        <v>171</v>
      </c>
      <c r="K160" s="407">
        <v>9.6999999999999993</v>
      </c>
      <c r="L160" s="408">
        <f t="shared" si="12"/>
        <v>0</v>
      </c>
      <c r="M160" s="409" t="s">
        <v>242</v>
      </c>
      <c r="N160" s="409"/>
      <c r="O160" s="409"/>
      <c r="P160" s="410">
        <f>IF(M160="nio",0,IF(M160&gt;0,M160*K160/S160,0))*VLOOKUP(B160,'2-Kosten per locatie'!$A$14:$C$61,3,FALSE)</f>
        <v>0</v>
      </c>
      <c r="Q160" s="410">
        <f>IF(N160&gt;0,N160*K160/T160,0)*VLOOKUP(B160,'2-Kosten per locatie'!$A$14:$C$61,3,FALSE)</f>
        <v>0</v>
      </c>
      <c r="R160" s="410">
        <f>IF(O160&gt;0,O160*K160/U160,0)*VLOOKUP(B160,'2-Kosten per locatie'!$A$14:$C$61,3,FALSE)</f>
        <v>0</v>
      </c>
      <c r="S160" s="411">
        <f>IF(M160="nio",0,IF(M160&gt;0,VLOOKUP(I160,'3-Productie normen'!A:P,VLOOKUP(M160,'3-Productie normen'!$B$38:$C$48,2,FALSE),FALSE)))</f>
        <v>0</v>
      </c>
      <c r="T160" s="411">
        <f t="shared" si="13"/>
        <v>0</v>
      </c>
      <c r="U160" s="411">
        <f t="shared" si="16"/>
        <v>0</v>
      </c>
      <c r="V160" s="412"/>
      <c r="X160" s="413">
        <f t="shared" si="14"/>
        <v>0</v>
      </c>
    </row>
    <row r="161" spans="1:24" ht="14.1" customHeight="1">
      <c r="A161" s="70">
        <f t="shared" si="15"/>
        <v>161</v>
      </c>
      <c r="B161" s="354" t="s">
        <v>44</v>
      </c>
      <c r="C161" s="354" t="s">
        <v>292</v>
      </c>
      <c r="D161" s="354" t="s">
        <v>165</v>
      </c>
      <c r="E161" s="404" t="s">
        <v>234</v>
      </c>
      <c r="F161" s="405" t="s">
        <v>273</v>
      </c>
      <c r="G161" s="406" t="s">
        <v>336</v>
      </c>
      <c r="H161" s="399" t="s">
        <v>172</v>
      </c>
      <c r="I161" s="399" t="s">
        <v>124</v>
      </c>
      <c r="J161" s="399" t="s">
        <v>171</v>
      </c>
      <c r="K161" s="407">
        <v>9</v>
      </c>
      <c r="L161" s="408">
        <f t="shared" si="12"/>
        <v>0</v>
      </c>
      <c r="M161" s="409" t="s">
        <v>242</v>
      </c>
      <c r="N161" s="409"/>
      <c r="O161" s="409"/>
      <c r="P161" s="410">
        <f>IF(M161="nio",0,IF(M161&gt;0,M161*K161/S161,0))*VLOOKUP(B161,'2-Kosten per locatie'!$A$14:$C$61,3,FALSE)</f>
        <v>0</v>
      </c>
      <c r="Q161" s="410">
        <f>IF(N161&gt;0,N161*K161/T161,0)*VLOOKUP(B161,'2-Kosten per locatie'!$A$14:$C$61,3,FALSE)</f>
        <v>0</v>
      </c>
      <c r="R161" s="410">
        <f>IF(O161&gt;0,O161*K161/U161,0)*VLOOKUP(B161,'2-Kosten per locatie'!$A$14:$C$61,3,FALSE)</f>
        <v>0</v>
      </c>
      <c r="S161" s="411">
        <f>IF(M161="nio",0,IF(M161&gt;0,VLOOKUP(I161,'3-Productie normen'!A:P,VLOOKUP(M161,'3-Productie normen'!$B$38:$C$48,2,FALSE),FALSE)))</f>
        <v>0</v>
      </c>
      <c r="T161" s="411">
        <f t="shared" si="13"/>
        <v>0</v>
      </c>
      <c r="U161" s="411">
        <f t="shared" si="16"/>
        <v>0</v>
      </c>
      <c r="V161" s="412"/>
      <c r="X161" s="413">
        <f t="shared" si="14"/>
        <v>0</v>
      </c>
    </row>
    <row r="162" spans="1:24" ht="14.1" customHeight="1">
      <c r="A162" s="70">
        <f t="shared" si="15"/>
        <v>162</v>
      </c>
      <c r="B162" s="354" t="s">
        <v>44</v>
      </c>
      <c r="C162" s="354" t="s">
        <v>292</v>
      </c>
      <c r="D162" s="354" t="s">
        <v>165</v>
      </c>
      <c r="E162" s="404" t="s">
        <v>234</v>
      </c>
      <c r="F162" s="405" t="s">
        <v>273</v>
      </c>
      <c r="G162" s="406" t="s">
        <v>337</v>
      </c>
      <c r="H162" s="399" t="s">
        <v>172</v>
      </c>
      <c r="I162" s="399" t="s">
        <v>124</v>
      </c>
      <c r="J162" s="399" t="s">
        <v>171</v>
      </c>
      <c r="K162" s="407">
        <v>28.5</v>
      </c>
      <c r="L162" s="408">
        <f t="shared" si="12"/>
        <v>0</v>
      </c>
      <c r="M162" s="409" t="s">
        <v>242</v>
      </c>
      <c r="N162" s="409"/>
      <c r="O162" s="409"/>
      <c r="P162" s="410">
        <f>IF(M162="nio",0,IF(M162&gt;0,M162*K162/S162,0))*VLOOKUP(B162,'2-Kosten per locatie'!$A$14:$C$61,3,FALSE)</f>
        <v>0</v>
      </c>
      <c r="Q162" s="410">
        <f>IF(N162&gt;0,N162*K162/T162,0)*VLOOKUP(B162,'2-Kosten per locatie'!$A$14:$C$61,3,FALSE)</f>
        <v>0</v>
      </c>
      <c r="R162" s="410">
        <f>IF(O162&gt;0,O162*K162/U162,0)*VLOOKUP(B162,'2-Kosten per locatie'!$A$14:$C$61,3,FALSE)</f>
        <v>0</v>
      </c>
      <c r="S162" s="411">
        <f>IF(M162="nio",0,IF(M162&gt;0,VLOOKUP(I162,'3-Productie normen'!A:P,VLOOKUP(M162,'3-Productie normen'!$B$38:$C$48,2,FALSE),FALSE)))</f>
        <v>0</v>
      </c>
      <c r="T162" s="411">
        <f t="shared" si="13"/>
        <v>0</v>
      </c>
      <c r="U162" s="411">
        <f t="shared" si="16"/>
        <v>0</v>
      </c>
      <c r="V162" s="412"/>
      <c r="X162" s="413">
        <f t="shared" si="14"/>
        <v>0</v>
      </c>
    </row>
    <row r="163" spans="1:24" ht="14.1" customHeight="1">
      <c r="A163" s="70">
        <f t="shared" si="15"/>
        <v>163</v>
      </c>
      <c r="B163" s="354" t="s">
        <v>44</v>
      </c>
      <c r="C163" s="354" t="s">
        <v>292</v>
      </c>
      <c r="D163" s="354" t="s">
        <v>165</v>
      </c>
      <c r="E163" s="404" t="s">
        <v>234</v>
      </c>
      <c r="F163" s="405" t="s">
        <v>273</v>
      </c>
      <c r="G163" s="406" t="s">
        <v>338</v>
      </c>
      <c r="H163" s="399" t="s">
        <v>172</v>
      </c>
      <c r="I163" s="399" t="s">
        <v>124</v>
      </c>
      <c r="J163" s="399" t="s">
        <v>171</v>
      </c>
      <c r="K163" s="407">
        <v>14.9</v>
      </c>
      <c r="L163" s="408">
        <f t="shared" si="12"/>
        <v>0</v>
      </c>
      <c r="M163" s="409" t="s">
        <v>242</v>
      </c>
      <c r="N163" s="409"/>
      <c r="O163" s="409"/>
      <c r="P163" s="410">
        <f>IF(M163="nio",0,IF(M163&gt;0,M163*K163/S163,0))*VLOOKUP(B163,'2-Kosten per locatie'!$A$14:$C$61,3,FALSE)</f>
        <v>0</v>
      </c>
      <c r="Q163" s="410">
        <f>IF(N163&gt;0,N163*K163/T163,0)*VLOOKUP(B163,'2-Kosten per locatie'!$A$14:$C$61,3,FALSE)</f>
        <v>0</v>
      </c>
      <c r="R163" s="410">
        <f>IF(O163&gt;0,O163*K163/U163,0)*VLOOKUP(B163,'2-Kosten per locatie'!$A$14:$C$61,3,FALSE)</f>
        <v>0</v>
      </c>
      <c r="S163" s="411">
        <f>IF(M163="nio",0,IF(M163&gt;0,VLOOKUP(I163,'3-Productie normen'!A:P,VLOOKUP(M163,'3-Productie normen'!$B$38:$C$48,2,FALSE),FALSE)))</f>
        <v>0</v>
      </c>
      <c r="T163" s="411">
        <f t="shared" si="13"/>
        <v>0</v>
      </c>
      <c r="U163" s="411">
        <f t="shared" si="16"/>
        <v>0</v>
      </c>
      <c r="V163" s="412"/>
      <c r="X163" s="413">
        <f t="shared" si="14"/>
        <v>0</v>
      </c>
    </row>
    <row r="164" spans="1:24" ht="14.1" customHeight="1">
      <c r="A164" s="70">
        <f t="shared" si="15"/>
        <v>164</v>
      </c>
      <c r="B164" s="354" t="s">
        <v>44</v>
      </c>
      <c r="C164" s="354" t="s">
        <v>292</v>
      </c>
      <c r="D164" s="354" t="s">
        <v>165</v>
      </c>
      <c r="E164" s="404" t="s">
        <v>234</v>
      </c>
      <c r="F164" s="405" t="s">
        <v>273</v>
      </c>
      <c r="G164" s="406" t="s">
        <v>339</v>
      </c>
      <c r="H164" s="399" t="s">
        <v>172</v>
      </c>
      <c r="I164" s="399" t="s">
        <v>124</v>
      </c>
      <c r="J164" s="399" t="s">
        <v>171</v>
      </c>
      <c r="K164" s="407">
        <v>5.0999999999999996</v>
      </c>
      <c r="L164" s="408">
        <f t="shared" si="12"/>
        <v>0</v>
      </c>
      <c r="M164" s="409" t="s">
        <v>242</v>
      </c>
      <c r="N164" s="409"/>
      <c r="O164" s="409"/>
      <c r="P164" s="410">
        <f>IF(M164="nio",0,IF(M164&gt;0,M164*K164/S164,0))*VLOOKUP(B164,'2-Kosten per locatie'!$A$14:$C$61,3,FALSE)</f>
        <v>0</v>
      </c>
      <c r="Q164" s="410">
        <f>IF(N164&gt;0,N164*K164/T164,0)*VLOOKUP(B164,'2-Kosten per locatie'!$A$14:$C$61,3,FALSE)</f>
        <v>0</v>
      </c>
      <c r="R164" s="410">
        <f>IF(O164&gt;0,O164*K164/U164,0)*VLOOKUP(B164,'2-Kosten per locatie'!$A$14:$C$61,3,FALSE)</f>
        <v>0</v>
      </c>
      <c r="S164" s="411">
        <f>IF(M164="nio",0,IF(M164&gt;0,VLOOKUP(I164,'3-Productie normen'!A:P,VLOOKUP(M164,'3-Productie normen'!$B$38:$C$48,2,FALSE),FALSE)))</f>
        <v>0</v>
      </c>
      <c r="T164" s="411">
        <f t="shared" si="13"/>
        <v>0</v>
      </c>
      <c r="U164" s="411">
        <f t="shared" si="16"/>
        <v>0</v>
      </c>
      <c r="V164" s="412"/>
      <c r="X164" s="413">
        <f t="shared" si="14"/>
        <v>0</v>
      </c>
    </row>
    <row r="165" spans="1:24" ht="14.1" customHeight="1">
      <c r="A165" s="70">
        <f t="shared" si="15"/>
        <v>165</v>
      </c>
      <c r="B165" s="354" t="s">
        <v>44</v>
      </c>
      <c r="C165" s="354" t="s">
        <v>292</v>
      </c>
      <c r="D165" s="354" t="s">
        <v>165</v>
      </c>
      <c r="E165" s="404" t="s">
        <v>234</v>
      </c>
      <c r="F165" s="405" t="s">
        <v>273</v>
      </c>
      <c r="G165" s="406" t="s">
        <v>340</v>
      </c>
      <c r="H165" s="341" t="s">
        <v>172</v>
      </c>
      <c r="I165" s="399" t="s">
        <v>124</v>
      </c>
      <c r="J165" s="399" t="s">
        <v>171</v>
      </c>
      <c r="K165" s="407">
        <v>5.0999999999999996</v>
      </c>
      <c r="L165" s="408">
        <f t="shared" si="12"/>
        <v>0</v>
      </c>
      <c r="M165" s="409" t="s">
        <v>242</v>
      </c>
      <c r="N165" s="409"/>
      <c r="O165" s="409"/>
      <c r="P165" s="410">
        <f>IF(M165="nio",0,IF(M165&gt;0,M165*K165/S165,0))*VLOOKUP(B165,'2-Kosten per locatie'!$A$14:$C$61,3,FALSE)</f>
        <v>0</v>
      </c>
      <c r="Q165" s="410">
        <f>IF(N165&gt;0,N165*K165/T165,0)*VLOOKUP(B165,'2-Kosten per locatie'!$A$14:$C$61,3,FALSE)</f>
        <v>0</v>
      </c>
      <c r="R165" s="410">
        <f>IF(O165&gt;0,O165*K165/U165,0)*VLOOKUP(B165,'2-Kosten per locatie'!$A$14:$C$61,3,FALSE)</f>
        <v>0</v>
      </c>
      <c r="S165" s="411">
        <f>IF(M165="nio",0,IF(M165&gt;0,VLOOKUP(I165,'3-Productie normen'!A:P,VLOOKUP(M165,'3-Productie normen'!$B$38:$C$48,2,FALSE),FALSE)))</f>
        <v>0</v>
      </c>
      <c r="T165" s="411">
        <f t="shared" si="13"/>
        <v>0</v>
      </c>
      <c r="U165" s="411">
        <f t="shared" si="16"/>
        <v>0</v>
      </c>
      <c r="V165" s="412"/>
      <c r="X165" s="413">
        <f t="shared" si="14"/>
        <v>0</v>
      </c>
    </row>
    <row r="166" spans="1:24" ht="14.1" customHeight="1">
      <c r="A166" s="70">
        <f t="shared" si="15"/>
        <v>166</v>
      </c>
      <c r="B166" s="354" t="s">
        <v>44</v>
      </c>
      <c r="C166" s="354" t="s">
        <v>292</v>
      </c>
      <c r="D166" s="354" t="s">
        <v>165</v>
      </c>
      <c r="E166" s="404" t="s">
        <v>234</v>
      </c>
      <c r="F166" s="405" t="s">
        <v>273</v>
      </c>
      <c r="G166" s="406" t="s">
        <v>341</v>
      </c>
      <c r="H166" s="399" t="s">
        <v>172</v>
      </c>
      <c r="I166" s="399" t="s">
        <v>124</v>
      </c>
      <c r="J166" s="228" t="s">
        <v>171</v>
      </c>
      <c r="K166" s="407">
        <v>24.1</v>
      </c>
      <c r="L166" s="408">
        <f t="shared" si="12"/>
        <v>0</v>
      </c>
      <c r="M166" s="409" t="s">
        <v>242</v>
      </c>
      <c r="N166" s="409"/>
      <c r="O166" s="409"/>
      <c r="P166" s="410">
        <f>IF(M166="nio",0,IF(M166&gt;0,M166*K166/S166,0))*VLOOKUP(B166,'2-Kosten per locatie'!$A$14:$C$61,3,FALSE)</f>
        <v>0</v>
      </c>
      <c r="Q166" s="410">
        <f>IF(N166&gt;0,N166*K166/T166,0)*VLOOKUP(B166,'2-Kosten per locatie'!$A$14:$C$61,3,FALSE)</f>
        <v>0</v>
      </c>
      <c r="R166" s="410">
        <f>IF(O166&gt;0,O166*K166/U166,0)*VLOOKUP(B166,'2-Kosten per locatie'!$A$14:$C$61,3,FALSE)</f>
        <v>0</v>
      </c>
      <c r="S166" s="411">
        <f>IF(M166="nio",0,IF(M166&gt;0,VLOOKUP(I166,'3-Productie normen'!A:P,VLOOKUP(M166,'3-Productie normen'!$B$38:$C$48,2,FALSE),FALSE)))</f>
        <v>0</v>
      </c>
      <c r="T166" s="411">
        <f t="shared" si="13"/>
        <v>0</v>
      </c>
      <c r="U166" s="411">
        <f t="shared" si="16"/>
        <v>0</v>
      </c>
      <c r="V166" s="412"/>
      <c r="X166" s="413">
        <f t="shared" si="14"/>
        <v>0</v>
      </c>
    </row>
    <row r="167" spans="1:24" ht="14.1" customHeight="1">
      <c r="A167" s="70">
        <f t="shared" si="15"/>
        <v>167</v>
      </c>
      <c r="B167" s="354" t="s">
        <v>44</v>
      </c>
      <c r="C167" s="354" t="s">
        <v>292</v>
      </c>
      <c r="D167" s="354" t="s">
        <v>165</v>
      </c>
      <c r="E167" s="404" t="s">
        <v>234</v>
      </c>
      <c r="F167" s="81" t="s">
        <v>273</v>
      </c>
      <c r="G167" s="207" t="s">
        <v>342</v>
      </c>
      <c r="H167" s="80" t="s">
        <v>172</v>
      </c>
      <c r="I167" s="399" t="s">
        <v>124</v>
      </c>
      <c r="J167" s="399" t="s">
        <v>171</v>
      </c>
      <c r="K167" s="407">
        <v>6.8</v>
      </c>
      <c r="L167" s="408">
        <f t="shared" si="12"/>
        <v>0</v>
      </c>
      <c r="M167" s="409" t="s">
        <v>242</v>
      </c>
      <c r="N167" s="409"/>
      <c r="O167" s="409"/>
      <c r="P167" s="410">
        <f>IF(M167="nio",0,IF(M167&gt;0,M167*K167/S167,0))*VLOOKUP(B167,'2-Kosten per locatie'!$A$14:$C$61,3,FALSE)</f>
        <v>0</v>
      </c>
      <c r="Q167" s="410">
        <f>IF(N167&gt;0,N167*K167/T167,0)*VLOOKUP(B167,'2-Kosten per locatie'!$A$14:$C$61,3,FALSE)</f>
        <v>0</v>
      </c>
      <c r="R167" s="410">
        <f>IF(O167&gt;0,O167*K167/U167,0)*VLOOKUP(B167,'2-Kosten per locatie'!$A$14:$C$61,3,FALSE)</f>
        <v>0</v>
      </c>
      <c r="S167" s="411">
        <f>IF(M167="nio",0,IF(M167&gt;0,VLOOKUP(I167,'3-Productie normen'!A:P,VLOOKUP(M167,'3-Productie normen'!$B$38:$C$48,2,FALSE),FALSE)))</f>
        <v>0</v>
      </c>
      <c r="T167" s="411">
        <f t="shared" si="13"/>
        <v>0</v>
      </c>
      <c r="U167" s="411">
        <f t="shared" si="16"/>
        <v>0</v>
      </c>
      <c r="V167" s="412"/>
      <c r="X167" s="413">
        <f t="shared" si="14"/>
        <v>0</v>
      </c>
    </row>
    <row r="168" spans="1:24" ht="14.1" customHeight="1">
      <c r="A168" s="70">
        <f t="shared" si="15"/>
        <v>168</v>
      </c>
      <c r="B168" s="354" t="s">
        <v>44</v>
      </c>
      <c r="C168" s="354" t="s">
        <v>292</v>
      </c>
      <c r="D168" s="354" t="s">
        <v>165</v>
      </c>
      <c r="E168" s="404" t="s">
        <v>234</v>
      </c>
      <c r="F168" s="405" t="s">
        <v>273</v>
      </c>
      <c r="G168" s="406" t="s">
        <v>343</v>
      </c>
      <c r="H168" s="399" t="s">
        <v>172</v>
      </c>
      <c r="I168" s="399" t="s">
        <v>105</v>
      </c>
      <c r="J168" s="399" t="s">
        <v>173</v>
      </c>
      <c r="K168" s="407">
        <v>38</v>
      </c>
      <c r="L168" s="408">
        <f t="shared" si="12"/>
        <v>156</v>
      </c>
      <c r="M168" s="409">
        <v>156</v>
      </c>
      <c r="N168" s="409"/>
      <c r="O168" s="409"/>
      <c r="P168" s="410" t="e">
        <f>IF(M168="nio",0,IF(M168&gt;0,M168*K168/S168,0))*VLOOKUP(B168,'2-Kosten per locatie'!$A$14:$C$61,3,FALSE)</f>
        <v>#DIV/0!</v>
      </c>
      <c r="Q168" s="410">
        <f>IF(N168&gt;0,N168*K168/T168,0)*VLOOKUP(B168,'2-Kosten per locatie'!$A$14:$C$61,3,FALSE)</f>
        <v>0</v>
      </c>
      <c r="R168" s="410">
        <f>IF(O168&gt;0,O168*K168/U168,0)*VLOOKUP(B168,'2-Kosten per locatie'!$A$14:$C$61,3,FALSE)</f>
        <v>0</v>
      </c>
      <c r="S168" s="411">
        <f>IF(M168="nio",0,IF(M168&gt;0,VLOOKUP(I168,'3-Productie normen'!A:P,VLOOKUP(M168,'3-Productie normen'!$B$38:$C$48,2,FALSE),FALSE)))</f>
        <v>0</v>
      </c>
      <c r="T168" s="411">
        <f t="shared" si="13"/>
        <v>0</v>
      </c>
      <c r="U168" s="411">
        <f t="shared" si="16"/>
        <v>0</v>
      </c>
      <c r="V168" s="412"/>
      <c r="X168" s="413">
        <f t="shared" si="14"/>
        <v>5928</v>
      </c>
    </row>
    <row r="169" spans="1:24" ht="14.1" customHeight="1">
      <c r="A169" s="70">
        <f t="shared" si="15"/>
        <v>169</v>
      </c>
      <c r="B169" s="354" t="s">
        <v>44</v>
      </c>
      <c r="C169" s="354" t="s">
        <v>292</v>
      </c>
      <c r="D169" s="354" t="s">
        <v>165</v>
      </c>
      <c r="E169" s="404" t="s">
        <v>234</v>
      </c>
      <c r="F169" s="405" t="s">
        <v>273</v>
      </c>
      <c r="G169" s="406" t="s">
        <v>344</v>
      </c>
      <c r="H169" s="399" t="s">
        <v>172</v>
      </c>
      <c r="I169" s="399" t="s">
        <v>105</v>
      </c>
      <c r="J169" s="399" t="s">
        <v>171</v>
      </c>
      <c r="K169" s="407">
        <v>38</v>
      </c>
      <c r="L169" s="408">
        <f t="shared" si="12"/>
        <v>255</v>
      </c>
      <c r="M169" s="409">
        <v>255</v>
      </c>
      <c r="N169" s="409"/>
      <c r="O169" s="409"/>
      <c r="P169" s="410" t="e">
        <f>IF(M169="nio",0,IF(M169&gt;0,M169*K169/S169,0))*VLOOKUP(B169,'2-Kosten per locatie'!$A$14:$C$61,3,FALSE)</f>
        <v>#DIV/0!</v>
      </c>
      <c r="Q169" s="410">
        <f>IF(N169&gt;0,N169*K169/T169,0)*VLOOKUP(B169,'2-Kosten per locatie'!$A$14:$C$61,3,FALSE)</f>
        <v>0</v>
      </c>
      <c r="R169" s="410">
        <f>IF(O169&gt;0,O169*K169/U169,0)*VLOOKUP(B169,'2-Kosten per locatie'!$A$14:$C$61,3,FALSE)</f>
        <v>0</v>
      </c>
      <c r="S169" s="411">
        <f>IF(M169="nio",0,IF(M169&gt;0,VLOOKUP(I169,'3-Productie normen'!A:P,VLOOKUP(M169,'3-Productie normen'!$B$38:$C$48,2,FALSE),FALSE)))</f>
        <v>0</v>
      </c>
      <c r="T169" s="411">
        <f t="shared" si="13"/>
        <v>0</v>
      </c>
      <c r="U169" s="411">
        <f t="shared" si="16"/>
        <v>0</v>
      </c>
      <c r="V169" s="412"/>
      <c r="X169" s="413">
        <f t="shared" si="14"/>
        <v>9690</v>
      </c>
    </row>
    <row r="170" spans="1:24" ht="14.1" customHeight="1">
      <c r="A170" s="70">
        <f t="shared" si="15"/>
        <v>170</v>
      </c>
      <c r="B170" s="354" t="s">
        <v>44</v>
      </c>
      <c r="C170" s="354" t="s">
        <v>292</v>
      </c>
      <c r="D170" s="354" t="s">
        <v>165</v>
      </c>
      <c r="E170" s="404" t="s">
        <v>234</v>
      </c>
      <c r="F170" s="405" t="s">
        <v>273</v>
      </c>
      <c r="G170" s="406" t="s">
        <v>345</v>
      </c>
      <c r="H170" s="399" t="s">
        <v>172</v>
      </c>
      <c r="I170" s="399" t="s">
        <v>105</v>
      </c>
      <c r="J170" s="399" t="s">
        <v>171</v>
      </c>
      <c r="K170" s="407">
        <v>33.4</v>
      </c>
      <c r="L170" s="408">
        <f t="shared" si="12"/>
        <v>255</v>
      </c>
      <c r="M170" s="409">
        <v>255</v>
      </c>
      <c r="N170" s="409"/>
      <c r="O170" s="409"/>
      <c r="P170" s="410" t="e">
        <f>IF(M170="nio",0,IF(M170&gt;0,M170*K170/S170,0))*VLOOKUP(B170,'2-Kosten per locatie'!$A$14:$C$61,3,FALSE)</f>
        <v>#DIV/0!</v>
      </c>
      <c r="Q170" s="410">
        <f>IF(N170&gt;0,N170*K170/T170,0)*VLOOKUP(B170,'2-Kosten per locatie'!$A$14:$C$61,3,FALSE)</f>
        <v>0</v>
      </c>
      <c r="R170" s="410">
        <f>IF(O170&gt;0,O170*K170/U170,0)*VLOOKUP(B170,'2-Kosten per locatie'!$A$14:$C$61,3,FALSE)</f>
        <v>0</v>
      </c>
      <c r="S170" s="411">
        <f>IF(M170="nio",0,IF(M170&gt;0,VLOOKUP(I170,'3-Productie normen'!A:P,VLOOKUP(M170,'3-Productie normen'!$B$38:$C$48,2,FALSE),FALSE)))</f>
        <v>0</v>
      </c>
      <c r="T170" s="411">
        <f t="shared" si="13"/>
        <v>0</v>
      </c>
      <c r="U170" s="411">
        <f t="shared" si="16"/>
        <v>0</v>
      </c>
      <c r="V170" s="412"/>
      <c r="X170" s="413">
        <f t="shared" si="14"/>
        <v>8517</v>
      </c>
    </row>
    <row r="171" spans="1:24" ht="14.1" customHeight="1">
      <c r="A171" s="70">
        <f t="shared" si="15"/>
        <v>171</v>
      </c>
      <c r="B171" s="354" t="s">
        <v>44</v>
      </c>
      <c r="C171" s="354" t="s">
        <v>292</v>
      </c>
      <c r="D171" s="354" t="s">
        <v>165</v>
      </c>
      <c r="E171" s="404" t="s">
        <v>234</v>
      </c>
      <c r="F171" s="405" t="s">
        <v>273</v>
      </c>
      <c r="G171" s="406" t="s">
        <v>346</v>
      </c>
      <c r="H171" s="399" t="s">
        <v>172</v>
      </c>
      <c r="I171" s="399" t="s">
        <v>105</v>
      </c>
      <c r="J171" s="399" t="s">
        <v>173</v>
      </c>
      <c r="K171" s="407">
        <v>33.4</v>
      </c>
      <c r="L171" s="408">
        <f t="shared" si="12"/>
        <v>156</v>
      </c>
      <c r="M171" s="409">
        <v>156</v>
      </c>
      <c r="N171" s="409"/>
      <c r="O171" s="409"/>
      <c r="P171" s="410" t="e">
        <f>IF(M171="nio",0,IF(M171&gt;0,M171*K171/S171,0))*VLOOKUP(B171,'2-Kosten per locatie'!$A$14:$C$61,3,FALSE)</f>
        <v>#DIV/0!</v>
      </c>
      <c r="Q171" s="410">
        <f>IF(N171&gt;0,N171*K171/T171,0)*VLOOKUP(B171,'2-Kosten per locatie'!$A$14:$C$61,3,FALSE)</f>
        <v>0</v>
      </c>
      <c r="R171" s="410">
        <f>IF(O171&gt;0,O171*K171/U171,0)*VLOOKUP(B171,'2-Kosten per locatie'!$A$14:$C$61,3,FALSE)</f>
        <v>0</v>
      </c>
      <c r="S171" s="411">
        <f>IF(M171="nio",0,IF(M171&gt;0,VLOOKUP(I171,'3-Productie normen'!A:P,VLOOKUP(M171,'3-Productie normen'!$B$38:$C$48,2,FALSE),FALSE)))</f>
        <v>0</v>
      </c>
      <c r="T171" s="411">
        <f t="shared" si="13"/>
        <v>0</v>
      </c>
      <c r="U171" s="411">
        <f t="shared" si="16"/>
        <v>0</v>
      </c>
      <c r="V171" s="412"/>
      <c r="X171" s="413">
        <f t="shared" si="14"/>
        <v>5210.3999999999996</v>
      </c>
    </row>
    <row r="172" spans="1:24" ht="14.1" customHeight="1">
      <c r="A172" s="70">
        <f t="shared" si="15"/>
        <v>172</v>
      </c>
      <c r="B172" s="354" t="s">
        <v>44</v>
      </c>
      <c r="C172" s="354" t="s">
        <v>292</v>
      </c>
      <c r="D172" s="354" t="s">
        <v>165</v>
      </c>
      <c r="E172" s="404" t="s">
        <v>234</v>
      </c>
      <c r="F172" s="405" t="s">
        <v>273</v>
      </c>
      <c r="G172" s="406" t="s">
        <v>347</v>
      </c>
      <c r="H172" s="399" t="s">
        <v>172</v>
      </c>
      <c r="I172" s="399" t="s">
        <v>105</v>
      </c>
      <c r="J172" s="399" t="s">
        <v>173</v>
      </c>
      <c r="K172" s="407">
        <v>17.7</v>
      </c>
      <c r="L172" s="408">
        <f t="shared" ref="L172:L235" si="17">SUM(M172:O172)</f>
        <v>255</v>
      </c>
      <c r="M172" s="409">
        <v>255</v>
      </c>
      <c r="N172" s="409"/>
      <c r="O172" s="409"/>
      <c r="P172" s="410" t="e">
        <f>IF(M172="nio",0,IF(M172&gt;0,M172*K172/S172,0))*VLOOKUP(B172,'2-Kosten per locatie'!$A$14:$C$61,3,FALSE)</f>
        <v>#DIV/0!</v>
      </c>
      <c r="Q172" s="410">
        <f>IF(N172&gt;0,N172*K172/T172,0)*VLOOKUP(B172,'2-Kosten per locatie'!$A$14:$C$61,3,FALSE)</f>
        <v>0</v>
      </c>
      <c r="R172" s="410">
        <f>IF(O172&gt;0,O172*K172/U172,0)*VLOOKUP(B172,'2-Kosten per locatie'!$A$14:$C$61,3,FALSE)</f>
        <v>0</v>
      </c>
      <c r="S172" s="411">
        <f>IF(M172="nio",0,IF(M172&gt;0,VLOOKUP(I172,'3-Productie normen'!A:P,VLOOKUP(M172,'3-Productie normen'!$B$38:$C$48,2,FALSE),FALSE)))</f>
        <v>0</v>
      </c>
      <c r="T172" s="411">
        <f t="shared" si="13"/>
        <v>0</v>
      </c>
      <c r="U172" s="411">
        <f t="shared" si="16"/>
        <v>0</v>
      </c>
      <c r="V172" s="412"/>
      <c r="X172" s="413">
        <f t="shared" si="14"/>
        <v>4513.5</v>
      </c>
    </row>
    <row r="173" spans="1:24" ht="14.1" customHeight="1">
      <c r="A173" s="70">
        <f t="shared" si="15"/>
        <v>173</v>
      </c>
      <c r="B173" s="354" t="s">
        <v>44</v>
      </c>
      <c r="C173" s="354" t="s">
        <v>292</v>
      </c>
      <c r="D173" s="354" t="s">
        <v>165</v>
      </c>
      <c r="E173" s="404" t="s">
        <v>234</v>
      </c>
      <c r="F173" s="405" t="s">
        <v>273</v>
      </c>
      <c r="G173" s="406" t="s">
        <v>348</v>
      </c>
      <c r="H173" s="354" t="s">
        <v>172</v>
      </c>
      <c r="I173" s="399" t="s">
        <v>124</v>
      </c>
      <c r="J173" s="399" t="s">
        <v>173</v>
      </c>
      <c r="K173" s="407">
        <v>38.299999999999997</v>
      </c>
      <c r="L173" s="408">
        <f t="shared" si="17"/>
        <v>0</v>
      </c>
      <c r="M173" s="409" t="s">
        <v>242</v>
      </c>
      <c r="N173" s="409"/>
      <c r="O173" s="409"/>
      <c r="P173" s="410">
        <f>IF(M173="nio",0,IF(M173&gt;0,M173*K173/S173,0))*VLOOKUP(B173,'2-Kosten per locatie'!$A$14:$C$61,3,FALSE)</f>
        <v>0</v>
      </c>
      <c r="Q173" s="410">
        <f>IF(N173&gt;0,N173*K173/T173,0)*VLOOKUP(B173,'2-Kosten per locatie'!$A$14:$C$61,3,FALSE)</f>
        <v>0</v>
      </c>
      <c r="R173" s="410">
        <f>IF(O173&gt;0,O173*K173/U173,0)*VLOOKUP(B173,'2-Kosten per locatie'!$A$14:$C$61,3,FALSE)</f>
        <v>0</v>
      </c>
      <c r="S173" s="411">
        <f>IF(M173="nio",0,IF(M173&gt;0,VLOOKUP(I173,'3-Productie normen'!A:P,VLOOKUP(M173,'3-Productie normen'!$B$38:$C$48,2,FALSE),FALSE)))</f>
        <v>0</v>
      </c>
      <c r="T173" s="411">
        <f t="shared" si="13"/>
        <v>0</v>
      </c>
      <c r="U173" s="411">
        <f t="shared" si="16"/>
        <v>0</v>
      </c>
      <c r="V173" s="412"/>
      <c r="X173" s="413">
        <f t="shared" si="14"/>
        <v>0</v>
      </c>
    </row>
    <row r="174" spans="1:24" ht="14.1" customHeight="1">
      <c r="A174" s="70">
        <f t="shared" si="15"/>
        <v>174</v>
      </c>
      <c r="B174" s="354" t="s">
        <v>44</v>
      </c>
      <c r="C174" s="354" t="s">
        <v>292</v>
      </c>
      <c r="D174" s="354" t="s">
        <v>165</v>
      </c>
      <c r="E174" s="404" t="s">
        <v>234</v>
      </c>
      <c r="F174" s="405" t="s">
        <v>273</v>
      </c>
      <c r="G174" s="406" t="s">
        <v>349</v>
      </c>
      <c r="H174" s="354" t="s">
        <v>172</v>
      </c>
      <c r="I174" s="399" t="s">
        <v>124</v>
      </c>
      <c r="J174" s="399" t="s">
        <v>171</v>
      </c>
      <c r="K174" s="407">
        <v>25.5</v>
      </c>
      <c r="L174" s="408">
        <f t="shared" si="17"/>
        <v>0</v>
      </c>
      <c r="M174" s="409" t="s">
        <v>242</v>
      </c>
      <c r="N174" s="409"/>
      <c r="O174" s="409"/>
      <c r="P174" s="410">
        <f>IF(M174="nio",0,IF(M174&gt;0,M174*K174/S174,0))*VLOOKUP(B174,'2-Kosten per locatie'!$A$14:$C$61,3,FALSE)</f>
        <v>0</v>
      </c>
      <c r="Q174" s="410">
        <f>IF(N174&gt;0,N174*K174/T174,0)*VLOOKUP(B174,'2-Kosten per locatie'!$A$14:$C$61,3,FALSE)</f>
        <v>0</v>
      </c>
      <c r="R174" s="410">
        <f>IF(O174&gt;0,O174*K174/U174,0)*VLOOKUP(B174,'2-Kosten per locatie'!$A$14:$C$61,3,FALSE)</f>
        <v>0</v>
      </c>
      <c r="S174" s="411">
        <f>IF(M174="nio",0,IF(M174&gt;0,VLOOKUP(I174,'3-Productie normen'!A:P,VLOOKUP(M174,'3-Productie normen'!$B$38:$C$48,2,FALSE),FALSE)))</f>
        <v>0</v>
      </c>
      <c r="T174" s="411">
        <f t="shared" si="13"/>
        <v>0</v>
      </c>
      <c r="U174" s="411">
        <f t="shared" si="16"/>
        <v>0</v>
      </c>
      <c r="V174" s="412"/>
      <c r="X174" s="413">
        <f t="shared" si="14"/>
        <v>0</v>
      </c>
    </row>
    <row r="175" spans="1:24" ht="14.1" customHeight="1">
      <c r="A175" s="70">
        <f t="shared" si="15"/>
        <v>175</v>
      </c>
      <c r="B175" s="354" t="s">
        <v>44</v>
      </c>
      <c r="C175" s="354" t="s">
        <v>292</v>
      </c>
      <c r="D175" s="354" t="s">
        <v>165</v>
      </c>
      <c r="E175" s="404" t="s">
        <v>234</v>
      </c>
      <c r="F175" s="405" t="s">
        <v>273</v>
      </c>
      <c r="G175" s="406" t="s">
        <v>350</v>
      </c>
      <c r="H175" s="354" t="s">
        <v>241</v>
      </c>
      <c r="I175" s="383" t="s">
        <v>113</v>
      </c>
      <c r="J175" s="399" t="s">
        <v>171</v>
      </c>
      <c r="K175" s="407"/>
      <c r="L175" s="408">
        <f t="shared" si="17"/>
        <v>4</v>
      </c>
      <c r="M175" s="409">
        <v>4</v>
      </c>
      <c r="N175" s="409"/>
      <c r="O175" s="409"/>
      <c r="P175" s="410" t="e">
        <f>IF(M175="nio",0,IF(M175&gt;0,M175*K175/S175,0))*VLOOKUP(B175,'2-Kosten per locatie'!$A$14:$C$61,3,FALSE)</f>
        <v>#DIV/0!</v>
      </c>
      <c r="Q175" s="410">
        <f>IF(N175&gt;0,N175*K175/T175,0)*VLOOKUP(B175,'2-Kosten per locatie'!$A$14:$C$61,3,FALSE)</f>
        <v>0</v>
      </c>
      <c r="R175" s="410">
        <f>IF(O175&gt;0,O175*K175/U175,0)*VLOOKUP(B175,'2-Kosten per locatie'!$A$14:$C$61,3,FALSE)</f>
        <v>0</v>
      </c>
      <c r="S175" s="411">
        <f>IF(M175="nio",0,IF(M175&gt;0,VLOOKUP(I175,'3-Productie normen'!A:P,VLOOKUP(M175,'3-Productie normen'!$B$38:$C$48,2,FALSE),FALSE)))</f>
        <v>0</v>
      </c>
      <c r="T175" s="411">
        <f t="shared" si="13"/>
        <v>0</v>
      </c>
      <c r="U175" s="411">
        <f t="shared" si="16"/>
        <v>0</v>
      </c>
      <c r="V175" s="412"/>
      <c r="X175" s="413">
        <f t="shared" si="14"/>
        <v>0</v>
      </c>
    </row>
    <row r="176" spans="1:24" ht="14.1" customHeight="1">
      <c r="A176" s="70">
        <f t="shared" si="15"/>
        <v>176</v>
      </c>
      <c r="B176" s="354" t="s">
        <v>44</v>
      </c>
      <c r="C176" s="354" t="s">
        <v>292</v>
      </c>
      <c r="D176" s="354" t="s">
        <v>165</v>
      </c>
      <c r="E176" s="404" t="s">
        <v>234</v>
      </c>
      <c r="F176" s="405" t="s">
        <v>273</v>
      </c>
      <c r="G176" s="406" t="s">
        <v>351</v>
      </c>
      <c r="H176" s="399" t="s">
        <v>172</v>
      </c>
      <c r="I176" s="399" t="s">
        <v>124</v>
      </c>
      <c r="J176" s="399" t="s">
        <v>171</v>
      </c>
      <c r="K176" s="407">
        <v>55.9</v>
      </c>
      <c r="L176" s="408">
        <f t="shared" si="17"/>
        <v>0</v>
      </c>
      <c r="M176" s="409" t="s">
        <v>242</v>
      </c>
      <c r="N176" s="409"/>
      <c r="O176" s="409"/>
      <c r="P176" s="410">
        <f>IF(M176="nio",0,IF(M176&gt;0,M176*K176/S176,0))*VLOOKUP(B176,'2-Kosten per locatie'!$A$14:$C$61,3,FALSE)</f>
        <v>0</v>
      </c>
      <c r="Q176" s="410">
        <f>IF(N176&gt;0,N176*K176/T176,0)*VLOOKUP(B176,'2-Kosten per locatie'!$A$14:$C$61,3,FALSE)</f>
        <v>0</v>
      </c>
      <c r="R176" s="410">
        <f>IF(O176&gt;0,O176*K176/U176,0)*VLOOKUP(B176,'2-Kosten per locatie'!$A$14:$C$61,3,FALSE)</f>
        <v>0</v>
      </c>
      <c r="S176" s="411">
        <f>IF(M176="nio",0,IF(M176&gt;0,VLOOKUP(I176,'3-Productie normen'!A:P,VLOOKUP(M176,'3-Productie normen'!$B$38:$C$48,2,FALSE),FALSE)))</f>
        <v>0</v>
      </c>
      <c r="T176" s="411">
        <f t="shared" si="13"/>
        <v>0</v>
      </c>
      <c r="U176" s="411">
        <f t="shared" si="16"/>
        <v>0</v>
      </c>
      <c r="V176" s="412"/>
      <c r="X176" s="413">
        <f t="shared" si="14"/>
        <v>0</v>
      </c>
    </row>
    <row r="177" spans="1:24" ht="14.1" customHeight="1">
      <c r="A177" s="70">
        <f t="shared" si="15"/>
        <v>177</v>
      </c>
      <c r="B177" s="354" t="s">
        <v>44</v>
      </c>
      <c r="C177" s="354" t="s">
        <v>292</v>
      </c>
      <c r="D177" s="354" t="s">
        <v>165</v>
      </c>
      <c r="E177" s="404" t="s">
        <v>234</v>
      </c>
      <c r="F177" s="405" t="s">
        <v>273</v>
      </c>
      <c r="G177" s="406" t="s">
        <v>352</v>
      </c>
      <c r="H177" s="399" t="s">
        <v>172</v>
      </c>
      <c r="I177" s="399" t="s">
        <v>124</v>
      </c>
      <c r="J177" s="399" t="s">
        <v>171</v>
      </c>
      <c r="K177" s="407">
        <v>22</v>
      </c>
      <c r="L177" s="408">
        <f t="shared" si="17"/>
        <v>0</v>
      </c>
      <c r="M177" s="409" t="s">
        <v>242</v>
      </c>
      <c r="N177" s="409"/>
      <c r="O177" s="409"/>
      <c r="P177" s="410">
        <f>IF(M177="nio",0,IF(M177&gt;0,M177*K177/S177,0))*VLOOKUP(B177,'2-Kosten per locatie'!$A$14:$C$61,3,FALSE)</f>
        <v>0</v>
      </c>
      <c r="Q177" s="410">
        <f>IF(N177&gt;0,N177*K177/T177,0)*VLOOKUP(B177,'2-Kosten per locatie'!$A$14:$C$61,3,FALSE)</f>
        <v>0</v>
      </c>
      <c r="R177" s="410">
        <f>IF(O177&gt;0,O177*K177/U177,0)*VLOOKUP(B177,'2-Kosten per locatie'!$A$14:$C$61,3,FALSE)</f>
        <v>0</v>
      </c>
      <c r="S177" s="411">
        <f>IF(M177="nio",0,IF(M177&gt;0,VLOOKUP(I177,'3-Productie normen'!A:P,VLOOKUP(M177,'3-Productie normen'!$B$38:$C$48,2,FALSE),FALSE)))</f>
        <v>0</v>
      </c>
      <c r="T177" s="411">
        <f t="shared" si="13"/>
        <v>0</v>
      </c>
      <c r="U177" s="411">
        <f t="shared" si="16"/>
        <v>0</v>
      </c>
      <c r="V177" s="412"/>
      <c r="X177" s="413">
        <f t="shared" si="14"/>
        <v>0</v>
      </c>
    </row>
    <row r="178" spans="1:24" ht="14.1" customHeight="1">
      <c r="A178" s="70">
        <f t="shared" si="15"/>
        <v>178</v>
      </c>
      <c r="B178" s="354" t="s">
        <v>44</v>
      </c>
      <c r="C178" s="354" t="s">
        <v>292</v>
      </c>
      <c r="D178" s="354" t="s">
        <v>165</v>
      </c>
      <c r="E178" s="404" t="s">
        <v>234</v>
      </c>
      <c r="F178" s="405" t="s">
        <v>273</v>
      </c>
      <c r="G178" s="406" t="s">
        <v>353</v>
      </c>
      <c r="H178" s="399" t="s">
        <v>172</v>
      </c>
      <c r="I178" s="399" t="s">
        <v>124</v>
      </c>
      <c r="J178" s="399" t="s">
        <v>173</v>
      </c>
      <c r="K178" s="407">
        <v>28.7</v>
      </c>
      <c r="L178" s="408">
        <f t="shared" si="17"/>
        <v>0</v>
      </c>
      <c r="M178" s="409" t="s">
        <v>242</v>
      </c>
      <c r="N178" s="409"/>
      <c r="O178" s="409"/>
      <c r="P178" s="410">
        <f>IF(M178="nio",0,IF(M178&gt;0,M178*K178/S178,0))*VLOOKUP(B178,'2-Kosten per locatie'!$A$14:$C$61,3,FALSE)</f>
        <v>0</v>
      </c>
      <c r="Q178" s="410">
        <f>IF(N178&gt;0,N178*K178/T178,0)*VLOOKUP(B178,'2-Kosten per locatie'!$A$14:$C$61,3,FALSE)</f>
        <v>0</v>
      </c>
      <c r="R178" s="410">
        <f>IF(O178&gt;0,O178*K178/U178,0)*VLOOKUP(B178,'2-Kosten per locatie'!$A$14:$C$61,3,FALSE)</f>
        <v>0</v>
      </c>
      <c r="S178" s="411">
        <f>IF(M178="nio",0,IF(M178&gt;0,VLOOKUP(I178,'3-Productie normen'!A:P,VLOOKUP(M178,'3-Productie normen'!$B$38:$C$48,2,FALSE),FALSE)))</f>
        <v>0</v>
      </c>
      <c r="T178" s="411">
        <f t="shared" si="13"/>
        <v>0</v>
      </c>
      <c r="U178" s="411">
        <f t="shared" si="16"/>
        <v>0</v>
      </c>
      <c r="V178" s="412"/>
      <c r="X178" s="413">
        <f t="shared" si="14"/>
        <v>0</v>
      </c>
    </row>
    <row r="179" spans="1:24" ht="14.1" customHeight="1">
      <c r="A179" s="70">
        <f t="shared" si="15"/>
        <v>179</v>
      </c>
      <c r="B179" s="354" t="s">
        <v>44</v>
      </c>
      <c r="C179" s="354" t="s">
        <v>292</v>
      </c>
      <c r="D179" s="354" t="s">
        <v>165</v>
      </c>
      <c r="E179" s="404" t="s">
        <v>234</v>
      </c>
      <c r="F179" s="405" t="s">
        <v>273</v>
      </c>
      <c r="G179" s="406" t="s">
        <v>354</v>
      </c>
      <c r="H179" s="399" t="s">
        <v>172</v>
      </c>
      <c r="I179" s="399" t="s">
        <v>105</v>
      </c>
      <c r="J179" s="399" t="s">
        <v>171</v>
      </c>
      <c r="K179" s="407">
        <v>0</v>
      </c>
      <c r="L179" s="408">
        <f t="shared" si="17"/>
        <v>255</v>
      </c>
      <c r="M179" s="409">
        <v>255</v>
      </c>
      <c r="N179" s="409"/>
      <c r="O179" s="409"/>
      <c r="P179" s="410" t="e">
        <f>IF(M179="nio",0,IF(M179&gt;0,M179*K179/S179,0))*VLOOKUP(B179,'2-Kosten per locatie'!$A$14:$C$61,3,FALSE)</f>
        <v>#DIV/0!</v>
      </c>
      <c r="Q179" s="410">
        <f>IF(N179&gt;0,N179*K179/T179,0)*VLOOKUP(B179,'2-Kosten per locatie'!$A$14:$C$61,3,FALSE)</f>
        <v>0</v>
      </c>
      <c r="R179" s="410">
        <f>IF(O179&gt;0,O179*K179/U179,0)*VLOOKUP(B179,'2-Kosten per locatie'!$A$14:$C$61,3,FALSE)</f>
        <v>0</v>
      </c>
      <c r="S179" s="411">
        <f>IF(M179="nio",0,IF(M179&gt;0,VLOOKUP(I179,'3-Productie normen'!A:P,VLOOKUP(M179,'3-Productie normen'!$B$38:$C$48,2,FALSE),FALSE)))</f>
        <v>0</v>
      </c>
      <c r="T179" s="411">
        <f t="shared" si="13"/>
        <v>0</v>
      </c>
      <c r="U179" s="411">
        <f t="shared" si="16"/>
        <v>0</v>
      </c>
      <c r="V179" s="412"/>
      <c r="X179" s="413">
        <f t="shared" si="14"/>
        <v>0</v>
      </c>
    </row>
    <row r="180" spans="1:24" ht="14.1" customHeight="1">
      <c r="A180" s="70">
        <f t="shared" si="15"/>
        <v>180</v>
      </c>
      <c r="B180" s="354" t="s">
        <v>44</v>
      </c>
      <c r="C180" s="354" t="s">
        <v>292</v>
      </c>
      <c r="D180" s="354" t="s">
        <v>165</v>
      </c>
      <c r="E180" s="404" t="s">
        <v>234</v>
      </c>
      <c r="F180" s="405" t="s">
        <v>355</v>
      </c>
      <c r="G180" s="406" t="s">
        <v>356</v>
      </c>
      <c r="H180" s="341" t="s">
        <v>220</v>
      </c>
      <c r="I180" s="399" t="s">
        <v>124</v>
      </c>
      <c r="J180" s="399" t="s">
        <v>171</v>
      </c>
      <c r="K180" s="407">
        <v>0</v>
      </c>
      <c r="L180" s="408">
        <f t="shared" si="17"/>
        <v>0</v>
      </c>
      <c r="M180" s="409" t="s">
        <v>242</v>
      </c>
      <c r="N180" s="409"/>
      <c r="O180" s="409"/>
      <c r="P180" s="410">
        <f>IF(M180="nio",0,IF(M180&gt;0,M180*K180/S180,0))*VLOOKUP(B180,'2-Kosten per locatie'!$A$14:$C$61,3,FALSE)</f>
        <v>0</v>
      </c>
      <c r="Q180" s="410">
        <f>IF(N180&gt;0,N180*K180/T180,0)*VLOOKUP(B180,'2-Kosten per locatie'!$A$14:$C$61,3,FALSE)</f>
        <v>0</v>
      </c>
      <c r="R180" s="410">
        <f>IF(O180&gt;0,O180*K180/U180,0)*VLOOKUP(B180,'2-Kosten per locatie'!$A$14:$C$61,3,FALSE)</f>
        <v>0</v>
      </c>
      <c r="S180" s="411">
        <f>IF(M180="nio",0,IF(M180&gt;0,VLOOKUP(I180,'3-Productie normen'!A:P,VLOOKUP(M180,'3-Productie normen'!$B$38:$C$48,2,FALSE),FALSE)))</f>
        <v>0</v>
      </c>
      <c r="T180" s="411">
        <f t="shared" si="13"/>
        <v>0</v>
      </c>
      <c r="U180" s="411">
        <f t="shared" si="16"/>
        <v>0</v>
      </c>
      <c r="V180" s="412"/>
      <c r="X180" s="413">
        <f t="shared" si="14"/>
        <v>0</v>
      </c>
    </row>
    <row r="181" spans="1:24" ht="14.1" customHeight="1">
      <c r="A181" s="70">
        <f t="shared" si="15"/>
        <v>181</v>
      </c>
      <c r="B181" s="354" t="s">
        <v>44</v>
      </c>
      <c r="C181" s="354" t="s">
        <v>292</v>
      </c>
      <c r="D181" s="354" t="s">
        <v>165</v>
      </c>
      <c r="E181" s="404" t="s">
        <v>234</v>
      </c>
      <c r="F181" s="405" t="s">
        <v>355</v>
      </c>
      <c r="G181" s="406" t="s">
        <v>357</v>
      </c>
      <c r="H181" s="399" t="s">
        <v>358</v>
      </c>
      <c r="I181" s="399" t="s">
        <v>116</v>
      </c>
      <c r="J181" s="228" t="s">
        <v>359</v>
      </c>
      <c r="K181" s="407">
        <v>10.199999999999999</v>
      </c>
      <c r="L181" s="408">
        <f t="shared" si="17"/>
        <v>4</v>
      </c>
      <c r="M181" s="409">
        <v>4</v>
      </c>
      <c r="N181" s="409"/>
      <c r="O181" s="409"/>
      <c r="P181" s="410" t="e">
        <f>IF(M181="nio",0,IF(M181&gt;0,M181*K181/S181,0))*VLOOKUP(B181,'2-Kosten per locatie'!$A$14:$C$61,3,FALSE)</f>
        <v>#DIV/0!</v>
      </c>
      <c r="Q181" s="410">
        <f>IF(N181&gt;0,N181*K181/T181,0)*VLOOKUP(B181,'2-Kosten per locatie'!$A$14:$C$61,3,FALSE)</f>
        <v>0</v>
      </c>
      <c r="R181" s="410">
        <f>IF(O181&gt;0,O181*K181/U181,0)*VLOOKUP(B181,'2-Kosten per locatie'!$A$14:$C$61,3,FALSE)</f>
        <v>0</v>
      </c>
      <c r="S181" s="411">
        <f>IF(M181="nio",0,IF(M181&gt;0,VLOOKUP(I181,'3-Productie normen'!A:P,VLOOKUP(M181,'3-Productie normen'!$B$38:$C$48,2,FALSE),FALSE)))</f>
        <v>0</v>
      </c>
      <c r="T181" s="411">
        <f t="shared" si="13"/>
        <v>0</v>
      </c>
      <c r="U181" s="411">
        <f t="shared" si="16"/>
        <v>0</v>
      </c>
      <c r="V181" s="412"/>
      <c r="X181" s="413">
        <f t="shared" si="14"/>
        <v>40.799999999999997</v>
      </c>
    </row>
    <row r="182" spans="1:24" ht="14.1" customHeight="1">
      <c r="A182" s="70">
        <f t="shared" si="15"/>
        <v>182</v>
      </c>
      <c r="B182" s="354" t="s">
        <v>44</v>
      </c>
      <c r="C182" s="354" t="s">
        <v>292</v>
      </c>
      <c r="D182" s="354" t="s">
        <v>165</v>
      </c>
      <c r="E182" s="404" t="s">
        <v>234</v>
      </c>
      <c r="F182" s="81" t="s">
        <v>355</v>
      </c>
      <c r="G182" s="207" t="s">
        <v>360</v>
      </c>
      <c r="H182" s="80" t="s">
        <v>358</v>
      </c>
      <c r="I182" s="80" t="s">
        <v>116</v>
      </c>
      <c r="J182" s="399" t="s">
        <v>173</v>
      </c>
      <c r="K182" s="407">
        <v>5.4</v>
      </c>
      <c r="L182" s="408">
        <f t="shared" si="17"/>
        <v>52</v>
      </c>
      <c r="M182" s="409">
        <v>52</v>
      </c>
      <c r="N182" s="409"/>
      <c r="O182" s="409"/>
      <c r="P182" s="410" t="e">
        <f>IF(M182="nio",0,IF(M182&gt;0,M182*K182/S182,0))*VLOOKUP(B182,'2-Kosten per locatie'!$A$14:$C$61,3,FALSE)</f>
        <v>#DIV/0!</v>
      </c>
      <c r="Q182" s="410">
        <f>IF(N182&gt;0,N182*K182/T182,0)*VLOOKUP(B182,'2-Kosten per locatie'!$A$14:$C$61,3,FALSE)</f>
        <v>0</v>
      </c>
      <c r="R182" s="410">
        <f>IF(O182&gt;0,O182*K182/U182,0)*VLOOKUP(B182,'2-Kosten per locatie'!$A$14:$C$61,3,FALSE)</f>
        <v>0</v>
      </c>
      <c r="S182" s="411">
        <f>IF(M182="nio",0,IF(M182&gt;0,VLOOKUP(I182,'3-Productie normen'!A:P,VLOOKUP(M182,'3-Productie normen'!$B$38:$C$48,2,FALSE),FALSE)))</f>
        <v>0</v>
      </c>
      <c r="T182" s="411">
        <f t="shared" si="13"/>
        <v>0</v>
      </c>
      <c r="U182" s="411">
        <f t="shared" si="16"/>
        <v>0</v>
      </c>
      <c r="V182" s="412"/>
      <c r="X182" s="413">
        <f t="shared" si="14"/>
        <v>280.8</v>
      </c>
    </row>
    <row r="183" spans="1:24" ht="14.1" customHeight="1">
      <c r="A183" s="70">
        <f t="shared" si="15"/>
        <v>183</v>
      </c>
      <c r="B183" s="354" t="s">
        <v>44</v>
      </c>
      <c r="C183" s="354" t="s">
        <v>292</v>
      </c>
      <c r="D183" s="354" t="s">
        <v>165</v>
      </c>
      <c r="E183" s="404" t="s">
        <v>234</v>
      </c>
      <c r="F183" s="405" t="s">
        <v>355</v>
      </c>
      <c r="G183" s="406" t="s">
        <v>361</v>
      </c>
      <c r="H183" s="399" t="s">
        <v>362</v>
      </c>
      <c r="I183" s="399" t="s">
        <v>124</v>
      </c>
      <c r="J183" s="399" t="s">
        <v>171</v>
      </c>
      <c r="K183" s="407">
        <v>7.8</v>
      </c>
      <c r="L183" s="408">
        <f t="shared" si="17"/>
        <v>0</v>
      </c>
      <c r="M183" s="409" t="s">
        <v>242</v>
      </c>
      <c r="N183" s="409"/>
      <c r="O183" s="409"/>
      <c r="P183" s="410">
        <f>IF(M183="nio",0,IF(M183&gt;0,M183*K183/S183,0))*VLOOKUP(B183,'2-Kosten per locatie'!$A$14:$C$61,3,FALSE)</f>
        <v>0</v>
      </c>
      <c r="Q183" s="410">
        <f>IF(N183&gt;0,N183*K183/T183,0)*VLOOKUP(B183,'2-Kosten per locatie'!$A$14:$C$61,3,FALSE)</f>
        <v>0</v>
      </c>
      <c r="R183" s="410">
        <f>IF(O183&gt;0,O183*K183/U183,0)*VLOOKUP(B183,'2-Kosten per locatie'!$A$14:$C$61,3,FALSE)</f>
        <v>0</v>
      </c>
      <c r="S183" s="411">
        <f>IF(M183="nio",0,IF(M183&gt;0,VLOOKUP(I183,'3-Productie normen'!A:P,VLOOKUP(M183,'3-Productie normen'!$B$38:$C$48,2,FALSE),FALSE)))</f>
        <v>0</v>
      </c>
      <c r="T183" s="411">
        <f t="shared" si="13"/>
        <v>0</v>
      </c>
      <c r="U183" s="411">
        <f t="shared" si="16"/>
        <v>0</v>
      </c>
      <c r="V183" s="412"/>
      <c r="X183" s="413">
        <f t="shared" si="14"/>
        <v>0</v>
      </c>
    </row>
    <row r="184" spans="1:24" ht="14.1" customHeight="1">
      <c r="A184" s="70">
        <f t="shared" si="15"/>
        <v>184</v>
      </c>
      <c r="B184" s="354" t="s">
        <v>44</v>
      </c>
      <c r="C184" s="354" t="s">
        <v>292</v>
      </c>
      <c r="D184" s="354" t="s">
        <v>165</v>
      </c>
      <c r="E184" s="404" t="s">
        <v>234</v>
      </c>
      <c r="F184" s="405" t="s">
        <v>355</v>
      </c>
      <c r="G184" s="406" t="s">
        <v>363</v>
      </c>
      <c r="H184" s="399" t="s">
        <v>305</v>
      </c>
      <c r="I184" s="399" t="s">
        <v>116</v>
      </c>
      <c r="J184" s="399" t="s">
        <v>364</v>
      </c>
      <c r="K184" s="407">
        <v>5.5</v>
      </c>
      <c r="L184" s="408">
        <f t="shared" si="17"/>
        <v>156</v>
      </c>
      <c r="M184" s="409">
        <v>156</v>
      </c>
      <c r="N184" s="409"/>
      <c r="O184" s="409"/>
      <c r="P184" s="410" t="e">
        <f>IF(M184="nio",0,IF(M184&gt;0,M184*K184/S184,0))*VLOOKUP(B184,'2-Kosten per locatie'!$A$14:$C$61,3,FALSE)</f>
        <v>#DIV/0!</v>
      </c>
      <c r="Q184" s="410">
        <f>IF(N184&gt;0,N184*K184/T184,0)*VLOOKUP(B184,'2-Kosten per locatie'!$A$14:$C$61,3,FALSE)</f>
        <v>0</v>
      </c>
      <c r="R184" s="410">
        <f>IF(O184&gt;0,O184*K184/U184,0)*VLOOKUP(B184,'2-Kosten per locatie'!$A$14:$C$61,3,FALSE)</f>
        <v>0</v>
      </c>
      <c r="S184" s="411">
        <f>IF(M184="nio",0,IF(M184&gt;0,VLOOKUP(I184,'3-Productie normen'!A:P,VLOOKUP(M184,'3-Productie normen'!$B$38:$C$48,2,FALSE),FALSE)))</f>
        <v>0</v>
      </c>
      <c r="T184" s="411">
        <f t="shared" si="13"/>
        <v>0</v>
      </c>
      <c r="U184" s="411">
        <f t="shared" si="16"/>
        <v>0</v>
      </c>
      <c r="V184" s="412"/>
      <c r="X184" s="413">
        <f t="shared" si="14"/>
        <v>858</v>
      </c>
    </row>
    <row r="185" spans="1:24" ht="14.1" customHeight="1">
      <c r="A185" s="70">
        <f t="shared" si="15"/>
        <v>185</v>
      </c>
      <c r="B185" s="354" t="s">
        <v>44</v>
      </c>
      <c r="C185" s="354" t="s">
        <v>292</v>
      </c>
      <c r="D185" s="354" t="s">
        <v>165</v>
      </c>
      <c r="E185" s="404" t="s">
        <v>234</v>
      </c>
      <c r="F185" s="405" t="s">
        <v>355</v>
      </c>
      <c r="G185" s="406" t="s">
        <v>365</v>
      </c>
      <c r="H185" s="399" t="s">
        <v>220</v>
      </c>
      <c r="I185" s="399" t="s">
        <v>108</v>
      </c>
      <c r="J185" s="399" t="s">
        <v>171</v>
      </c>
      <c r="K185" s="407">
        <v>115.3</v>
      </c>
      <c r="L185" s="408">
        <f t="shared" si="17"/>
        <v>156</v>
      </c>
      <c r="M185" s="409">
        <v>156</v>
      </c>
      <c r="N185" s="409"/>
      <c r="O185" s="409"/>
      <c r="P185" s="410" t="e">
        <f>IF(M185="nio",0,IF(M185&gt;0,M185*K185/S185,0))*VLOOKUP(B185,'2-Kosten per locatie'!$A$14:$C$61,3,FALSE)</f>
        <v>#DIV/0!</v>
      </c>
      <c r="Q185" s="410">
        <f>IF(N185&gt;0,N185*K185/T185,0)*VLOOKUP(B185,'2-Kosten per locatie'!$A$14:$C$61,3,FALSE)</f>
        <v>0</v>
      </c>
      <c r="R185" s="410">
        <f>IF(O185&gt;0,O185*K185/U185,0)*VLOOKUP(B185,'2-Kosten per locatie'!$A$14:$C$61,3,FALSE)</f>
        <v>0</v>
      </c>
      <c r="S185" s="411">
        <f>IF(M185="nio",0,IF(M185&gt;0,VLOOKUP(I185,'3-Productie normen'!A:P,VLOOKUP(M185,'3-Productie normen'!$B$38:$C$48,2,FALSE),FALSE)))</f>
        <v>0</v>
      </c>
      <c r="T185" s="411">
        <f t="shared" si="13"/>
        <v>0</v>
      </c>
      <c r="U185" s="411">
        <f t="shared" si="16"/>
        <v>0</v>
      </c>
      <c r="V185" s="412"/>
      <c r="X185" s="413">
        <f t="shared" si="14"/>
        <v>17986.8</v>
      </c>
    </row>
    <row r="186" spans="1:24" ht="14.1" customHeight="1">
      <c r="A186" s="70">
        <f t="shared" si="15"/>
        <v>186</v>
      </c>
      <c r="B186" s="354" t="s">
        <v>44</v>
      </c>
      <c r="C186" s="354" t="s">
        <v>292</v>
      </c>
      <c r="D186" s="354" t="s">
        <v>165</v>
      </c>
      <c r="E186" s="404" t="s">
        <v>234</v>
      </c>
      <c r="F186" s="405" t="s">
        <v>355</v>
      </c>
      <c r="G186" s="406" t="s">
        <v>366</v>
      </c>
      <c r="H186" s="399" t="s">
        <v>220</v>
      </c>
      <c r="I186" s="399" t="s">
        <v>108</v>
      </c>
      <c r="J186" s="399" t="s">
        <v>171</v>
      </c>
      <c r="K186" s="407">
        <v>280.7</v>
      </c>
      <c r="L186" s="408">
        <f t="shared" si="17"/>
        <v>156</v>
      </c>
      <c r="M186" s="409">
        <v>156</v>
      </c>
      <c r="N186" s="409"/>
      <c r="O186" s="409"/>
      <c r="P186" s="410" t="e">
        <f>IF(M186="nio",0,IF(M186&gt;0,M186*K186/S186,0))*VLOOKUP(B186,'2-Kosten per locatie'!$A$14:$C$61,3,FALSE)</f>
        <v>#DIV/0!</v>
      </c>
      <c r="Q186" s="410">
        <f>IF(N186&gt;0,N186*K186/T186,0)*VLOOKUP(B186,'2-Kosten per locatie'!$A$14:$C$61,3,FALSE)</f>
        <v>0</v>
      </c>
      <c r="R186" s="410">
        <f>IF(O186&gt;0,O186*K186/U186,0)*VLOOKUP(B186,'2-Kosten per locatie'!$A$14:$C$61,3,FALSE)</f>
        <v>0</v>
      </c>
      <c r="S186" s="411">
        <f>IF(M186="nio",0,IF(M186&gt;0,VLOOKUP(I186,'3-Productie normen'!A:P,VLOOKUP(M186,'3-Productie normen'!$B$38:$C$48,2,FALSE),FALSE)))</f>
        <v>0</v>
      </c>
      <c r="T186" s="411">
        <f t="shared" si="13"/>
        <v>0</v>
      </c>
      <c r="U186" s="411">
        <f t="shared" si="16"/>
        <v>0</v>
      </c>
      <c r="V186" s="412"/>
      <c r="X186" s="413">
        <f t="shared" si="14"/>
        <v>43789.2</v>
      </c>
    </row>
    <row r="187" spans="1:24" ht="14.1" customHeight="1">
      <c r="A187" s="70">
        <f t="shared" si="15"/>
        <v>187</v>
      </c>
      <c r="B187" s="354" t="s">
        <v>44</v>
      </c>
      <c r="C187" s="354" t="s">
        <v>292</v>
      </c>
      <c r="D187" s="354" t="s">
        <v>165</v>
      </c>
      <c r="E187" s="404" t="s">
        <v>234</v>
      </c>
      <c r="F187" s="405" t="s">
        <v>273</v>
      </c>
      <c r="G187" s="406" t="s">
        <v>367</v>
      </c>
      <c r="H187" s="399" t="s">
        <v>368</v>
      </c>
      <c r="I187" s="399" t="s">
        <v>121</v>
      </c>
      <c r="J187" s="399" t="s">
        <v>171</v>
      </c>
      <c r="K187" s="407">
        <v>5.2</v>
      </c>
      <c r="L187" s="408">
        <f t="shared" si="17"/>
        <v>255</v>
      </c>
      <c r="M187" s="409">
        <v>255</v>
      </c>
      <c r="N187" s="409"/>
      <c r="O187" s="409"/>
      <c r="P187" s="410" t="e">
        <f>IF(M187="nio",0,IF(M187&gt;0,M187*K187/S187,0))*VLOOKUP(B187,'2-Kosten per locatie'!$A$14:$C$61,3,FALSE)</f>
        <v>#DIV/0!</v>
      </c>
      <c r="Q187" s="410">
        <f>IF(N187&gt;0,N187*K187/T187,0)*VLOOKUP(B187,'2-Kosten per locatie'!$A$14:$C$61,3,FALSE)</f>
        <v>0</v>
      </c>
      <c r="R187" s="410">
        <f>IF(O187&gt;0,O187*K187/U187,0)*VLOOKUP(B187,'2-Kosten per locatie'!$A$14:$C$61,3,FALSE)</f>
        <v>0</v>
      </c>
      <c r="S187" s="411">
        <f>IF(M187="nio",0,IF(M187&gt;0,VLOOKUP(I187,'3-Productie normen'!A:P,VLOOKUP(M187,'3-Productie normen'!$B$38:$C$48,2,FALSE),FALSE)))</f>
        <v>0</v>
      </c>
      <c r="T187" s="411">
        <f t="shared" si="13"/>
        <v>0</v>
      </c>
      <c r="U187" s="411">
        <f t="shared" si="16"/>
        <v>0</v>
      </c>
      <c r="V187" s="412"/>
      <c r="X187" s="413">
        <f t="shared" si="14"/>
        <v>1326</v>
      </c>
    </row>
    <row r="188" spans="1:24" ht="14.1" customHeight="1">
      <c r="A188" s="70">
        <f t="shared" si="15"/>
        <v>188</v>
      </c>
      <c r="B188" s="354" t="s">
        <v>44</v>
      </c>
      <c r="C188" s="354" t="s">
        <v>292</v>
      </c>
      <c r="D188" s="354" t="s">
        <v>165</v>
      </c>
      <c r="E188" s="404" t="s">
        <v>234</v>
      </c>
      <c r="F188" s="405" t="s">
        <v>273</v>
      </c>
      <c r="G188" s="406" t="s">
        <v>369</v>
      </c>
      <c r="H188" s="354" t="s">
        <v>368</v>
      </c>
      <c r="I188" s="354" t="s">
        <v>121</v>
      </c>
      <c r="J188" s="399" t="s">
        <v>171</v>
      </c>
      <c r="K188" s="407">
        <v>4.8</v>
      </c>
      <c r="L188" s="408">
        <f t="shared" si="17"/>
        <v>255</v>
      </c>
      <c r="M188" s="409">
        <v>255</v>
      </c>
      <c r="N188" s="409"/>
      <c r="O188" s="409"/>
      <c r="P188" s="410" t="e">
        <f>IF(M188="nio",0,IF(M188&gt;0,M188*K188/S188,0))*VLOOKUP(B188,'2-Kosten per locatie'!$A$14:$C$61,3,FALSE)</f>
        <v>#DIV/0!</v>
      </c>
      <c r="Q188" s="410">
        <f>IF(N188&gt;0,N188*K188/T188,0)*VLOOKUP(B188,'2-Kosten per locatie'!$A$14:$C$61,3,FALSE)</f>
        <v>0</v>
      </c>
      <c r="R188" s="410">
        <f>IF(O188&gt;0,O188*K188/U188,0)*VLOOKUP(B188,'2-Kosten per locatie'!$A$14:$C$61,3,FALSE)</f>
        <v>0</v>
      </c>
      <c r="S188" s="411">
        <f>IF(M188="nio",0,IF(M188&gt;0,VLOOKUP(I188,'3-Productie normen'!A:P,VLOOKUP(M188,'3-Productie normen'!$B$38:$C$48,2,FALSE),FALSE)))</f>
        <v>0</v>
      </c>
      <c r="T188" s="411">
        <f t="shared" si="13"/>
        <v>0</v>
      </c>
      <c r="U188" s="411">
        <f t="shared" si="16"/>
        <v>0</v>
      </c>
      <c r="V188" s="412"/>
      <c r="X188" s="413">
        <f t="shared" si="14"/>
        <v>1224</v>
      </c>
    </row>
    <row r="189" spans="1:24" ht="14.1" customHeight="1">
      <c r="A189" s="70">
        <f t="shared" si="15"/>
        <v>189</v>
      </c>
      <c r="B189" s="354" t="s">
        <v>44</v>
      </c>
      <c r="C189" s="354" t="s">
        <v>292</v>
      </c>
      <c r="D189" s="354" t="s">
        <v>165</v>
      </c>
      <c r="E189" s="404" t="s">
        <v>234</v>
      </c>
      <c r="F189" s="405" t="s">
        <v>273</v>
      </c>
      <c r="G189" s="406" t="s">
        <v>370</v>
      </c>
      <c r="H189" s="354" t="s">
        <v>307</v>
      </c>
      <c r="I189" s="354" t="s">
        <v>106</v>
      </c>
      <c r="J189" s="399" t="s">
        <v>179</v>
      </c>
      <c r="K189" s="407">
        <v>5.7</v>
      </c>
      <c r="L189" s="408">
        <f t="shared" si="17"/>
        <v>255</v>
      </c>
      <c r="M189" s="409">
        <v>255</v>
      </c>
      <c r="N189" s="409"/>
      <c r="O189" s="409"/>
      <c r="P189" s="410" t="e">
        <f>IF(M189="nio",0,IF(M189&gt;0,M189*K189/S189,0))*VLOOKUP(B189,'2-Kosten per locatie'!$A$14:$C$61,3,FALSE)</f>
        <v>#DIV/0!</v>
      </c>
      <c r="Q189" s="410">
        <f>IF(N189&gt;0,N189*K189/T189,0)*VLOOKUP(B189,'2-Kosten per locatie'!$A$14:$C$61,3,FALSE)</f>
        <v>0</v>
      </c>
      <c r="R189" s="410">
        <f>IF(O189&gt;0,O189*K189/U189,0)*VLOOKUP(B189,'2-Kosten per locatie'!$A$14:$C$61,3,FALSE)</f>
        <v>0</v>
      </c>
      <c r="S189" s="411">
        <f>IF(M189="nio",0,IF(M189&gt;0,VLOOKUP(I189,'3-Productie normen'!A:P,VLOOKUP(M189,'3-Productie normen'!$B$38:$C$48,2,FALSE),FALSE)))</f>
        <v>0</v>
      </c>
      <c r="T189" s="411">
        <f t="shared" si="13"/>
        <v>0</v>
      </c>
      <c r="U189" s="411">
        <f t="shared" si="16"/>
        <v>0</v>
      </c>
      <c r="V189" s="412"/>
      <c r="X189" s="413">
        <f t="shared" si="14"/>
        <v>1453.5</v>
      </c>
    </row>
    <row r="190" spans="1:24" ht="14.1" customHeight="1">
      <c r="A190" s="70">
        <f t="shared" si="15"/>
        <v>190</v>
      </c>
      <c r="B190" s="354" t="s">
        <v>44</v>
      </c>
      <c r="C190" s="354" t="s">
        <v>292</v>
      </c>
      <c r="D190" s="354" t="s">
        <v>165</v>
      </c>
      <c r="E190" s="404" t="s">
        <v>234</v>
      </c>
      <c r="F190" s="405" t="s">
        <v>273</v>
      </c>
      <c r="G190" s="406" t="s">
        <v>371</v>
      </c>
      <c r="H190" s="354" t="s">
        <v>307</v>
      </c>
      <c r="I190" s="354" t="s">
        <v>106</v>
      </c>
      <c r="J190" s="399" t="s">
        <v>179</v>
      </c>
      <c r="K190" s="407">
        <v>5.7</v>
      </c>
      <c r="L190" s="408">
        <f t="shared" si="17"/>
        <v>255</v>
      </c>
      <c r="M190" s="409">
        <v>255</v>
      </c>
      <c r="N190" s="409"/>
      <c r="O190" s="409"/>
      <c r="P190" s="410" t="e">
        <f>IF(M190="nio",0,IF(M190&gt;0,M190*K190/S190,0))*VLOOKUP(B190,'2-Kosten per locatie'!$A$14:$C$61,3,FALSE)</f>
        <v>#DIV/0!</v>
      </c>
      <c r="Q190" s="410">
        <f>IF(N190&gt;0,N190*K190/T190,0)*VLOOKUP(B190,'2-Kosten per locatie'!$A$14:$C$61,3,FALSE)</f>
        <v>0</v>
      </c>
      <c r="R190" s="410">
        <f>IF(O190&gt;0,O190*K190/U190,0)*VLOOKUP(B190,'2-Kosten per locatie'!$A$14:$C$61,3,FALSE)</f>
        <v>0</v>
      </c>
      <c r="S190" s="411">
        <f>IF(M190="nio",0,IF(M190&gt;0,VLOOKUP(I190,'3-Productie normen'!A:P,VLOOKUP(M190,'3-Productie normen'!$B$38:$C$48,2,FALSE),FALSE)))</f>
        <v>0</v>
      </c>
      <c r="T190" s="411">
        <f t="shared" si="13"/>
        <v>0</v>
      </c>
      <c r="U190" s="411">
        <f t="shared" si="16"/>
        <v>0</v>
      </c>
      <c r="V190" s="412"/>
      <c r="X190" s="413">
        <f t="shared" si="14"/>
        <v>1453.5</v>
      </c>
    </row>
    <row r="191" spans="1:24" ht="14.1" customHeight="1">
      <c r="A191" s="70">
        <f t="shared" si="15"/>
        <v>191</v>
      </c>
      <c r="B191" s="354" t="s">
        <v>44</v>
      </c>
      <c r="C191" s="354" t="s">
        <v>292</v>
      </c>
      <c r="D191" s="354" t="s">
        <v>165</v>
      </c>
      <c r="E191" s="404" t="s">
        <v>234</v>
      </c>
      <c r="F191" s="405" t="s">
        <v>273</v>
      </c>
      <c r="G191" s="406" t="s">
        <v>372</v>
      </c>
      <c r="H191" s="399" t="s">
        <v>307</v>
      </c>
      <c r="I191" s="399" t="s">
        <v>124</v>
      </c>
      <c r="J191" s="399" t="s">
        <v>179</v>
      </c>
      <c r="K191" s="407">
        <v>1.8</v>
      </c>
      <c r="L191" s="408">
        <f t="shared" si="17"/>
        <v>0</v>
      </c>
      <c r="M191" s="409" t="s">
        <v>242</v>
      </c>
      <c r="N191" s="409"/>
      <c r="O191" s="409"/>
      <c r="P191" s="410">
        <f>IF(M191="nio",0,IF(M191&gt;0,M191*K191/S191,0))*VLOOKUP(B191,'2-Kosten per locatie'!$A$14:$C$61,3,FALSE)</f>
        <v>0</v>
      </c>
      <c r="Q191" s="410">
        <f>IF(N191&gt;0,N191*K191/T191,0)*VLOOKUP(B191,'2-Kosten per locatie'!$A$14:$C$61,3,FALSE)</f>
        <v>0</v>
      </c>
      <c r="R191" s="410">
        <f>IF(O191&gt;0,O191*K191/U191,0)*VLOOKUP(B191,'2-Kosten per locatie'!$A$14:$C$61,3,FALSE)</f>
        <v>0</v>
      </c>
      <c r="S191" s="411">
        <f>IF(M191="nio",0,IF(M191&gt;0,VLOOKUP(I191,'3-Productie normen'!A:P,VLOOKUP(M191,'3-Productie normen'!$B$38:$C$48,2,FALSE),FALSE)))</f>
        <v>0</v>
      </c>
      <c r="T191" s="411">
        <f t="shared" si="13"/>
        <v>0</v>
      </c>
      <c r="U191" s="411">
        <f t="shared" si="16"/>
        <v>0</v>
      </c>
      <c r="V191" s="412"/>
      <c r="X191" s="413">
        <f t="shared" si="14"/>
        <v>0</v>
      </c>
    </row>
    <row r="192" spans="1:24" ht="14.1" customHeight="1">
      <c r="A192" s="70">
        <f t="shared" si="15"/>
        <v>192</v>
      </c>
      <c r="B192" s="354" t="s">
        <v>44</v>
      </c>
      <c r="C192" s="354" t="s">
        <v>292</v>
      </c>
      <c r="D192" s="354" t="s">
        <v>165</v>
      </c>
      <c r="E192" s="404" t="s">
        <v>234</v>
      </c>
      <c r="F192" s="405" t="s">
        <v>273</v>
      </c>
      <c r="G192" s="406" t="s">
        <v>373</v>
      </c>
      <c r="H192" s="399" t="s">
        <v>307</v>
      </c>
      <c r="I192" s="399" t="s">
        <v>124</v>
      </c>
      <c r="J192" s="399" t="s">
        <v>179</v>
      </c>
      <c r="K192" s="407">
        <v>1.8</v>
      </c>
      <c r="L192" s="408">
        <f t="shared" si="17"/>
        <v>0</v>
      </c>
      <c r="M192" s="409" t="s">
        <v>242</v>
      </c>
      <c r="N192" s="409"/>
      <c r="O192" s="409"/>
      <c r="P192" s="410">
        <f>IF(M192="nio",0,IF(M192&gt;0,M192*K192/S192,0))*VLOOKUP(B192,'2-Kosten per locatie'!$A$14:$C$61,3,FALSE)</f>
        <v>0</v>
      </c>
      <c r="Q192" s="410">
        <f>IF(N192&gt;0,N192*K192/T192,0)*VLOOKUP(B192,'2-Kosten per locatie'!$A$14:$C$61,3,FALSE)</f>
        <v>0</v>
      </c>
      <c r="R192" s="410">
        <f>IF(O192&gt;0,O192*K192/U192,0)*VLOOKUP(B192,'2-Kosten per locatie'!$A$14:$C$61,3,FALSE)</f>
        <v>0</v>
      </c>
      <c r="S192" s="411">
        <f>IF(M192="nio",0,IF(M192&gt;0,VLOOKUP(I192,'3-Productie normen'!A:P,VLOOKUP(M192,'3-Productie normen'!$B$38:$C$48,2,FALSE),FALSE)))</f>
        <v>0</v>
      </c>
      <c r="T192" s="411">
        <f t="shared" si="13"/>
        <v>0</v>
      </c>
      <c r="U192" s="411">
        <f t="shared" si="16"/>
        <v>0</v>
      </c>
      <c r="V192" s="412"/>
      <c r="X192" s="413">
        <f t="shared" si="14"/>
        <v>0</v>
      </c>
    </row>
    <row r="193" spans="1:24" ht="14.1" customHeight="1">
      <c r="A193" s="70">
        <f t="shared" si="15"/>
        <v>193</v>
      </c>
      <c r="B193" s="354" t="s">
        <v>44</v>
      </c>
      <c r="C193" s="354" t="s">
        <v>292</v>
      </c>
      <c r="D193" s="354" t="s">
        <v>165</v>
      </c>
      <c r="E193" s="404" t="s">
        <v>234</v>
      </c>
      <c r="F193" s="405" t="s">
        <v>273</v>
      </c>
      <c r="G193" s="406" t="s">
        <v>374</v>
      </c>
      <c r="H193" s="399" t="s">
        <v>307</v>
      </c>
      <c r="I193" s="399" t="s">
        <v>124</v>
      </c>
      <c r="J193" s="399" t="s">
        <v>179</v>
      </c>
      <c r="K193" s="407">
        <v>3.4</v>
      </c>
      <c r="L193" s="408">
        <f t="shared" si="17"/>
        <v>0</v>
      </c>
      <c r="M193" s="409" t="s">
        <v>242</v>
      </c>
      <c r="N193" s="409"/>
      <c r="O193" s="409"/>
      <c r="P193" s="410">
        <f>IF(M193="nio",0,IF(M193&gt;0,M193*K193/S193,0))*VLOOKUP(B193,'2-Kosten per locatie'!$A$14:$C$61,3,FALSE)</f>
        <v>0</v>
      </c>
      <c r="Q193" s="410">
        <f>IF(N193&gt;0,N193*K193/T193,0)*VLOOKUP(B193,'2-Kosten per locatie'!$A$14:$C$61,3,FALSE)</f>
        <v>0</v>
      </c>
      <c r="R193" s="410">
        <f>IF(O193&gt;0,O193*K193/U193,0)*VLOOKUP(B193,'2-Kosten per locatie'!$A$14:$C$61,3,FALSE)</f>
        <v>0</v>
      </c>
      <c r="S193" s="411">
        <f>IF(M193="nio",0,IF(M193&gt;0,VLOOKUP(I193,'3-Productie normen'!A:P,VLOOKUP(M193,'3-Productie normen'!$B$38:$C$48,2,FALSE),FALSE)))</f>
        <v>0</v>
      </c>
      <c r="T193" s="411">
        <f t="shared" si="13"/>
        <v>0</v>
      </c>
      <c r="U193" s="411">
        <f t="shared" si="16"/>
        <v>0</v>
      </c>
      <c r="V193" s="412"/>
      <c r="X193" s="413">
        <f t="shared" si="14"/>
        <v>0</v>
      </c>
    </row>
    <row r="194" spans="1:24" ht="14.1" customHeight="1">
      <c r="A194" s="70">
        <f t="shared" si="15"/>
        <v>194</v>
      </c>
      <c r="B194" s="354" t="s">
        <v>44</v>
      </c>
      <c r="C194" s="354" t="s">
        <v>292</v>
      </c>
      <c r="D194" s="354" t="s">
        <v>165</v>
      </c>
      <c r="E194" s="404" t="s">
        <v>234</v>
      </c>
      <c r="F194" s="405" t="s">
        <v>273</v>
      </c>
      <c r="G194" s="406" t="s">
        <v>375</v>
      </c>
      <c r="H194" s="399" t="s">
        <v>307</v>
      </c>
      <c r="I194" s="399" t="s">
        <v>106</v>
      </c>
      <c r="J194" s="399" t="s">
        <v>179</v>
      </c>
      <c r="K194" s="407">
        <v>3.4</v>
      </c>
      <c r="L194" s="408">
        <f t="shared" si="17"/>
        <v>255</v>
      </c>
      <c r="M194" s="409">
        <v>255</v>
      </c>
      <c r="N194" s="409"/>
      <c r="O194" s="409"/>
      <c r="P194" s="410" t="e">
        <f>IF(M194="nio",0,IF(M194&gt;0,M194*K194/S194,0))*VLOOKUP(B194,'2-Kosten per locatie'!$A$14:$C$61,3,FALSE)</f>
        <v>#DIV/0!</v>
      </c>
      <c r="Q194" s="410">
        <f>IF(N194&gt;0,N194*K194/T194,0)*VLOOKUP(B194,'2-Kosten per locatie'!$A$14:$C$61,3,FALSE)</f>
        <v>0</v>
      </c>
      <c r="R194" s="410">
        <f>IF(O194&gt;0,O194*K194/U194,0)*VLOOKUP(B194,'2-Kosten per locatie'!$A$14:$C$61,3,FALSE)</f>
        <v>0</v>
      </c>
      <c r="S194" s="411">
        <f>IF(M194="nio",0,IF(M194&gt;0,VLOOKUP(I194,'3-Productie normen'!A:P,VLOOKUP(M194,'3-Productie normen'!$B$38:$C$48,2,FALSE),FALSE)))</f>
        <v>0</v>
      </c>
      <c r="T194" s="411">
        <f t="shared" si="13"/>
        <v>0</v>
      </c>
      <c r="U194" s="411">
        <f t="shared" si="16"/>
        <v>0</v>
      </c>
      <c r="V194" s="412"/>
      <c r="X194" s="413">
        <f t="shared" si="14"/>
        <v>867</v>
      </c>
    </row>
    <row r="195" spans="1:24" ht="14.1" customHeight="1">
      <c r="A195" s="70">
        <f t="shared" si="15"/>
        <v>195</v>
      </c>
      <c r="B195" s="354" t="s">
        <v>44</v>
      </c>
      <c r="C195" s="354" t="s">
        <v>292</v>
      </c>
      <c r="D195" s="354" t="s">
        <v>165</v>
      </c>
      <c r="E195" s="404" t="s">
        <v>234</v>
      </c>
      <c r="F195" s="405" t="s">
        <v>273</v>
      </c>
      <c r="G195" s="406" t="s">
        <v>376</v>
      </c>
      <c r="H195" s="341" t="s">
        <v>307</v>
      </c>
      <c r="I195" s="399" t="s">
        <v>124</v>
      </c>
      <c r="J195" s="399" t="s">
        <v>179</v>
      </c>
      <c r="K195" s="407">
        <v>8</v>
      </c>
      <c r="L195" s="408">
        <f t="shared" si="17"/>
        <v>0</v>
      </c>
      <c r="M195" s="409" t="s">
        <v>242</v>
      </c>
      <c r="N195" s="409"/>
      <c r="O195" s="409"/>
      <c r="P195" s="410">
        <f>IF(M195="nio",0,IF(M195&gt;0,M195*K195/S195,0))*VLOOKUP(B195,'2-Kosten per locatie'!$A$14:$C$61,3,FALSE)</f>
        <v>0</v>
      </c>
      <c r="Q195" s="410">
        <f>IF(N195&gt;0,N195*K195/T195,0)*VLOOKUP(B195,'2-Kosten per locatie'!$A$14:$C$61,3,FALSE)</f>
        <v>0</v>
      </c>
      <c r="R195" s="410">
        <f>IF(O195&gt;0,O195*K195/U195,0)*VLOOKUP(B195,'2-Kosten per locatie'!$A$14:$C$61,3,FALSE)</f>
        <v>0</v>
      </c>
      <c r="S195" s="411">
        <f>IF(M195="nio",0,IF(M195&gt;0,VLOOKUP(I195,'3-Productie normen'!A:P,VLOOKUP(M195,'3-Productie normen'!$B$38:$C$48,2,FALSE),FALSE)))</f>
        <v>0</v>
      </c>
      <c r="T195" s="411">
        <f t="shared" si="13"/>
        <v>0</v>
      </c>
      <c r="U195" s="411">
        <f t="shared" si="16"/>
        <v>0</v>
      </c>
      <c r="V195" s="412"/>
      <c r="X195" s="413">
        <f t="shared" si="14"/>
        <v>0</v>
      </c>
    </row>
    <row r="196" spans="1:24" ht="14.1" customHeight="1">
      <c r="A196" s="70">
        <f t="shared" si="15"/>
        <v>196</v>
      </c>
      <c r="B196" s="354" t="s">
        <v>44</v>
      </c>
      <c r="C196" s="354" t="s">
        <v>292</v>
      </c>
      <c r="D196" s="354" t="s">
        <v>165</v>
      </c>
      <c r="E196" s="404" t="s">
        <v>234</v>
      </c>
      <c r="F196" s="405" t="s">
        <v>377</v>
      </c>
      <c r="G196" s="406" t="s">
        <v>378</v>
      </c>
      <c r="H196" s="399" t="s">
        <v>172</v>
      </c>
      <c r="I196" s="399" t="s">
        <v>105</v>
      </c>
      <c r="J196" s="228" t="s">
        <v>173</v>
      </c>
      <c r="K196" s="407">
        <v>18.100000000000001</v>
      </c>
      <c r="L196" s="408">
        <f t="shared" si="17"/>
        <v>255</v>
      </c>
      <c r="M196" s="409">
        <v>255</v>
      </c>
      <c r="N196" s="409"/>
      <c r="O196" s="409"/>
      <c r="P196" s="410" t="e">
        <f>IF(M196="nio",0,IF(M196&gt;0,M196*K196/S196,0))*VLOOKUP(B196,'2-Kosten per locatie'!$A$14:$C$61,3,FALSE)</f>
        <v>#DIV/0!</v>
      </c>
      <c r="Q196" s="410">
        <f>IF(N196&gt;0,N196*K196/T196,0)*VLOOKUP(B196,'2-Kosten per locatie'!$A$14:$C$61,3,FALSE)</f>
        <v>0</v>
      </c>
      <c r="R196" s="410">
        <f>IF(O196&gt;0,O196*K196/U196,0)*VLOOKUP(B196,'2-Kosten per locatie'!$A$14:$C$61,3,FALSE)</f>
        <v>0</v>
      </c>
      <c r="S196" s="411">
        <f>IF(M196="nio",0,IF(M196&gt;0,VLOOKUP(I196,'3-Productie normen'!A:P,VLOOKUP(M196,'3-Productie normen'!$B$38:$C$48,2,FALSE),FALSE)))</f>
        <v>0</v>
      </c>
      <c r="T196" s="411">
        <f t="shared" si="13"/>
        <v>0</v>
      </c>
      <c r="U196" s="411">
        <f t="shared" si="16"/>
        <v>0</v>
      </c>
      <c r="V196" s="412"/>
      <c r="X196" s="413">
        <f t="shared" si="14"/>
        <v>4615.5</v>
      </c>
    </row>
    <row r="197" spans="1:24" ht="14.1" customHeight="1">
      <c r="A197" s="70">
        <f t="shared" si="15"/>
        <v>197</v>
      </c>
      <c r="B197" s="354" t="s">
        <v>44</v>
      </c>
      <c r="C197" s="354" t="s">
        <v>292</v>
      </c>
      <c r="D197" s="354" t="s">
        <v>165</v>
      </c>
      <c r="E197" s="404" t="s">
        <v>234</v>
      </c>
      <c r="F197" s="405" t="s">
        <v>377</v>
      </c>
      <c r="G197" s="207" t="s">
        <v>379</v>
      </c>
      <c r="H197" s="80" t="s">
        <v>172</v>
      </c>
      <c r="I197" s="80" t="s">
        <v>105</v>
      </c>
      <c r="J197" s="399" t="s">
        <v>173</v>
      </c>
      <c r="K197" s="407">
        <v>23.3</v>
      </c>
      <c r="L197" s="408">
        <f t="shared" si="17"/>
        <v>255</v>
      </c>
      <c r="M197" s="409">
        <v>255</v>
      </c>
      <c r="N197" s="409"/>
      <c r="O197" s="409"/>
      <c r="P197" s="410" t="e">
        <f>IF(M197="nio",0,IF(M197&gt;0,M197*K197/S197,0))*VLOOKUP(B197,'2-Kosten per locatie'!$A$14:$C$61,3,FALSE)</f>
        <v>#DIV/0!</v>
      </c>
      <c r="Q197" s="410">
        <f>IF(N197&gt;0,N197*K197/T197,0)*VLOOKUP(B197,'2-Kosten per locatie'!$A$14:$C$61,3,FALSE)</f>
        <v>0</v>
      </c>
      <c r="R197" s="410">
        <f>IF(O197&gt;0,O197*K197/U197,0)*VLOOKUP(B197,'2-Kosten per locatie'!$A$14:$C$61,3,FALSE)</f>
        <v>0</v>
      </c>
      <c r="S197" s="411">
        <f>IF(M197="nio",0,IF(M197&gt;0,VLOOKUP(I197,'3-Productie normen'!A:P,VLOOKUP(M197,'3-Productie normen'!$B$38:$C$48,2,FALSE),FALSE)))</f>
        <v>0</v>
      </c>
      <c r="T197" s="411">
        <f t="shared" si="13"/>
        <v>0</v>
      </c>
      <c r="U197" s="411">
        <f t="shared" si="16"/>
        <v>0</v>
      </c>
      <c r="V197" s="412"/>
      <c r="X197" s="413">
        <f t="shared" si="14"/>
        <v>5941.5</v>
      </c>
    </row>
    <row r="198" spans="1:24" ht="14.1" customHeight="1">
      <c r="A198" s="70">
        <f t="shared" si="15"/>
        <v>198</v>
      </c>
      <c r="B198" s="354" t="s">
        <v>44</v>
      </c>
      <c r="C198" s="354" t="s">
        <v>292</v>
      </c>
      <c r="D198" s="354" t="s">
        <v>165</v>
      </c>
      <c r="E198" s="404" t="s">
        <v>234</v>
      </c>
      <c r="F198" s="405" t="s">
        <v>377</v>
      </c>
      <c r="G198" s="406" t="s">
        <v>380</v>
      </c>
      <c r="H198" s="399" t="s">
        <v>172</v>
      </c>
      <c r="I198" s="399" t="s">
        <v>105</v>
      </c>
      <c r="J198" s="399" t="s">
        <v>173</v>
      </c>
      <c r="K198" s="407">
        <v>34.4</v>
      </c>
      <c r="L198" s="408">
        <f t="shared" si="17"/>
        <v>255</v>
      </c>
      <c r="M198" s="409">
        <v>255</v>
      </c>
      <c r="N198" s="409"/>
      <c r="O198" s="409"/>
      <c r="P198" s="410" t="e">
        <f>IF(M198="nio",0,IF(M198&gt;0,M198*K198/S198,0))*VLOOKUP(B198,'2-Kosten per locatie'!$A$14:$C$61,3,FALSE)</f>
        <v>#DIV/0!</v>
      </c>
      <c r="Q198" s="410">
        <f>IF(N198&gt;0,N198*K198/T198,0)*VLOOKUP(B198,'2-Kosten per locatie'!$A$14:$C$61,3,FALSE)</f>
        <v>0</v>
      </c>
      <c r="R198" s="410">
        <f>IF(O198&gt;0,O198*K198/U198,0)*VLOOKUP(B198,'2-Kosten per locatie'!$A$14:$C$61,3,FALSE)</f>
        <v>0</v>
      </c>
      <c r="S198" s="411">
        <f>IF(M198="nio",0,IF(M198&gt;0,VLOOKUP(I198,'3-Productie normen'!A:P,VLOOKUP(M198,'3-Productie normen'!$B$38:$C$48,2,FALSE),FALSE)))</f>
        <v>0</v>
      </c>
      <c r="T198" s="411">
        <f t="shared" si="13"/>
        <v>0</v>
      </c>
      <c r="U198" s="411">
        <f t="shared" si="16"/>
        <v>0</v>
      </c>
      <c r="V198" s="412"/>
      <c r="X198" s="413">
        <f t="shared" si="14"/>
        <v>8772</v>
      </c>
    </row>
    <row r="199" spans="1:24" ht="14.1" customHeight="1">
      <c r="A199" s="70">
        <f t="shared" si="15"/>
        <v>199</v>
      </c>
      <c r="B199" s="354" t="s">
        <v>44</v>
      </c>
      <c r="C199" s="354" t="s">
        <v>292</v>
      </c>
      <c r="D199" s="354" t="s">
        <v>165</v>
      </c>
      <c r="E199" s="404" t="s">
        <v>234</v>
      </c>
      <c r="F199" s="405" t="s">
        <v>377</v>
      </c>
      <c r="G199" s="406" t="s">
        <v>381</v>
      </c>
      <c r="H199" s="354" t="s">
        <v>172</v>
      </c>
      <c r="I199" s="354" t="s">
        <v>105</v>
      </c>
      <c r="J199" s="399" t="s">
        <v>173</v>
      </c>
      <c r="K199" s="407">
        <v>24</v>
      </c>
      <c r="L199" s="408">
        <f t="shared" si="17"/>
        <v>255</v>
      </c>
      <c r="M199" s="409">
        <v>255</v>
      </c>
      <c r="N199" s="409"/>
      <c r="O199" s="409"/>
      <c r="P199" s="410" t="e">
        <f>IF(M199="nio",0,IF(M199&gt;0,M199*K199/S199,0))*VLOOKUP(B199,'2-Kosten per locatie'!$A$14:$C$61,3,FALSE)</f>
        <v>#DIV/0!</v>
      </c>
      <c r="Q199" s="410">
        <f>IF(N199&gt;0,N199*K199/T199,0)*VLOOKUP(B199,'2-Kosten per locatie'!$A$14:$C$61,3,FALSE)</f>
        <v>0</v>
      </c>
      <c r="R199" s="410">
        <f>IF(O199&gt;0,O199*K199/U199,0)*VLOOKUP(B199,'2-Kosten per locatie'!$A$14:$C$61,3,FALSE)</f>
        <v>0</v>
      </c>
      <c r="S199" s="411">
        <f>IF(M199="nio",0,IF(M199&gt;0,VLOOKUP(I199,'3-Productie normen'!A:P,VLOOKUP(M199,'3-Productie normen'!$B$38:$C$48,2,FALSE),FALSE)))</f>
        <v>0</v>
      </c>
      <c r="T199" s="411">
        <f t="shared" si="13"/>
        <v>0</v>
      </c>
      <c r="U199" s="411">
        <f t="shared" si="16"/>
        <v>0</v>
      </c>
      <c r="V199" s="412"/>
      <c r="X199" s="413">
        <f t="shared" si="14"/>
        <v>6120</v>
      </c>
    </row>
    <row r="200" spans="1:24" ht="14.1" customHeight="1">
      <c r="A200" s="70">
        <f t="shared" si="15"/>
        <v>200</v>
      </c>
      <c r="B200" s="354" t="s">
        <v>44</v>
      </c>
      <c r="C200" s="354" t="s">
        <v>292</v>
      </c>
      <c r="D200" s="354" t="s">
        <v>165</v>
      </c>
      <c r="E200" s="404" t="s">
        <v>234</v>
      </c>
      <c r="F200" s="405" t="s">
        <v>377</v>
      </c>
      <c r="G200" s="406">
        <v>203</v>
      </c>
      <c r="H200" s="354" t="s">
        <v>172</v>
      </c>
      <c r="I200" s="354" t="s">
        <v>105</v>
      </c>
      <c r="J200" s="399" t="s">
        <v>173</v>
      </c>
      <c r="K200" s="407">
        <v>24</v>
      </c>
      <c r="L200" s="408">
        <f t="shared" si="17"/>
        <v>255</v>
      </c>
      <c r="M200" s="409">
        <v>255</v>
      </c>
      <c r="N200" s="409"/>
      <c r="O200" s="409"/>
      <c r="P200" s="410" t="e">
        <f>IF(M200="nio",0,IF(M200&gt;0,M200*K200/S200,0))*VLOOKUP(B200,'2-Kosten per locatie'!$A$14:$C$61,3,FALSE)</f>
        <v>#DIV/0!</v>
      </c>
      <c r="Q200" s="410">
        <f>IF(N200&gt;0,N200*K200/T200,0)*VLOOKUP(B200,'2-Kosten per locatie'!$A$14:$C$61,3,FALSE)</f>
        <v>0</v>
      </c>
      <c r="R200" s="410">
        <f>IF(O200&gt;0,O200*K200/U200,0)*VLOOKUP(B200,'2-Kosten per locatie'!$A$14:$C$61,3,FALSE)</f>
        <v>0</v>
      </c>
      <c r="S200" s="411">
        <f>IF(M200="nio",0,IF(M200&gt;0,VLOOKUP(I200,'3-Productie normen'!A:P,VLOOKUP(M200,'3-Productie normen'!$B$38:$C$48,2,FALSE),FALSE)))</f>
        <v>0</v>
      </c>
      <c r="T200" s="411">
        <f t="shared" si="13"/>
        <v>0</v>
      </c>
      <c r="U200" s="411">
        <f t="shared" si="16"/>
        <v>0</v>
      </c>
      <c r="V200" s="412"/>
      <c r="X200" s="413">
        <f t="shared" si="14"/>
        <v>6120</v>
      </c>
    </row>
    <row r="201" spans="1:24" ht="14.1" customHeight="1">
      <c r="A201" s="70">
        <f t="shared" si="15"/>
        <v>201</v>
      </c>
      <c r="B201" s="354" t="s">
        <v>44</v>
      </c>
      <c r="C201" s="354" t="s">
        <v>292</v>
      </c>
      <c r="D201" s="354" t="s">
        <v>165</v>
      </c>
      <c r="E201" s="404" t="s">
        <v>234</v>
      </c>
      <c r="F201" s="405" t="s">
        <v>377</v>
      </c>
      <c r="G201" s="406">
        <v>204</v>
      </c>
      <c r="H201" s="354" t="s">
        <v>172</v>
      </c>
      <c r="I201" s="354" t="s">
        <v>105</v>
      </c>
      <c r="J201" s="399" t="s">
        <v>173</v>
      </c>
      <c r="K201" s="407">
        <v>23.4</v>
      </c>
      <c r="L201" s="408">
        <f t="shared" si="17"/>
        <v>255</v>
      </c>
      <c r="M201" s="409">
        <v>255</v>
      </c>
      <c r="N201" s="409"/>
      <c r="O201" s="409"/>
      <c r="P201" s="410" t="e">
        <f>IF(M201="nio",0,IF(M201&gt;0,M201*K201/S201,0))*VLOOKUP(B201,'2-Kosten per locatie'!$A$14:$C$61,3,FALSE)</f>
        <v>#DIV/0!</v>
      </c>
      <c r="Q201" s="410">
        <f>IF(N201&gt;0,N201*K201/T201,0)*VLOOKUP(B201,'2-Kosten per locatie'!$A$14:$C$61,3,FALSE)</f>
        <v>0</v>
      </c>
      <c r="R201" s="410">
        <f>IF(O201&gt;0,O201*K201/U201,0)*VLOOKUP(B201,'2-Kosten per locatie'!$A$14:$C$61,3,FALSE)</f>
        <v>0</v>
      </c>
      <c r="S201" s="411">
        <f>IF(M201="nio",0,IF(M201&gt;0,VLOOKUP(I201,'3-Productie normen'!A:P,VLOOKUP(M201,'3-Productie normen'!$B$38:$C$48,2,FALSE),FALSE)))</f>
        <v>0</v>
      </c>
      <c r="T201" s="411">
        <f t="shared" si="13"/>
        <v>0</v>
      </c>
      <c r="U201" s="411">
        <f t="shared" si="16"/>
        <v>0</v>
      </c>
      <c r="V201" s="412"/>
      <c r="X201" s="413">
        <f t="shared" si="14"/>
        <v>5967</v>
      </c>
    </row>
    <row r="202" spans="1:24" ht="14.1" customHeight="1">
      <c r="A202" s="70">
        <f t="shared" si="15"/>
        <v>202</v>
      </c>
      <c r="B202" s="354" t="s">
        <v>44</v>
      </c>
      <c r="C202" s="354" t="s">
        <v>292</v>
      </c>
      <c r="D202" s="354" t="s">
        <v>165</v>
      </c>
      <c r="E202" s="404" t="s">
        <v>234</v>
      </c>
      <c r="F202" s="405" t="s">
        <v>377</v>
      </c>
      <c r="G202" s="406">
        <v>205</v>
      </c>
      <c r="H202" s="399" t="s">
        <v>172</v>
      </c>
      <c r="I202" s="399" t="s">
        <v>105</v>
      </c>
      <c r="J202" s="399" t="s">
        <v>173</v>
      </c>
      <c r="K202" s="407">
        <v>23.4</v>
      </c>
      <c r="L202" s="408">
        <f t="shared" si="17"/>
        <v>255</v>
      </c>
      <c r="M202" s="409">
        <v>255</v>
      </c>
      <c r="N202" s="409"/>
      <c r="O202" s="409"/>
      <c r="P202" s="410" t="e">
        <f>IF(M202="nio",0,IF(M202&gt;0,M202*K202/S202,0))*VLOOKUP(B202,'2-Kosten per locatie'!$A$14:$C$61,3,FALSE)</f>
        <v>#DIV/0!</v>
      </c>
      <c r="Q202" s="410">
        <f>IF(N202&gt;0,N202*K202/T202,0)*VLOOKUP(B202,'2-Kosten per locatie'!$A$14:$C$61,3,FALSE)</f>
        <v>0</v>
      </c>
      <c r="R202" s="410">
        <f>IF(O202&gt;0,O202*K202/U202,0)*VLOOKUP(B202,'2-Kosten per locatie'!$A$14:$C$61,3,FALSE)</f>
        <v>0</v>
      </c>
      <c r="S202" s="411">
        <f>IF(M202="nio",0,IF(M202&gt;0,VLOOKUP(I202,'3-Productie normen'!A:P,VLOOKUP(M202,'3-Productie normen'!$B$38:$C$48,2,FALSE),FALSE)))</f>
        <v>0</v>
      </c>
      <c r="T202" s="411">
        <f t="shared" ref="T202:T265" si="18">IF(N202&gt;0,S202*$T$8,0)</f>
        <v>0</v>
      </c>
      <c r="U202" s="411">
        <f t="shared" si="16"/>
        <v>0</v>
      </c>
      <c r="V202" s="412"/>
      <c r="X202" s="413">
        <f t="shared" ref="X202:X265" si="19">L202*K202</f>
        <v>5967</v>
      </c>
    </row>
    <row r="203" spans="1:24" ht="14.1" customHeight="1">
      <c r="A203" s="70">
        <f t="shared" ref="A203:A266" si="20">A202+1</f>
        <v>203</v>
      </c>
      <c r="B203" s="354" t="s">
        <v>44</v>
      </c>
      <c r="C203" s="354" t="s">
        <v>292</v>
      </c>
      <c r="D203" s="354" t="s">
        <v>165</v>
      </c>
      <c r="E203" s="404" t="s">
        <v>234</v>
      </c>
      <c r="F203" s="405" t="s">
        <v>377</v>
      </c>
      <c r="G203" s="406">
        <v>206</v>
      </c>
      <c r="H203" s="399" t="s">
        <v>172</v>
      </c>
      <c r="I203" s="399" t="s">
        <v>105</v>
      </c>
      <c r="J203" s="399" t="s">
        <v>173</v>
      </c>
      <c r="K203" s="407">
        <v>24</v>
      </c>
      <c r="L203" s="408">
        <f t="shared" si="17"/>
        <v>255</v>
      </c>
      <c r="M203" s="409">
        <v>255</v>
      </c>
      <c r="N203" s="409"/>
      <c r="O203" s="409"/>
      <c r="P203" s="410" t="e">
        <f>IF(M203="nio",0,IF(M203&gt;0,M203*K203/S203,0))*VLOOKUP(B203,'2-Kosten per locatie'!$A$14:$C$61,3,FALSE)</f>
        <v>#DIV/0!</v>
      </c>
      <c r="Q203" s="410">
        <f>IF(N203&gt;0,N203*K203/T203,0)*VLOOKUP(B203,'2-Kosten per locatie'!$A$14:$C$61,3,FALSE)</f>
        <v>0</v>
      </c>
      <c r="R203" s="410">
        <f>IF(O203&gt;0,O203*K203/U203,0)*VLOOKUP(B203,'2-Kosten per locatie'!$A$14:$C$61,3,FALSE)</f>
        <v>0</v>
      </c>
      <c r="S203" s="411">
        <f>IF(M203="nio",0,IF(M203&gt;0,VLOOKUP(I203,'3-Productie normen'!A:P,VLOOKUP(M203,'3-Productie normen'!$B$38:$C$48,2,FALSE),FALSE)))</f>
        <v>0</v>
      </c>
      <c r="T203" s="411">
        <f t="shared" si="18"/>
        <v>0</v>
      </c>
      <c r="U203" s="411">
        <f t="shared" si="16"/>
        <v>0</v>
      </c>
      <c r="V203" s="412"/>
      <c r="X203" s="413">
        <f t="shared" si="19"/>
        <v>6120</v>
      </c>
    </row>
    <row r="204" spans="1:24" ht="14.1" customHeight="1">
      <c r="A204" s="70">
        <f t="shared" si="20"/>
        <v>204</v>
      </c>
      <c r="B204" s="354" t="s">
        <v>44</v>
      </c>
      <c r="C204" s="354" t="s">
        <v>292</v>
      </c>
      <c r="D204" s="354" t="s">
        <v>165</v>
      </c>
      <c r="E204" s="404" t="s">
        <v>234</v>
      </c>
      <c r="F204" s="405" t="s">
        <v>377</v>
      </c>
      <c r="G204" s="406">
        <v>207</v>
      </c>
      <c r="H204" s="399" t="s">
        <v>172</v>
      </c>
      <c r="I204" s="399" t="s">
        <v>105</v>
      </c>
      <c r="J204" s="399" t="s">
        <v>173</v>
      </c>
      <c r="K204" s="407">
        <v>24</v>
      </c>
      <c r="L204" s="408">
        <f t="shared" si="17"/>
        <v>255</v>
      </c>
      <c r="M204" s="409">
        <v>255</v>
      </c>
      <c r="N204" s="409"/>
      <c r="O204" s="409"/>
      <c r="P204" s="410" t="e">
        <f>IF(M204="nio",0,IF(M204&gt;0,M204*K204/S204,0))*VLOOKUP(B204,'2-Kosten per locatie'!$A$14:$C$61,3,FALSE)</f>
        <v>#DIV/0!</v>
      </c>
      <c r="Q204" s="410">
        <f>IF(N204&gt;0,N204*K204/T204,0)*VLOOKUP(B204,'2-Kosten per locatie'!$A$14:$C$61,3,FALSE)</f>
        <v>0</v>
      </c>
      <c r="R204" s="410">
        <f>IF(O204&gt;0,O204*K204/U204,0)*VLOOKUP(B204,'2-Kosten per locatie'!$A$14:$C$61,3,FALSE)</f>
        <v>0</v>
      </c>
      <c r="S204" s="411">
        <f>IF(M204="nio",0,IF(M204&gt;0,VLOOKUP(I204,'3-Productie normen'!A:P,VLOOKUP(M204,'3-Productie normen'!$B$38:$C$48,2,FALSE),FALSE)))</f>
        <v>0</v>
      </c>
      <c r="T204" s="411">
        <f t="shared" si="18"/>
        <v>0</v>
      </c>
      <c r="U204" s="411">
        <f t="shared" si="16"/>
        <v>0</v>
      </c>
      <c r="V204" s="412"/>
      <c r="X204" s="413">
        <f t="shared" si="19"/>
        <v>6120</v>
      </c>
    </row>
    <row r="205" spans="1:24" ht="14.1" customHeight="1">
      <c r="A205" s="70">
        <f t="shared" si="20"/>
        <v>205</v>
      </c>
      <c r="B205" s="354" t="s">
        <v>44</v>
      </c>
      <c r="C205" s="354" t="s">
        <v>292</v>
      </c>
      <c r="D205" s="354" t="s">
        <v>165</v>
      </c>
      <c r="E205" s="404" t="s">
        <v>234</v>
      </c>
      <c r="F205" s="405" t="s">
        <v>377</v>
      </c>
      <c r="G205" s="406">
        <v>208</v>
      </c>
      <c r="H205" s="399" t="s">
        <v>172</v>
      </c>
      <c r="I205" s="399" t="s">
        <v>105</v>
      </c>
      <c r="J205" s="399" t="s">
        <v>173</v>
      </c>
      <c r="K205" s="407">
        <v>24</v>
      </c>
      <c r="L205" s="408">
        <f t="shared" si="17"/>
        <v>255</v>
      </c>
      <c r="M205" s="409">
        <v>255</v>
      </c>
      <c r="N205" s="409"/>
      <c r="O205" s="409"/>
      <c r="P205" s="410" t="e">
        <f>IF(M205="nio",0,IF(M205&gt;0,M205*K205/S205,0))*VLOOKUP(B205,'2-Kosten per locatie'!$A$14:$C$61,3,FALSE)</f>
        <v>#DIV/0!</v>
      </c>
      <c r="Q205" s="410">
        <f>IF(N205&gt;0,N205*K205/T205,0)*VLOOKUP(B205,'2-Kosten per locatie'!$A$14:$C$61,3,FALSE)</f>
        <v>0</v>
      </c>
      <c r="R205" s="410">
        <f>IF(O205&gt;0,O205*K205/U205,0)*VLOOKUP(B205,'2-Kosten per locatie'!$A$14:$C$61,3,FALSE)</f>
        <v>0</v>
      </c>
      <c r="S205" s="411">
        <f>IF(M205="nio",0,IF(M205&gt;0,VLOOKUP(I205,'3-Productie normen'!A:P,VLOOKUP(M205,'3-Productie normen'!$B$38:$C$48,2,FALSE),FALSE)))</f>
        <v>0</v>
      </c>
      <c r="T205" s="411">
        <f t="shared" si="18"/>
        <v>0</v>
      </c>
      <c r="U205" s="411">
        <f t="shared" si="16"/>
        <v>0</v>
      </c>
      <c r="V205" s="412"/>
      <c r="X205" s="413">
        <f t="shared" si="19"/>
        <v>6120</v>
      </c>
    </row>
    <row r="206" spans="1:24" ht="14.1" customHeight="1">
      <c r="A206" s="70">
        <f t="shared" si="20"/>
        <v>206</v>
      </c>
      <c r="B206" s="354" t="s">
        <v>44</v>
      </c>
      <c r="C206" s="354" t="s">
        <v>292</v>
      </c>
      <c r="D206" s="354" t="s">
        <v>165</v>
      </c>
      <c r="E206" s="404" t="s">
        <v>234</v>
      </c>
      <c r="F206" s="405" t="s">
        <v>377</v>
      </c>
      <c r="G206" s="406">
        <v>209</v>
      </c>
      <c r="H206" s="341" t="s">
        <v>172</v>
      </c>
      <c r="I206" s="341" t="s">
        <v>105</v>
      </c>
      <c r="J206" s="399" t="s">
        <v>173</v>
      </c>
      <c r="K206" s="407">
        <v>46.9</v>
      </c>
      <c r="L206" s="408">
        <f t="shared" si="17"/>
        <v>255</v>
      </c>
      <c r="M206" s="409">
        <v>255</v>
      </c>
      <c r="N206" s="409"/>
      <c r="O206" s="409"/>
      <c r="P206" s="410" t="e">
        <f>IF(M206="nio",0,IF(M206&gt;0,M206*K206/S206,0))*VLOOKUP(B206,'2-Kosten per locatie'!$A$14:$C$61,3,FALSE)</f>
        <v>#DIV/0!</v>
      </c>
      <c r="Q206" s="410">
        <f>IF(N206&gt;0,N206*K206/T206,0)*VLOOKUP(B206,'2-Kosten per locatie'!$A$14:$C$61,3,FALSE)</f>
        <v>0</v>
      </c>
      <c r="R206" s="410">
        <f>IF(O206&gt;0,O206*K206/U206,0)*VLOOKUP(B206,'2-Kosten per locatie'!$A$14:$C$61,3,FALSE)</f>
        <v>0</v>
      </c>
      <c r="S206" s="411">
        <f>IF(M206="nio",0,IF(M206&gt;0,VLOOKUP(I206,'3-Productie normen'!A:P,VLOOKUP(M206,'3-Productie normen'!$B$38:$C$48,2,FALSE),FALSE)))</f>
        <v>0</v>
      </c>
      <c r="T206" s="411">
        <f t="shared" si="18"/>
        <v>0</v>
      </c>
      <c r="U206" s="411">
        <f t="shared" ref="U206:U269" si="21">IF(OR(O206&gt;0),S206*$U$8,0)</f>
        <v>0</v>
      </c>
      <c r="V206" s="412"/>
      <c r="X206" s="413">
        <f t="shared" si="19"/>
        <v>11959.5</v>
      </c>
    </row>
    <row r="207" spans="1:24" ht="14.1" customHeight="1">
      <c r="A207" s="70">
        <f t="shared" si="20"/>
        <v>207</v>
      </c>
      <c r="B207" s="354" t="s">
        <v>44</v>
      </c>
      <c r="C207" s="354" t="s">
        <v>292</v>
      </c>
      <c r="D207" s="354" t="s">
        <v>165</v>
      </c>
      <c r="E207" s="404" t="s">
        <v>234</v>
      </c>
      <c r="F207" s="405" t="s">
        <v>377</v>
      </c>
      <c r="G207" s="406">
        <v>210</v>
      </c>
      <c r="H207" s="399" t="s">
        <v>172</v>
      </c>
      <c r="I207" s="399" t="s">
        <v>105</v>
      </c>
      <c r="J207" s="228" t="s">
        <v>173</v>
      </c>
      <c r="K207" s="407">
        <v>24</v>
      </c>
      <c r="L207" s="408">
        <f t="shared" si="17"/>
        <v>255</v>
      </c>
      <c r="M207" s="409">
        <v>255</v>
      </c>
      <c r="N207" s="409"/>
      <c r="O207" s="409"/>
      <c r="P207" s="410" t="e">
        <f>IF(M207="nio",0,IF(M207&gt;0,M207*K207/S207,0))*VLOOKUP(B207,'2-Kosten per locatie'!$A$14:$C$61,3,FALSE)</f>
        <v>#DIV/0!</v>
      </c>
      <c r="Q207" s="410">
        <f>IF(N207&gt;0,N207*K207/T207,0)*VLOOKUP(B207,'2-Kosten per locatie'!$A$14:$C$61,3,FALSE)</f>
        <v>0</v>
      </c>
      <c r="R207" s="410">
        <f>IF(O207&gt;0,O207*K207/U207,0)*VLOOKUP(B207,'2-Kosten per locatie'!$A$14:$C$61,3,FALSE)</f>
        <v>0</v>
      </c>
      <c r="S207" s="411">
        <f>IF(M207="nio",0,IF(M207&gt;0,VLOOKUP(I207,'3-Productie normen'!A:P,VLOOKUP(M207,'3-Productie normen'!$B$38:$C$48,2,FALSE),FALSE)))</f>
        <v>0</v>
      </c>
      <c r="T207" s="411">
        <f t="shared" si="18"/>
        <v>0</v>
      </c>
      <c r="U207" s="411">
        <f t="shared" si="21"/>
        <v>0</v>
      </c>
      <c r="V207" s="412"/>
      <c r="X207" s="413">
        <f t="shared" si="19"/>
        <v>6120</v>
      </c>
    </row>
    <row r="208" spans="1:24" ht="14.1" customHeight="1">
      <c r="A208" s="70">
        <f t="shared" si="20"/>
        <v>208</v>
      </c>
      <c r="B208" s="354" t="s">
        <v>44</v>
      </c>
      <c r="C208" s="354" t="s">
        <v>292</v>
      </c>
      <c r="D208" s="354" t="s">
        <v>165</v>
      </c>
      <c r="E208" s="404" t="s">
        <v>234</v>
      </c>
      <c r="F208" s="405" t="s">
        <v>377</v>
      </c>
      <c r="G208" s="406">
        <v>211</v>
      </c>
      <c r="H208" s="354" t="s">
        <v>172</v>
      </c>
      <c r="I208" s="354" t="s">
        <v>105</v>
      </c>
      <c r="J208" s="399" t="s">
        <v>173</v>
      </c>
      <c r="K208" s="407">
        <v>38.1</v>
      </c>
      <c r="L208" s="408">
        <f t="shared" si="17"/>
        <v>255</v>
      </c>
      <c r="M208" s="409">
        <v>255</v>
      </c>
      <c r="N208" s="409"/>
      <c r="O208" s="409"/>
      <c r="P208" s="410" t="e">
        <f>IF(M208="nio",0,IF(M208&gt;0,M208*K208/S208,0))*VLOOKUP(B208,'2-Kosten per locatie'!$A$14:$C$61,3,FALSE)</f>
        <v>#DIV/0!</v>
      </c>
      <c r="Q208" s="410">
        <f>IF(N208&gt;0,N208*K208/T208,0)*VLOOKUP(B208,'2-Kosten per locatie'!$A$14:$C$61,3,FALSE)</f>
        <v>0</v>
      </c>
      <c r="R208" s="410">
        <f>IF(O208&gt;0,O208*K208/U208,0)*VLOOKUP(B208,'2-Kosten per locatie'!$A$14:$C$61,3,FALSE)</f>
        <v>0</v>
      </c>
      <c r="S208" s="411">
        <f>IF(M208="nio",0,IF(M208&gt;0,VLOOKUP(I208,'3-Productie normen'!A:P,VLOOKUP(M208,'3-Productie normen'!$B$38:$C$48,2,FALSE),FALSE)))</f>
        <v>0</v>
      </c>
      <c r="T208" s="411">
        <f t="shared" si="18"/>
        <v>0</v>
      </c>
      <c r="U208" s="411">
        <f t="shared" si="21"/>
        <v>0</v>
      </c>
      <c r="V208" s="412"/>
      <c r="X208" s="413">
        <f t="shared" si="19"/>
        <v>9715.5</v>
      </c>
    </row>
    <row r="209" spans="1:24" ht="14.1" customHeight="1">
      <c r="A209" s="70">
        <f t="shared" si="20"/>
        <v>209</v>
      </c>
      <c r="B209" s="354" t="s">
        <v>44</v>
      </c>
      <c r="C209" s="354" t="s">
        <v>292</v>
      </c>
      <c r="D209" s="354" t="s">
        <v>165</v>
      </c>
      <c r="E209" s="404" t="s">
        <v>234</v>
      </c>
      <c r="F209" s="405" t="s">
        <v>377</v>
      </c>
      <c r="G209" s="406" t="s">
        <v>382</v>
      </c>
      <c r="H209" s="354" t="s">
        <v>172</v>
      </c>
      <c r="I209" s="354" t="s">
        <v>105</v>
      </c>
      <c r="J209" s="399" t="s">
        <v>173</v>
      </c>
      <c r="K209" s="407">
        <v>135.4</v>
      </c>
      <c r="L209" s="408">
        <f t="shared" si="17"/>
        <v>255</v>
      </c>
      <c r="M209" s="409">
        <v>255</v>
      </c>
      <c r="N209" s="409"/>
      <c r="O209" s="409"/>
      <c r="P209" s="410" t="e">
        <f>IF(M209="nio",0,IF(M209&gt;0,M209*K209/S209,0))*VLOOKUP(B209,'2-Kosten per locatie'!$A$14:$C$61,3,FALSE)</f>
        <v>#DIV/0!</v>
      </c>
      <c r="Q209" s="410">
        <f>IF(N209&gt;0,N209*K209/T209,0)*VLOOKUP(B209,'2-Kosten per locatie'!$A$14:$C$61,3,FALSE)</f>
        <v>0</v>
      </c>
      <c r="R209" s="410">
        <f>IF(O209&gt;0,O209*K209/U209,0)*VLOOKUP(B209,'2-Kosten per locatie'!$A$14:$C$61,3,FALSE)</f>
        <v>0</v>
      </c>
      <c r="S209" s="411">
        <f>IF(M209="nio",0,IF(M209&gt;0,VLOOKUP(I209,'3-Productie normen'!A:P,VLOOKUP(M209,'3-Productie normen'!$B$38:$C$48,2,FALSE),FALSE)))</f>
        <v>0</v>
      </c>
      <c r="T209" s="411">
        <f t="shared" si="18"/>
        <v>0</v>
      </c>
      <c r="U209" s="411">
        <f t="shared" si="21"/>
        <v>0</v>
      </c>
      <c r="V209" s="412"/>
      <c r="X209" s="413">
        <f t="shared" si="19"/>
        <v>34527</v>
      </c>
    </row>
    <row r="210" spans="1:24" ht="14.1" customHeight="1">
      <c r="A210" s="70">
        <f t="shared" si="20"/>
        <v>210</v>
      </c>
      <c r="B210" s="354" t="s">
        <v>44</v>
      </c>
      <c r="C210" s="354" t="s">
        <v>292</v>
      </c>
      <c r="D210" s="354" t="s">
        <v>165</v>
      </c>
      <c r="E210" s="404" t="s">
        <v>234</v>
      </c>
      <c r="F210" s="405" t="s">
        <v>377</v>
      </c>
      <c r="G210" s="406">
        <v>216</v>
      </c>
      <c r="H210" s="354" t="s">
        <v>172</v>
      </c>
      <c r="I210" s="354" t="s">
        <v>105</v>
      </c>
      <c r="J210" s="399" t="s">
        <v>173</v>
      </c>
      <c r="K210" s="407">
        <v>24.7</v>
      </c>
      <c r="L210" s="408">
        <f t="shared" si="17"/>
        <v>255</v>
      </c>
      <c r="M210" s="409">
        <v>255</v>
      </c>
      <c r="N210" s="409"/>
      <c r="O210" s="409"/>
      <c r="P210" s="410" t="e">
        <f>IF(M210="nio",0,IF(M210&gt;0,M210*K210/S210,0))*VLOOKUP(B210,'2-Kosten per locatie'!$A$14:$C$61,3,FALSE)</f>
        <v>#DIV/0!</v>
      </c>
      <c r="Q210" s="410">
        <f>IF(N210&gt;0,N210*K210/T210,0)*VLOOKUP(B210,'2-Kosten per locatie'!$A$14:$C$61,3,FALSE)</f>
        <v>0</v>
      </c>
      <c r="R210" s="410">
        <f>IF(O210&gt;0,O210*K210/U210,0)*VLOOKUP(B210,'2-Kosten per locatie'!$A$14:$C$61,3,FALSE)</f>
        <v>0</v>
      </c>
      <c r="S210" s="411">
        <f>IF(M210="nio",0,IF(M210&gt;0,VLOOKUP(I210,'3-Productie normen'!A:P,VLOOKUP(M210,'3-Productie normen'!$B$38:$C$48,2,FALSE),FALSE)))</f>
        <v>0</v>
      </c>
      <c r="T210" s="411">
        <f t="shared" si="18"/>
        <v>0</v>
      </c>
      <c r="U210" s="411">
        <f t="shared" si="21"/>
        <v>0</v>
      </c>
      <c r="V210" s="412"/>
      <c r="X210" s="413">
        <f t="shared" si="19"/>
        <v>6298.5</v>
      </c>
    </row>
    <row r="211" spans="1:24" ht="14.1" customHeight="1">
      <c r="A211" s="70">
        <f t="shared" si="20"/>
        <v>211</v>
      </c>
      <c r="B211" s="354" t="s">
        <v>44</v>
      </c>
      <c r="C211" s="354" t="s">
        <v>292</v>
      </c>
      <c r="D211" s="354" t="s">
        <v>165</v>
      </c>
      <c r="E211" s="404" t="s">
        <v>234</v>
      </c>
      <c r="F211" s="405" t="s">
        <v>377</v>
      </c>
      <c r="G211" s="406">
        <v>217</v>
      </c>
      <c r="H211" s="399" t="s">
        <v>225</v>
      </c>
      <c r="I211" s="399" t="s">
        <v>112</v>
      </c>
      <c r="J211" s="399" t="s">
        <v>171</v>
      </c>
      <c r="K211" s="407">
        <v>22.3</v>
      </c>
      <c r="L211" s="408">
        <f t="shared" si="17"/>
        <v>255</v>
      </c>
      <c r="M211" s="409">
        <v>255</v>
      </c>
      <c r="N211" s="409"/>
      <c r="O211" s="409"/>
      <c r="P211" s="410" t="e">
        <f>IF(M211="nio",0,IF(M211&gt;0,M211*K211/S211,0))*VLOOKUP(B211,'2-Kosten per locatie'!$A$14:$C$61,3,FALSE)</f>
        <v>#DIV/0!</v>
      </c>
      <c r="Q211" s="410">
        <f>IF(N211&gt;0,N211*K211/T211,0)*VLOOKUP(B211,'2-Kosten per locatie'!$A$14:$C$61,3,FALSE)</f>
        <v>0</v>
      </c>
      <c r="R211" s="410">
        <f>IF(O211&gt;0,O211*K211/U211,0)*VLOOKUP(B211,'2-Kosten per locatie'!$A$14:$C$61,3,FALSE)</f>
        <v>0</v>
      </c>
      <c r="S211" s="411">
        <f>IF(M211="nio",0,IF(M211&gt;0,VLOOKUP(I211,'3-Productie normen'!A:P,VLOOKUP(M211,'3-Productie normen'!$B$38:$C$48,2,FALSE),FALSE)))</f>
        <v>0</v>
      </c>
      <c r="T211" s="411">
        <f t="shared" si="18"/>
        <v>0</v>
      </c>
      <c r="U211" s="411">
        <f t="shared" si="21"/>
        <v>0</v>
      </c>
      <c r="V211" s="412"/>
      <c r="X211" s="413">
        <f t="shared" si="19"/>
        <v>5686.5</v>
      </c>
    </row>
    <row r="212" spans="1:24" ht="14.1" customHeight="1">
      <c r="A212" s="70">
        <f t="shared" si="20"/>
        <v>212</v>
      </c>
      <c r="B212" s="354" t="s">
        <v>44</v>
      </c>
      <c r="C212" s="354" t="s">
        <v>292</v>
      </c>
      <c r="D212" s="354" t="s">
        <v>165</v>
      </c>
      <c r="E212" s="404" t="s">
        <v>234</v>
      </c>
      <c r="F212" s="405" t="s">
        <v>377</v>
      </c>
      <c r="G212" s="406">
        <v>218</v>
      </c>
      <c r="H212" s="399" t="s">
        <v>225</v>
      </c>
      <c r="I212" s="399" t="s">
        <v>112</v>
      </c>
      <c r="J212" s="399" t="s">
        <v>171</v>
      </c>
      <c r="K212" s="407">
        <v>24</v>
      </c>
      <c r="L212" s="408">
        <f t="shared" si="17"/>
        <v>255</v>
      </c>
      <c r="M212" s="409">
        <v>255</v>
      </c>
      <c r="N212" s="409"/>
      <c r="O212" s="409"/>
      <c r="P212" s="410" t="e">
        <f>IF(M212="nio",0,IF(M212&gt;0,M212*K212/S212,0))*VLOOKUP(B212,'2-Kosten per locatie'!$A$14:$C$61,3,FALSE)</f>
        <v>#DIV/0!</v>
      </c>
      <c r="Q212" s="410">
        <f>IF(N212&gt;0,N212*K212/T212,0)*VLOOKUP(B212,'2-Kosten per locatie'!$A$14:$C$61,3,FALSE)</f>
        <v>0</v>
      </c>
      <c r="R212" s="410">
        <f>IF(O212&gt;0,O212*K212/U212,0)*VLOOKUP(B212,'2-Kosten per locatie'!$A$14:$C$61,3,FALSE)</f>
        <v>0</v>
      </c>
      <c r="S212" s="411">
        <f>IF(M212="nio",0,IF(M212&gt;0,VLOOKUP(I212,'3-Productie normen'!A:P,VLOOKUP(M212,'3-Productie normen'!$B$38:$C$48,2,FALSE),FALSE)))</f>
        <v>0</v>
      </c>
      <c r="T212" s="411">
        <f t="shared" si="18"/>
        <v>0</v>
      </c>
      <c r="U212" s="411">
        <f t="shared" si="21"/>
        <v>0</v>
      </c>
      <c r="V212" s="412"/>
      <c r="X212" s="413">
        <f t="shared" si="19"/>
        <v>6120</v>
      </c>
    </row>
    <row r="213" spans="1:24" ht="14.1" customHeight="1">
      <c r="A213" s="70">
        <f t="shared" si="20"/>
        <v>213</v>
      </c>
      <c r="B213" s="354" t="s">
        <v>44</v>
      </c>
      <c r="C213" s="354" t="s">
        <v>292</v>
      </c>
      <c r="D213" s="354" t="s">
        <v>165</v>
      </c>
      <c r="E213" s="404" t="s">
        <v>234</v>
      </c>
      <c r="F213" s="405" t="s">
        <v>377</v>
      </c>
      <c r="G213" s="406" t="s">
        <v>383</v>
      </c>
      <c r="H213" s="399" t="s">
        <v>225</v>
      </c>
      <c r="I213" s="399" t="s">
        <v>112</v>
      </c>
      <c r="J213" s="399" t="s">
        <v>171</v>
      </c>
      <c r="K213" s="407">
        <v>49.9</v>
      </c>
      <c r="L213" s="408">
        <f t="shared" si="17"/>
        <v>255</v>
      </c>
      <c r="M213" s="409">
        <v>255</v>
      </c>
      <c r="N213" s="409"/>
      <c r="O213" s="409"/>
      <c r="P213" s="410" t="e">
        <f>IF(M213="nio",0,IF(M213&gt;0,M213*K213/S213,0))*VLOOKUP(B213,'2-Kosten per locatie'!$A$14:$C$61,3,FALSE)</f>
        <v>#DIV/0!</v>
      </c>
      <c r="Q213" s="410">
        <f>IF(N213&gt;0,N213*K213/T213,0)*VLOOKUP(B213,'2-Kosten per locatie'!$A$14:$C$61,3,FALSE)</f>
        <v>0</v>
      </c>
      <c r="R213" s="410">
        <f>IF(O213&gt;0,O213*K213/U213,0)*VLOOKUP(B213,'2-Kosten per locatie'!$A$14:$C$61,3,FALSE)</f>
        <v>0</v>
      </c>
      <c r="S213" s="411">
        <f>IF(M213="nio",0,IF(M213&gt;0,VLOOKUP(I213,'3-Productie normen'!A:P,VLOOKUP(M213,'3-Productie normen'!$B$38:$C$48,2,FALSE),FALSE)))</f>
        <v>0</v>
      </c>
      <c r="T213" s="411">
        <f t="shared" si="18"/>
        <v>0</v>
      </c>
      <c r="U213" s="411">
        <f t="shared" si="21"/>
        <v>0</v>
      </c>
      <c r="V213" s="412"/>
      <c r="X213" s="413">
        <f t="shared" si="19"/>
        <v>12724.5</v>
      </c>
    </row>
    <row r="214" spans="1:24" ht="14.1" customHeight="1">
      <c r="A214" s="70">
        <f t="shared" si="20"/>
        <v>214</v>
      </c>
      <c r="B214" s="354" t="s">
        <v>44</v>
      </c>
      <c r="C214" s="354" t="s">
        <v>292</v>
      </c>
      <c r="D214" s="354" t="s">
        <v>165</v>
      </c>
      <c r="E214" s="404" t="s">
        <v>234</v>
      </c>
      <c r="F214" s="405" t="s">
        <v>377</v>
      </c>
      <c r="G214" s="406" t="s">
        <v>384</v>
      </c>
      <c r="H214" s="399" t="s">
        <v>172</v>
      </c>
      <c r="I214" s="399" t="s">
        <v>105</v>
      </c>
      <c r="J214" s="399" t="s">
        <v>173</v>
      </c>
      <c r="K214" s="407">
        <v>15.8</v>
      </c>
      <c r="L214" s="408">
        <f t="shared" si="17"/>
        <v>255</v>
      </c>
      <c r="M214" s="409">
        <v>255</v>
      </c>
      <c r="N214" s="409"/>
      <c r="O214" s="409"/>
      <c r="P214" s="410" t="e">
        <f>IF(M214="nio",0,IF(M214&gt;0,M214*K214/S214,0))*VLOOKUP(B214,'2-Kosten per locatie'!$A$14:$C$61,3,FALSE)</f>
        <v>#DIV/0!</v>
      </c>
      <c r="Q214" s="410">
        <f>IF(N214&gt;0,N214*K214/T214,0)*VLOOKUP(B214,'2-Kosten per locatie'!$A$14:$C$61,3,FALSE)</f>
        <v>0</v>
      </c>
      <c r="R214" s="410">
        <f>IF(O214&gt;0,O214*K214/U214,0)*VLOOKUP(B214,'2-Kosten per locatie'!$A$14:$C$61,3,FALSE)</f>
        <v>0</v>
      </c>
      <c r="S214" s="411">
        <f>IF(M214="nio",0,IF(M214&gt;0,VLOOKUP(I214,'3-Productie normen'!A:P,VLOOKUP(M214,'3-Productie normen'!$B$38:$C$48,2,FALSE),FALSE)))</f>
        <v>0</v>
      </c>
      <c r="T214" s="411">
        <f t="shared" si="18"/>
        <v>0</v>
      </c>
      <c r="U214" s="411">
        <f t="shared" si="21"/>
        <v>0</v>
      </c>
      <c r="V214" s="412"/>
      <c r="X214" s="413">
        <f t="shared" si="19"/>
        <v>4029</v>
      </c>
    </row>
    <row r="215" spans="1:24" ht="14.1" customHeight="1">
      <c r="A215" s="70">
        <f t="shared" si="20"/>
        <v>215</v>
      </c>
      <c r="B215" s="354" t="s">
        <v>44</v>
      </c>
      <c r="C215" s="354" t="s">
        <v>292</v>
      </c>
      <c r="D215" s="354" t="s">
        <v>165</v>
      </c>
      <c r="E215" s="404" t="s">
        <v>234</v>
      </c>
      <c r="F215" s="405" t="s">
        <v>377</v>
      </c>
      <c r="G215" s="406" t="s">
        <v>385</v>
      </c>
      <c r="H215" s="341" t="s">
        <v>172</v>
      </c>
      <c r="I215" s="341" t="s">
        <v>105</v>
      </c>
      <c r="J215" s="399" t="s">
        <v>171</v>
      </c>
      <c r="K215" s="407">
        <v>16.600000000000001</v>
      </c>
      <c r="L215" s="408">
        <f t="shared" si="17"/>
        <v>255</v>
      </c>
      <c r="M215" s="409">
        <v>255</v>
      </c>
      <c r="N215" s="409"/>
      <c r="O215" s="409"/>
      <c r="P215" s="410" t="e">
        <f>IF(M215="nio",0,IF(M215&gt;0,M215*K215/S215,0))*VLOOKUP(B215,'2-Kosten per locatie'!$A$14:$C$61,3,FALSE)</f>
        <v>#DIV/0!</v>
      </c>
      <c r="Q215" s="410">
        <f>IF(N215&gt;0,N215*K215/T215,0)*VLOOKUP(B215,'2-Kosten per locatie'!$A$14:$C$61,3,FALSE)</f>
        <v>0</v>
      </c>
      <c r="R215" s="410">
        <f>IF(O215&gt;0,O215*K215/U215,0)*VLOOKUP(B215,'2-Kosten per locatie'!$A$14:$C$61,3,FALSE)</f>
        <v>0</v>
      </c>
      <c r="S215" s="411">
        <f>IF(M215="nio",0,IF(M215&gt;0,VLOOKUP(I215,'3-Productie normen'!A:P,VLOOKUP(M215,'3-Productie normen'!$B$38:$C$48,2,FALSE),FALSE)))</f>
        <v>0</v>
      </c>
      <c r="T215" s="411">
        <f t="shared" si="18"/>
        <v>0</v>
      </c>
      <c r="U215" s="411">
        <f t="shared" si="21"/>
        <v>0</v>
      </c>
      <c r="V215" s="412"/>
      <c r="X215" s="413">
        <f t="shared" si="19"/>
        <v>4233</v>
      </c>
    </row>
    <row r="216" spans="1:24" ht="14.1" customHeight="1">
      <c r="A216" s="70">
        <f t="shared" si="20"/>
        <v>216</v>
      </c>
      <c r="B216" s="354" t="s">
        <v>44</v>
      </c>
      <c r="C216" s="354" t="s">
        <v>292</v>
      </c>
      <c r="D216" s="354" t="s">
        <v>165</v>
      </c>
      <c r="E216" s="404" t="s">
        <v>234</v>
      </c>
      <c r="F216" s="405" t="s">
        <v>377</v>
      </c>
      <c r="G216" s="406" t="s">
        <v>386</v>
      </c>
      <c r="H216" s="399" t="s">
        <v>172</v>
      </c>
      <c r="I216" s="399" t="s">
        <v>105</v>
      </c>
      <c r="J216" s="228" t="s">
        <v>173</v>
      </c>
      <c r="K216" s="407">
        <v>16.600000000000001</v>
      </c>
      <c r="L216" s="408">
        <f t="shared" si="17"/>
        <v>255</v>
      </c>
      <c r="M216" s="409">
        <v>255</v>
      </c>
      <c r="N216" s="409"/>
      <c r="O216" s="409"/>
      <c r="P216" s="410" t="e">
        <f>IF(M216="nio",0,IF(M216&gt;0,M216*K216/S216,0))*VLOOKUP(B216,'2-Kosten per locatie'!$A$14:$C$61,3,FALSE)</f>
        <v>#DIV/0!</v>
      </c>
      <c r="Q216" s="410">
        <f>IF(N216&gt;0,N216*K216/T216,0)*VLOOKUP(B216,'2-Kosten per locatie'!$A$14:$C$61,3,FALSE)</f>
        <v>0</v>
      </c>
      <c r="R216" s="410">
        <f>IF(O216&gt;0,O216*K216/U216,0)*VLOOKUP(B216,'2-Kosten per locatie'!$A$14:$C$61,3,FALSE)</f>
        <v>0</v>
      </c>
      <c r="S216" s="411">
        <f>IF(M216="nio",0,IF(M216&gt;0,VLOOKUP(I216,'3-Productie normen'!A:P,VLOOKUP(M216,'3-Productie normen'!$B$38:$C$48,2,FALSE),FALSE)))</f>
        <v>0</v>
      </c>
      <c r="T216" s="411">
        <f t="shared" si="18"/>
        <v>0</v>
      </c>
      <c r="U216" s="411">
        <f t="shared" si="21"/>
        <v>0</v>
      </c>
      <c r="V216" s="412"/>
      <c r="X216" s="413">
        <f t="shared" si="19"/>
        <v>4233</v>
      </c>
    </row>
    <row r="217" spans="1:24" ht="14.1" customHeight="1">
      <c r="A217" s="70">
        <f t="shared" si="20"/>
        <v>217</v>
      </c>
      <c r="B217" s="354" t="s">
        <v>44</v>
      </c>
      <c r="C217" s="354" t="s">
        <v>292</v>
      </c>
      <c r="D217" s="354" t="s">
        <v>165</v>
      </c>
      <c r="E217" s="404" t="s">
        <v>234</v>
      </c>
      <c r="F217" s="405" t="s">
        <v>377</v>
      </c>
      <c r="G217" s="207" t="s">
        <v>387</v>
      </c>
      <c r="H217" s="80" t="s">
        <v>172</v>
      </c>
      <c r="I217" s="80" t="s">
        <v>105</v>
      </c>
      <c r="J217" s="399" t="s">
        <v>173</v>
      </c>
      <c r="K217" s="407">
        <v>16.600000000000001</v>
      </c>
      <c r="L217" s="408">
        <f t="shared" si="17"/>
        <v>255</v>
      </c>
      <c r="M217" s="409">
        <v>255</v>
      </c>
      <c r="N217" s="409"/>
      <c r="O217" s="409"/>
      <c r="P217" s="410" t="e">
        <f>IF(M217="nio",0,IF(M217&gt;0,M217*K217/S217,0))*VLOOKUP(B217,'2-Kosten per locatie'!$A$14:$C$61,3,FALSE)</f>
        <v>#DIV/0!</v>
      </c>
      <c r="Q217" s="410">
        <f>IF(N217&gt;0,N217*K217/T217,0)*VLOOKUP(B217,'2-Kosten per locatie'!$A$14:$C$61,3,FALSE)</f>
        <v>0</v>
      </c>
      <c r="R217" s="410">
        <f>IF(O217&gt;0,O217*K217/U217,0)*VLOOKUP(B217,'2-Kosten per locatie'!$A$14:$C$61,3,FALSE)</f>
        <v>0</v>
      </c>
      <c r="S217" s="411">
        <f>IF(M217="nio",0,IF(M217&gt;0,VLOOKUP(I217,'3-Productie normen'!A:P,VLOOKUP(M217,'3-Productie normen'!$B$38:$C$48,2,FALSE),FALSE)))</f>
        <v>0</v>
      </c>
      <c r="T217" s="411">
        <f t="shared" si="18"/>
        <v>0</v>
      </c>
      <c r="U217" s="411">
        <f t="shared" si="21"/>
        <v>0</v>
      </c>
      <c r="V217" s="412"/>
      <c r="X217" s="413">
        <f t="shared" si="19"/>
        <v>4233</v>
      </c>
    </row>
    <row r="218" spans="1:24" ht="14.1" customHeight="1">
      <c r="A218" s="70">
        <f t="shared" si="20"/>
        <v>218</v>
      </c>
      <c r="B218" s="354" t="s">
        <v>44</v>
      </c>
      <c r="C218" s="354" t="s">
        <v>292</v>
      </c>
      <c r="D218" s="354" t="s">
        <v>165</v>
      </c>
      <c r="E218" s="404" t="s">
        <v>234</v>
      </c>
      <c r="F218" s="405" t="s">
        <v>377</v>
      </c>
      <c r="G218" s="406" t="s">
        <v>388</v>
      </c>
      <c r="H218" s="399" t="s">
        <v>172</v>
      </c>
      <c r="I218" s="399" t="s">
        <v>105</v>
      </c>
      <c r="J218" s="399" t="s">
        <v>173</v>
      </c>
      <c r="K218" s="407">
        <v>16.600000000000001</v>
      </c>
      <c r="L218" s="408">
        <f t="shared" si="17"/>
        <v>255</v>
      </c>
      <c r="M218" s="409">
        <v>255</v>
      </c>
      <c r="N218" s="409"/>
      <c r="O218" s="409"/>
      <c r="P218" s="410" t="e">
        <f>IF(M218="nio",0,IF(M218&gt;0,M218*K218/S218,0))*VLOOKUP(B218,'2-Kosten per locatie'!$A$14:$C$61,3,FALSE)</f>
        <v>#DIV/0!</v>
      </c>
      <c r="Q218" s="410">
        <f>IF(N218&gt;0,N218*K218/T218,0)*VLOOKUP(B218,'2-Kosten per locatie'!$A$14:$C$61,3,FALSE)</f>
        <v>0</v>
      </c>
      <c r="R218" s="410">
        <f>IF(O218&gt;0,O218*K218/U218,0)*VLOOKUP(B218,'2-Kosten per locatie'!$A$14:$C$61,3,FALSE)</f>
        <v>0</v>
      </c>
      <c r="S218" s="411">
        <f>IF(M218="nio",0,IF(M218&gt;0,VLOOKUP(I218,'3-Productie normen'!A:P,VLOOKUP(M218,'3-Productie normen'!$B$38:$C$48,2,FALSE),FALSE)))</f>
        <v>0</v>
      </c>
      <c r="T218" s="411">
        <f t="shared" si="18"/>
        <v>0</v>
      </c>
      <c r="U218" s="411">
        <f t="shared" si="21"/>
        <v>0</v>
      </c>
      <c r="V218" s="412"/>
      <c r="X218" s="413">
        <f t="shared" si="19"/>
        <v>4233</v>
      </c>
    </row>
    <row r="219" spans="1:24" ht="14.1" customHeight="1">
      <c r="A219" s="70">
        <f t="shared" si="20"/>
        <v>219</v>
      </c>
      <c r="B219" s="354" t="s">
        <v>44</v>
      </c>
      <c r="C219" s="354" t="s">
        <v>292</v>
      </c>
      <c r="D219" s="354" t="s">
        <v>165</v>
      </c>
      <c r="E219" s="404" t="s">
        <v>234</v>
      </c>
      <c r="F219" s="405" t="s">
        <v>377</v>
      </c>
      <c r="G219" s="406" t="s">
        <v>389</v>
      </c>
      <c r="H219" s="399" t="s">
        <v>109</v>
      </c>
      <c r="I219" s="399" t="s">
        <v>121</v>
      </c>
      <c r="J219" s="399" t="s">
        <v>173</v>
      </c>
      <c r="K219" s="407">
        <v>5.5</v>
      </c>
      <c r="L219" s="408">
        <f t="shared" si="17"/>
        <v>255</v>
      </c>
      <c r="M219" s="409">
        <v>255</v>
      </c>
      <c r="N219" s="409"/>
      <c r="O219" s="409"/>
      <c r="P219" s="410" t="e">
        <f>IF(M219="nio",0,IF(M219&gt;0,M219*K219/S219,0))*VLOOKUP(B219,'2-Kosten per locatie'!$A$14:$C$61,3,FALSE)</f>
        <v>#DIV/0!</v>
      </c>
      <c r="Q219" s="410">
        <f>IF(N219&gt;0,N219*K219/T219,0)*VLOOKUP(B219,'2-Kosten per locatie'!$A$14:$C$61,3,FALSE)</f>
        <v>0</v>
      </c>
      <c r="R219" s="410">
        <f>IF(O219&gt;0,O219*K219/U219,0)*VLOOKUP(B219,'2-Kosten per locatie'!$A$14:$C$61,3,FALSE)</f>
        <v>0</v>
      </c>
      <c r="S219" s="411">
        <f>IF(M219="nio",0,IF(M219&gt;0,VLOOKUP(I219,'3-Productie normen'!A:P,VLOOKUP(M219,'3-Productie normen'!$B$38:$C$48,2,FALSE),FALSE)))</f>
        <v>0</v>
      </c>
      <c r="T219" s="411">
        <f t="shared" si="18"/>
        <v>0</v>
      </c>
      <c r="U219" s="411">
        <f t="shared" si="21"/>
        <v>0</v>
      </c>
      <c r="V219" s="412"/>
      <c r="X219" s="413">
        <f t="shared" si="19"/>
        <v>1402.5</v>
      </c>
    </row>
    <row r="220" spans="1:24" ht="14.1" customHeight="1">
      <c r="A220" s="70">
        <f t="shared" si="20"/>
        <v>220</v>
      </c>
      <c r="B220" s="354" t="s">
        <v>44</v>
      </c>
      <c r="C220" s="354" t="s">
        <v>292</v>
      </c>
      <c r="D220" s="354" t="s">
        <v>165</v>
      </c>
      <c r="E220" s="404" t="s">
        <v>234</v>
      </c>
      <c r="F220" s="405" t="s">
        <v>377</v>
      </c>
      <c r="G220" s="406">
        <v>227</v>
      </c>
      <c r="H220" s="354" t="s">
        <v>225</v>
      </c>
      <c r="I220" s="354" t="s">
        <v>112</v>
      </c>
      <c r="J220" s="399" t="s">
        <v>173</v>
      </c>
      <c r="K220" s="414">
        <v>71.8</v>
      </c>
      <c r="L220" s="408">
        <f t="shared" si="17"/>
        <v>255</v>
      </c>
      <c r="M220" s="409">
        <v>255</v>
      </c>
      <c r="N220" s="409"/>
      <c r="O220" s="409"/>
      <c r="P220" s="410" t="e">
        <f>IF(M220="nio",0,IF(M220&gt;0,M220*K220/S220,0))*VLOOKUP(B220,'2-Kosten per locatie'!$A$14:$C$61,3,FALSE)</f>
        <v>#DIV/0!</v>
      </c>
      <c r="Q220" s="410">
        <f>IF(N220&gt;0,N220*K220/T220,0)*VLOOKUP(B220,'2-Kosten per locatie'!$A$14:$C$61,3,FALSE)</f>
        <v>0</v>
      </c>
      <c r="R220" s="410">
        <f>IF(O220&gt;0,O220*K220/U220,0)*VLOOKUP(B220,'2-Kosten per locatie'!$A$14:$C$61,3,FALSE)</f>
        <v>0</v>
      </c>
      <c r="S220" s="411">
        <f>IF(M220="nio",0,IF(M220&gt;0,VLOOKUP(I220,'3-Productie normen'!A:P,VLOOKUP(M220,'3-Productie normen'!$B$38:$C$48,2,FALSE),FALSE)))</f>
        <v>0</v>
      </c>
      <c r="T220" s="411">
        <f t="shared" si="18"/>
        <v>0</v>
      </c>
      <c r="U220" s="411">
        <f t="shared" si="21"/>
        <v>0</v>
      </c>
      <c r="V220" s="412"/>
      <c r="X220" s="413">
        <f t="shared" si="19"/>
        <v>18309</v>
      </c>
    </row>
    <row r="221" spans="1:24" ht="14.1" customHeight="1">
      <c r="A221" s="70">
        <f t="shared" si="20"/>
        <v>221</v>
      </c>
      <c r="B221" s="354" t="s">
        <v>44</v>
      </c>
      <c r="C221" s="354" t="s">
        <v>292</v>
      </c>
      <c r="D221" s="354" t="s">
        <v>165</v>
      </c>
      <c r="E221" s="404" t="s">
        <v>234</v>
      </c>
      <c r="F221" s="405" t="s">
        <v>377</v>
      </c>
      <c r="G221" s="406">
        <v>228</v>
      </c>
      <c r="H221" s="354" t="s">
        <v>225</v>
      </c>
      <c r="I221" s="354" t="s">
        <v>112</v>
      </c>
      <c r="J221" s="399" t="s">
        <v>173</v>
      </c>
      <c r="K221" s="414">
        <v>71.8</v>
      </c>
      <c r="L221" s="408">
        <f t="shared" si="17"/>
        <v>255</v>
      </c>
      <c r="M221" s="409">
        <v>255</v>
      </c>
      <c r="N221" s="409"/>
      <c r="O221" s="409"/>
      <c r="P221" s="410" t="e">
        <f>IF(M221="nio",0,IF(M221&gt;0,M221*K221/S221,0))*VLOOKUP(B221,'2-Kosten per locatie'!$A$14:$C$61,3,FALSE)</f>
        <v>#DIV/0!</v>
      </c>
      <c r="Q221" s="410">
        <f>IF(N221&gt;0,N221*K221/T221,0)*VLOOKUP(B221,'2-Kosten per locatie'!$A$14:$C$61,3,FALSE)</f>
        <v>0</v>
      </c>
      <c r="R221" s="410">
        <f>IF(O221&gt;0,O221*K221/U221,0)*VLOOKUP(B221,'2-Kosten per locatie'!$A$14:$C$61,3,FALSE)</f>
        <v>0</v>
      </c>
      <c r="S221" s="411">
        <f>IF(M221="nio",0,IF(M221&gt;0,VLOOKUP(I221,'3-Productie normen'!A:P,VLOOKUP(M221,'3-Productie normen'!$B$38:$C$48,2,FALSE),FALSE)))</f>
        <v>0</v>
      </c>
      <c r="T221" s="411">
        <f t="shared" si="18"/>
        <v>0</v>
      </c>
      <c r="U221" s="411">
        <f t="shared" si="21"/>
        <v>0</v>
      </c>
      <c r="V221" s="412"/>
      <c r="X221" s="413">
        <f t="shared" si="19"/>
        <v>18309</v>
      </c>
    </row>
    <row r="222" spans="1:24" ht="14.1" customHeight="1">
      <c r="A222" s="70">
        <f t="shared" si="20"/>
        <v>222</v>
      </c>
      <c r="B222" s="354" t="s">
        <v>44</v>
      </c>
      <c r="C222" s="354" t="s">
        <v>292</v>
      </c>
      <c r="D222" s="354" t="s">
        <v>165</v>
      </c>
      <c r="E222" s="404" t="s">
        <v>234</v>
      </c>
      <c r="F222" s="405" t="s">
        <v>377</v>
      </c>
      <c r="G222" s="406" t="s">
        <v>390</v>
      </c>
      <c r="H222" s="354" t="s">
        <v>172</v>
      </c>
      <c r="I222" s="354" t="s">
        <v>105</v>
      </c>
      <c r="J222" s="399" t="s">
        <v>173</v>
      </c>
      <c r="K222" s="414">
        <v>19</v>
      </c>
      <c r="L222" s="408">
        <f t="shared" si="17"/>
        <v>255</v>
      </c>
      <c r="M222" s="409">
        <v>255</v>
      </c>
      <c r="N222" s="409"/>
      <c r="O222" s="409"/>
      <c r="P222" s="410" t="e">
        <f>IF(M222="nio",0,IF(M222&gt;0,M222*K222/S222,0))*VLOOKUP(B222,'2-Kosten per locatie'!$A$14:$C$61,3,FALSE)</f>
        <v>#DIV/0!</v>
      </c>
      <c r="Q222" s="410">
        <f>IF(N222&gt;0,N222*K222/T222,0)*VLOOKUP(B222,'2-Kosten per locatie'!$A$14:$C$61,3,FALSE)</f>
        <v>0</v>
      </c>
      <c r="R222" s="410">
        <f>IF(O222&gt;0,O222*K222/U222,0)*VLOOKUP(B222,'2-Kosten per locatie'!$A$14:$C$61,3,FALSE)</f>
        <v>0</v>
      </c>
      <c r="S222" s="411">
        <f>IF(M222="nio",0,IF(M222&gt;0,VLOOKUP(I222,'3-Productie normen'!A:P,VLOOKUP(M222,'3-Productie normen'!$B$38:$C$48,2,FALSE),FALSE)))</f>
        <v>0</v>
      </c>
      <c r="T222" s="411">
        <f t="shared" si="18"/>
        <v>0</v>
      </c>
      <c r="U222" s="411">
        <f t="shared" si="21"/>
        <v>0</v>
      </c>
      <c r="V222" s="412"/>
      <c r="X222" s="413">
        <f t="shared" si="19"/>
        <v>4845</v>
      </c>
    </row>
    <row r="223" spans="1:24" ht="14.1" customHeight="1">
      <c r="A223" s="70">
        <f t="shared" si="20"/>
        <v>223</v>
      </c>
      <c r="B223" s="354" t="s">
        <v>44</v>
      </c>
      <c r="C223" s="354" t="s">
        <v>292</v>
      </c>
      <c r="D223" s="354" t="s">
        <v>165</v>
      </c>
      <c r="E223" s="404" t="s">
        <v>234</v>
      </c>
      <c r="F223" s="405" t="s">
        <v>377</v>
      </c>
      <c r="G223" s="406" t="s">
        <v>391</v>
      </c>
      <c r="H223" s="399" t="s">
        <v>172</v>
      </c>
      <c r="I223" s="399" t="s">
        <v>105</v>
      </c>
      <c r="J223" s="399" t="s">
        <v>173</v>
      </c>
      <c r="K223" s="414">
        <v>16</v>
      </c>
      <c r="L223" s="408">
        <f t="shared" si="17"/>
        <v>255</v>
      </c>
      <c r="M223" s="409">
        <v>255</v>
      </c>
      <c r="N223" s="409"/>
      <c r="O223" s="409"/>
      <c r="P223" s="410" t="e">
        <f>IF(M223="nio",0,IF(M223&gt;0,M223*K223/S223,0))*VLOOKUP(B223,'2-Kosten per locatie'!$A$14:$C$61,3,FALSE)</f>
        <v>#DIV/0!</v>
      </c>
      <c r="Q223" s="410">
        <f>IF(N223&gt;0,N223*K223/T223,0)*VLOOKUP(B223,'2-Kosten per locatie'!$A$14:$C$61,3,FALSE)</f>
        <v>0</v>
      </c>
      <c r="R223" s="410">
        <f>IF(O223&gt;0,O223*K223/U223,0)*VLOOKUP(B223,'2-Kosten per locatie'!$A$14:$C$61,3,FALSE)</f>
        <v>0</v>
      </c>
      <c r="S223" s="411">
        <f>IF(M223="nio",0,IF(M223&gt;0,VLOOKUP(I223,'3-Productie normen'!A:P,VLOOKUP(M223,'3-Productie normen'!$B$38:$C$48,2,FALSE),FALSE)))</f>
        <v>0</v>
      </c>
      <c r="T223" s="411">
        <f t="shared" si="18"/>
        <v>0</v>
      </c>
      <c r="U223" s="411">
        <f t="shared" si="21"/>
        <v>0</v>
      </c>
      <c r="V223" s="412"/>
      <c r="X223" s="413">
        <f t="shared" si="19"/>
        <v>4080</v>
      </c>
    </row>
    <row r="224" spans="1:24" ht="14.1" customHeight="1">
      <c r="A224" s="70">
        <f t="shared" si="20"/>
        <v>224</v>
      </c>
      <c r="B224" s="354" t="s">
        <v>44</v>
      </c>
      <c r="C224" s="354" t="s">
        <v>292</v>
      </c>
      <c r="D224" s="354" t="s">
        <v>165</v>
      </c>
      <c r="E224" s="404" t="s">
        <v>234</v>
      </c>
      <c r="F224" s="405" t="s">
        <v>377</v>
      </c>
      <c r="G224" s="406" t="s">
        <v>392</v>
      </c>
      <c r="H224" s="399" t="s">
        <v>172</v>
      </c>
      <c r="I224" s="399" t="s">
        <v>105</v>
      </c>
      <c r="J224" s="399" t="s">
        <v>173</v>
      </c>
      <c r="K224" s="414">
        <v>12.4</v>
      </c>
      <c r="L224" s="408">
        <f t="shared" si="17"/>
        <v>255</v>
      </c>
      <c r="M224" s="409">
        <v>255</v>
      </c>
      <c r="N224" s="409"/>
      <c r="O224" s="409"/>
      <c r="P224" s="410" t="e">
        <f>IF(M224="nio",0,IF(M224&gt;0,M224*K224/S224,0))*VLOOKUP(B224,'2-Kosten per locatie'!$A$14:$C$61,3,FALSE)</f>
        <v>#DIV/0!</v>
      </c>
      <c r="Q224" s="410">
        <f>IF(N224&gt;0,N224*K224/T224,0)*VLOOKUP(B224,'2-Kosten per locatie'!$A$14:$C$61,3,FALSE)</f>
        <v>0</v>
      </c>
      <c r="R224" s="410">
        <f>IF(O224&gt;0,O224*K224/U224,0)*VLOOKUP(B224,'2-Kosten per locatie'!$A$14:$C$61,3,FALSE)</f>
        <v>0</v>
      </c>
      <c r="S224" s="411">
        <f>IF(M224="nio",0,IF(M224&gt;0,VLOOKUP(I224,'3-Productie normen'!A:P,VLOOKUP(M224,'3-Productie normen'!$B$38:$C$48,2,FALSE),FALSE)))</f>
        <v>0</v>
      </c>
      <c r="T224" s="411">
        <f t="shared" si="18"/>
        <v>0</v>
      </c>
      <c r="U224" s="411">
        <f t="shared" si="21"/>
        <v>0</v>
      </c>
      <c r="V224" s="412"/>
      <c r="X224" s="413">
        <f t="shared" si="19"/>
        <v>3162</v>
      </c>
    </row>
    <row r="225" spans="1:24" ht="14.1" customHeight="1">
      <c r="A225" s="70">
        <f t="shared" si="20"/>
        <v>225</v>
      </c>
      <c r="B225" s="354" t="s">
        <v>44</v>
      </c>
      <c r="C225" s="354" t="s">
        <v>292</v>
      </c>
      <c r="D225" s="354" t="s">
        <v>165</v>
      </c>
      <c r="E225" s="404" t="s">
        <v>234</v>
      </c>
      <c r="F225" s="405" t="s">
        <v>377</v>
      </c>
      <c r="G225" s="406">
        <v>230</v>
      </c>
      <c r="H225" s="399" t="s">
        <v>172</v>
      </c>
      <c r="I225" s="399" t="s">
        <v>105</v>
      </c>
      <c r="J225" s="399" t="s">
        <v>173</v>
      </c>
      <c r="K225" s="414">
        <v>61.3</v>
      </c>
      <c r="L225" s="408">
        <f t="shared" si="17"/>
        <v>255</v>
      </c>
      <c r="M225" s="409">
        <v>255</v>
      </c>
      <c r="N225" s="409"/>
      <c r="O225" s="409"/>
      <c r="P225" s="410" t="e">
        <f>IF(M225="nio",0,IF(M225&gt;0,M225*K225/S225,0))*VLOOKUP(B225,'2-Kosten per locatie'!$A$14:$C$61,3,FALSE)</f>
        <v>#DIV/0!</v>
      </c>
      <c r="Q225" s="410">
        <f>IF(N225&gt;0,N225*K225/T225,0)*VLOOKUP(B225,'2-Kosten per locatie'!$A$14:$C$61,3,FALSE)</f>
        <v>0</v>
      </c>
      <c r="R225" s="410">
        <f>IF(O225&gt;0,O225*K225/U225,0)*VLOOKUP(B225,'2-Kosten per locatie'!$A$14:$C$61,3,FALSE)</f>
        <v>0</v>
      </c>
      <c r="S225" s="411">
        <f>IF(M225="nio",0,IF(M225&gt;0,VLOOKUP(I225,'3-Productie normen'!A:P,VLOOKUP(M225,'3-Productie normen'!$B$38:$C$48,2,FALSE),FALSE)))</f>
        <v>0</v>
      </c>
      <c r="T225" s="411">
        <f t="shared" si="18"/>
        <v>0</v>
      </c>
      <c r="U225" s="411">
        <f t="shared" si="21"/>
        <v>0</v>
      </c>
      <c r="V225" s="412"/>
      <c r="X225" s="413">
        <f t="shared" si="19"/>
        <v>15631.5</v>
      </c>
    </row>
    <row r="226" spans="1:24" ht="14.1" customHeight="1">
      <c r="A226" s="70">
        <f t="shared" si="20"/>
        <v>226</v>
      </c>
      <c r="B226" s="354" t="s">
        <v>44</v>
      </c>
      <c r="C226" s="354" t="s">
        <v>292</v>
      </c>
      <c r="D226" s="354" t="s">
        <v>165</v>
      </c>
      <c r="E226" s="404" t="s">
        <v>234</v>
      </c>
      <c r="F226" s="405" t="s">
        <v>377</v>
      </c>
      <c r="G226" s="406" t="s">
        <v>393</v>
      </c>
      <c r="H226" s="399" t="s">
        <v>172</v>
      </c>
      <c r="I226" s="399" t="s">
        <v>105</v>
      </c>
      <c r="J226" s="399" t="s">
        <v>173</v>
      </c>
      <c r="K226" s="414">
        <v>9.6999999999999993</v>
      </c>
      <c r="L226" s="408">
        <f t="shared" si="17"/>
        <v>255</v>
      </c>
      <c r="M226" s="409">
        <v>255</v>
      </c>
      <c r="N226" s="409"/>
      <c r="O226" s="409"/>
      <c r="P226" s="410" t="e">
        <f>IF(M226="nio",0,IF(M226&gt;0,M226*K226/S226,0))*VLOOKUP(B226,'2-Kosten per locatie'!$A$14:$C$61,3,FALSE)</f>
        <v>#DIV/0!</v>
      </c>
      <c r="Q226" s="410">
        <f>IF(N226&gt;0,N226*K226/T226,0)*VLOOKUP(B226,'2-Kosten per locatie'!$A$14:$C$61,3,FALSE)</f>
        <v>0</v>
      </c>
      <c r="R226" s="410">
        <f>IF(O226&gt;0,O226*K226/U226,0)*VLOOKUP(B226,'2-Kosten per locatie'!$A$14:$C$61,3,FALSE)</f>
        <v>0</v>
      </c>
      <c r="S226" s="411">
        <f>IF(M226="nio",0,IF(M226&gt;0,VLOOKUP(I226,'3-Productie normen'!A:P,VLOOKUP(M226,'3-Productie normen'!$B$38:$C$48,2,FALSE),FALSE)))</f>
        <v>0</v>
      </c>
      <c r="T226" s="411">
        <f t="shared" si="18"/>
        <v>0</v>
      </c>
      <c r="U226" s="411">
        <f t="shared" si="21"/>
        <v>0</v>
      </c>
      <c r="V226" s="412"/>
      <c r="X226" s="413">
        <f t="shared" si="19"/>
        <v>2473.5</v>
      </c>
    </row>
    <row r="227" spans="1:24" ht="14.1" customHeight="1">
      <c r="A227" s="70">
        <f t="shared" si="20"/>
        <v>227</v>
      </c>
      <c r="B227" s="354" t="s">
        <v>44</v>
      </c>
      <c r="C227" s="354" t="s">
        <v>292</v>
      </c>
      <c r="D227" s="354" t="s">
        <v>165</v>
      </c>
      <c r="E227" s="404" t="s">
        <v>234</v>
      </c>
      <c r="F227" s="405" t="s">
        <v>377</v>
      </c>
      <c r="G227" s="406">
        <v>231</v>
      </c>
      <c r="H227" s="354" t="s">
        <v>172</v>
      </c>
      <c r="I227" s="354" t="s">
        <v>105</v>
      </c>
      <c r="J227" s="399" t="s">
        <v>173</v>
      </c>
      <c r="K227" s="414">
        <v>58.5</v>
      </c>
      <c r="L227" s="408">
        <f t="shared" si="17"/>
        <v>255</v>
      </c>
      <c r="M227" s="409">
        <v>255</v>
      </c>
      <c r="N227" s="409"/>
      <c r="O227" s="409"/>
      <c r="P227" s="410" t="e">
        <f>IF(M227="nio",0,IF(M227&gt;0,M227*K227/S227,0))*VLOOKUP(B227,'2-Kosten per locatie'!$A$14:$C$61,3,FALSE)</f>
        <v>#DIV/0!</v>
      </c>
      <c r="Q227" s="410">
        <f>IF(N227&gt;0,N227*K227/T227,0)*VLOOKUP(B227,'2-Kosten per locatie'!$A$14:$C$61,3,FALSE)</f>
        <v>0</v>
      </c>
      <c r="R227" s="410">
        <f>IF(O227&gt;0,O227*K227/U227,0)*VLOOKUP(B227,'2-Kosten per locatie'!$A$14:$C$61,3,FALSE)</f>
        <v>0</v>
      </c>
      <c r="S227" s="411">
        <f>IF(M227="nio",0,IF(M227&gt;0,VLOOKUP(I227,'3-Productie normen'!A:P,VLOOKUP(M227,'3-Productie normen'!$B$38:$C$48,2,FALSE),FALSE)))</f>
        <v>0</v>
      </c>
      <c r="T227" s="411">
        <f t="shared" si="18"/>
        <v>0</v>
      </c>
      <c r="U227" s="411">
        <f t="shared" si="21"/>
        <v>0</v>
      </c>
      <c r="V227" s="412"/>
      <c r="X227" s="413">
        <f t="shared" si="19"/>
        <v>14917.5</v>
      </c>
    </row>
    <row r="228" spans="1:24" ht="14.1" customHeight="1">
      <c r="A228" s="70">
        <f t="shared" si="20"/>
        <v>228</v>
      </c>
      <c r="B228" s="354" t="s">
        <v>44</v>
      </c>
      <c r="C228" s="354" t="s">
        <v>292</v>
      </c>
      <c r="D228" s="354" t="s">
        <v>165</v>
      </c>
      <c r="E228" s="404" t="s">
        <v>234</v>
      </c>
      <c r="F228" s="405" t="s">
        <v>377</v>
      </c>
      <c r="G228" s="406">
        <v>232</v>
      </c>
      <c r="H228" s="354" t="s">
        <v>172</v>
      </c>
      <c r="I228" s="354" t="s">
        <v>105</v>
      </c>
      <c r="J228" s="399" t="s">
        <v>173</v>
      </c>
      <c r="K228" s="414">
        <v>17.7</v>
      </c>
      <c r="L228" s="408">
        <f t="shared" si="17"/>
        <v>255</v>
      </c>
      <c r="M228" s="409">
        <v>255</v>
      </c>
      <c r="N228" s="409"/>
      <c r="O228" s="409"/>
      <c r="P228" s="410" t="e">
        <f>IF(M228="nio",0,IF(M228&gt;0,M228*K228/S228,0))*VLOOKUP(B228,'2-Kosten per locatie'!$A$14:$C$61,3,FALSE)</f>
        <v>#DIV/0!</v>
      </c>
      <c r="Q228" s="410">
        <f>IF(N228&gt;0,N228*K228/T228,0)*VLOOKUP(B228,'2-Kosten per locatie'!$A$14:$C$61,3,FALSE)</f>
        <v>0</v>
      </c>
      <c r="R228" s="410">
        <f>IF(O228&gt;0,O228*K228/U228,0)*VLOOKUP(B228,'2-Kosten per locatie'!$A$14:$C$61,3,FALSE)</f>
        <v>0</v>
      </c>
      <c r="S228" s="411">
        <f>IF(M228="nio",0,IF(M228&gt;0,VLOOKUP(I228,'3-Productie normen'!A:P,VLOOKUP(M228,'3-Productie normen'!$B$38:$C$48,2,FALSE),FALSE)))</f>
        <v>0</v>
      </c>
      <c r="T228" s="411">
        <f t="shared" si="18"/>
        <v>0</v>
      </c>
      <c r="U228" s="411">
        <f t="shared" si="21"/>
        <v>0</v>
      </c>
      <c r="V228" s="412"/>
      <c r="X228" s="413">
        <f t="shared" si="19"/>
        <v>4513.5</v>
      </c>
    </row>
    <row r="229" spans="1:24" ht="14.1" customHeight="1">
      <c r="A229" s="70">
        <f t="shared" si="20"/>
        <v>229</v>
      </c>
      <c r="B229" s="354" t="s">
        <v>44</v>
      </c>
      <c r="C229" s="354" t="s">
        <v>292</v>
      </c>
      <c r="D229" s="354" t="s">
        <v>165</v>
      </c>
      <c r="E229" s="404" t="s">
        <v>234</v>
      </c>
      <c r="F229" s="405" t="s">
        <v>377</v>
      </c>
      <c r="G229" s="406">
        <v>233</v>
      </c>
      <c r="H229" s="354" t="s">
        <v>172</v>
      </c>
      <c r="I229" s="354" t="s">
        <v>105</v>
      </c>
      <c r="J229" s="399" t="s">
        <v>173</v>
      </c>
      <c r="K229" s="414">
        <v>34.1</v>
      </c>
      <c r="L229" s="408">
        <f t="shared" si="17"/>
        <v>255</v>
      </c>
      <c r="M229" s="409">
        <v>255</v>
      </c>
      <c r="N229" s="409"/>
      <c r="O229" s="409"/>
      <c r="P229" s="410" t="e">
        <f>IF(M229="nio",0,IF(M229&gt;0,M229*K229/S229,0))*VLOOKUP(B229,'2-Kosten per locatie'!$A$14:$C$61,3,FALSE)</f>
        <v>#DIV/0!</v>
      </c>
      <c r="Q229" s="410">
        <f>IF(N229&gt;0,N229*K229/T229,0)*VLOOKUP(B229,'2-Kosten per locatie'!$A$14:$C$61,3,FALSE)</f>
        <v>0</v>
      </c>
      <c r="R229" s="410">
        <f>IF(O229&gt;0,O229*K229/U229,0)*VLOOKUP(B229,'2-Kosten per locatie'!$A$14:$C$61,3,FALSE)</f>
        <v>0</v>
      </c>
      <c r="S229" s="411">
        <f>IF(M229="nio",0,IF(M229&gt;0,VLOOKUP(I229,'3-Productie normen'!A:P,VLOOKUP(M229,'3-Productie normen'!$B$38:$C$48,2,FALSE),FALSE)))</f>
        <v>0</v>
      </c>
      <c r="T229" s="411">
        <f t="shared" si="18"/>
        <v>0</v>
      </c>
      <c r="U229" s="411">
        <f t="shared" si="21"/>
        <v>0</v>
      </c>
      <c r="V229" s="412"/>
      <c r="X229" s="413">
        <f t="shared" si="19"/>
        <v>8695.5</v>
      </c>
    </row>
    <row r="230" spans="1:24" ht="14.1" customHeight="1">
      <c r="A230" s="70">
        <f t="shared" si="20"/>
        <v>230</v>
      </c>
      <c r="B230" s="354" t="s">
        <v>44</v>
      </c>
      <c r="C230" s="354" t="s">
        <v>292</v>
      </c>
      <c r="D230" s="354" t="s">
        <v>165</v>
      </c>
      <c r="E230" s="404" t="s">
        <v>234</v>
      </c>
      <c r="F230" s="405" t="s">
        <v>377</v>
      </c>
      <c r="G230" s="406">
        <v>234</v>
      </c>
      <c r="H230" s="399" t="s">
        <v>172</v>
      </c>
      <c r="I230" s="399" t="s">
        <v>105</v>
      </c>
      <c r="J230" s="399" t="s">
        <v>173</v>
      </c>
      <c r="K230" s="414">
        <v>16.8</v>
      </c>
      <c r="L230" s="408">
        <f t="shared" si="17"/>
        <v>255</v>
      </c>
      <c r="M230" s="409">
        <v>255</v>
      </c>
      <c r="N230" s="409"/>
      <c r="O230" s="409"/>
      <c r="P230" s="410" t="e">
        <f>IF(M230="nio",0,IF(M230&gt;0,M230*K230/S230,0))*VLOOKUP(B230,'2-Kosten per locatie'!$A$14:$C$61,3,FALSE)</f>
        <v>#DIV/0!</v>
      </c>
      <c r="Q230" s="410">
        <f>IF(N230&gt;0,N230*K230/T230,0)*VLOOKUP(B230,'2-Kosten per locatie'!$A$14:$C$61,3,FALSE)</f>
        <v>0</v>
      </c>
      <c r="R230" s="410">
        <f>IF(O230&gt;0,O230*K230/U230,0)*VLOOKUP(B230,'2-Kosten per locatie'!$A$14:$C$61,3,FALSE)</f>
        <v>0</v>
      </c>
      <c r="S230" s="411">
        <f>IF(M230="nio",0,IF(M230&gt;0,VLOOKUP(I230,'3-Productie normen'!A:P,VLOOKUP(M230,'3-Productie normen'!$B$38:$C$48,2,FALSE),FALSE)))</f>
        <v>0</v>
      </c>
      <c r="T230" s="411">
        <f t="shared" si="18"/>
        <v>0</v>
      </c>
      <c r="U230" s="411">
        <f t="shared" si="21"/>
        <v>0</v>
      </c>
      <c r="V230" s="412"/>
      <c r="X230" s="413">
        <f t="shared" si="19"/>
        <v>4284</v>
      </c>
    </row>
    <row r="231" spans="1:24" ht="14.1" customHeight="1">
      <c r="A231" s="70">
        <f t="shared" si="20"/>
        <v>231</v>
      </c>
      <c r="B231" s="354" t="s">
        <v>44</v>
      </c>
      <c r="C231" s="354" t="s">
        <v>292</v>
      </c>
      <c r="D231" s="354" t="s">
        <v>165</v>
      </c>
      <c r="E231" s="404" t="s">
        <v>234</v>
      </c>
      <c r="F231" s="405" t="s">
        <v>377</v>
      </c>
      <c r="G231" s="406">
        <v>235</v>
      </c>
      <c r="H231" s="399" t="s">
        <v>172</v>
      </c>
      <c r="I231" s="399" t="s">
        <v>105</v>
      </c>
      <c r="J231" s="399" t="s">
        <v>173</v>
      </c>
      <c r="K231" s="414">
        <v>25.3</v>
      </c>
      <c r="L231" s="408">
        <f t="shared" si="17"/>
        <v>255</v>
      </c>
      <c r="M231" s="409">
        <v>255</v>
      </c>
      <c r="N231" s="409"/>
      <c r="O231" s="409"/>
      <c r="P231" s="410" t="e">
        <f>IF(M231="nio",0,IF(M231&gt;0,M231*K231/S231,0))*VLOOKUP(B231,'2-Kosten per locatie'!$A$14:$C$61,3,FALSE)</f>
        <v>#DIV/0!</v>
      </c>
      <c r="Q231" s="410">
        <f>IF(N231&gt;0,N231*K231/T231,0)*VLOOKUP(B231,'2-Kosten per locatie'!$A$14:$C$61,3,FALSE)</f>
        <v>0</v>
      </c>
      <c r="R231" s="410">
        <f>IF(O231&gt;0,O231*K231/U231,0)*VLOOKUP(B231,'2-Kosten per locatie'!$A$14:$C$61,3,FALSE)</f>
        <v>0</v>
      </c>
      <c r="S231" s="411">
        <f>IF(M231="nio",0,IF(M231&gt;0,VLOOKUP(I231,'3-Productie normen'!A:P,VLOOKUP(M231,'3-Productie normen'!$B$38:$C$48,2,FALSE),FALSE)))</f>
        <v>0</v>
      </c>
      <c r="T231" s="411">
        <f t="shared" si="18"/>
        <v>0</v>
      </c>
      <c r="U231" s="411">
        <f t="shared" si="21"/>
        <v>0</v>
      </c>
      <c r="V231" s="412"/>
      <c r="X231" s="413">
        <f t="shared" si="19"/>
        <v>6451.5</v>
      </c>
    </row>
    <row r="232" spans="1:24" ht="14.1" customHeight="1">
      <c r="A232" s="70">
        <f t="shared" si="20"/>
        <v>232</v>
      </c>
      <c r="B232" s="354" t="s">
        <v>44</v>
      </c>
      <c r="C232" s="354" t="s">
        <v>292</v>
      </c>
      <c r="D232" s="354" t="s">
        <v>165</v>
      </c>
      <c r="E232" s="404" t="s">
        <v>234</v>
      </c>
      <c r="F232" s="405" t="s">
        <v>377</v>
      </c>
      <c r="G232" s="406" t="s">
        <v>394</v>
      </c>
      <c r="H232" s="399" t="s">
        <v>172</v>
      </c>
      <c r="I232" s="399" t="s">
        <v>105</v>
      </c>
      <c r="J232" s="399" t="s">
        <v>173</v>
      </c>
      <c r="K232" s="414">
        <v>12.5</v>
      </c>
      <c r="L232" s="408">
        <f t="shared" si="17"/>
        <v>255</v>
      </c>
      <c r="M232" s="409">
        <v>255</v>
      </c>
      <c r="N232" s="409"/>
      <c r="O232" s="409"/>
      <c r="P232" s="410" t="e">
        <f>IF(M232="nio",0,IF(M232&gt;0,M232*K232/S232,0))*VLOOKUP(B232,'2-Kosten per locatie'!$A$14:$C$61,3,FALSE)</f>
        <v>#DIV/0!</v>
      </c>
      <c r="Q232" s="410">
        <f>IF(N232&gt;0,N232*K232/T232,0)*VLOOKUP(B232,'2-Kosten per locatie'!$A$14:$C$61,3,FALSE)</f>
        <v>0</v>
      </c>
      <c r="R232" s="410">
        <f>IF(O232&gt;0,O232*K232/U232,0)*VLOOKUP(B232,'2-Kosten per locatie'!$A$14:$C$61,3,FALSE)</f>
        <v>0</v>
      </c>
      <c r="S232" s="411">
        <f>IF(M232="nio",0,IF(M232&gt;0,VLOOKUP(I232,'3-Productie normen'!A:P,VLOOKUP(M232,'3-Productie normen'!$B$38:$C$48,2,FALSE),FALSE)))</f>
        <v>0</v>
      </c>
      <c r="T232" s="411">
        <f t="shared" si="18"/>
        <v>0</v>
      </c>
      <c r="U232" s="411">
        <f t="shared" si="21"/>
        <v>0</v>
      </c>
      <c r="V232" s="412"/>
      <c r="X232" s="413">
        <f t="shared" si="19"/>
        <v>3187.5</v>
      </c>
    </row>
    <row r="233" spans="1:24" ht="14.1" customHeight="1">
      <c r="A233" s="70">
        <f t="shared" si="20"/>
        <v>233</v>
      </c>
      <c r="B233" s="354" t="s">
        <v>44</v>
      </c>
      <c r="C233" s="354" t="s">
        <v>292</v>
      </c>
      <c r="D233" s="354" t="s">
        <v>165</v>
      </c>
      <c r="E233" s="404" t="s">
        <v>234</v>
      </c>
      <c r="F233" s="405" t="s">
        <v>377</v>
      </c>
      <c r="G233" s="406">
        <v>236</v>
      </c>
      <c r="H233" s="399" t="s">
        <v>172</v>
      </c>
      <c r="I233" s="399" t="s">
        <v>105</v>
      </c>
      <c r="J233" s="399" t="s">
        <v>173</v>
      </c>
      <c r="K233" s="414">
        <v>35.1</v>
      </c>
      <c r="L233" s="408">
        <f t="shared" si="17"/>
        <v>255</v>
      </c>
      <c r="M233" s="409">
        <v>255</v>
      </c>
      <c r="N233" s="409"/>
      <c r="O233" s="409"/>
      <c r="P233" s="410" t="e">
        <f>IF(M233="nio",0,IF(M233&gt;0,M233*K233/S233,0))*VLOOKUP(B233,'2-Kosten per locatie'!$A$14:$C$61,3,FALSE)</f>
        <v>#DIV/0!</v>
      </c>
      <c r="Q233" s="410">
        <f>IF(N233&gt;0,N233*K233/T233,0)*VLOOKUP(B233,'2-Kosten per locatie'!$A$14:$C$61,3,FALSE)</f>
        <v>0</v>
      </c>
      <c r="R233" s="410">
        <f>IF(O233&gt;0,O233*K233/U233,0)*VLOOKUP(B233,'2-Kosten per locatie'!$A$14:$C$61,3,FALSE)</f>
        <v>0</v>
      </c>
      <c r="S233" s="411">
        <f>IF(M233="nio",0,IF(M233&gt;0,VLOOKUP(I233,'3-Productie normen'!A:P,VLOOKUP(M233,'3-Productie normen'!$B$38:$C$48,2,FALSE),FALSE)))</f>
        <v>0</v>
      </c>
      <c r="T233" s="411">
        <f t="shared" si="18"/>
        <v>0</v>
      </c>
      <c r="U233" s="411">
        <f t="shared" si="21"/>
        <v>0</v>
      </c>
      <c r="V233" s="412"/>
      <c r="X233" s="413">
        <f t="shared" si="19"/>
        <v>8950.5</v>
      </c>
    </row>
    <row r="234" spans="1:24" ht="14.1" customHeight="1">
      <c r="A234" s="70">
        <f t="shared" si="20"/>
        <v>234</v>
      </c>
      <c r="B234" s="354" t="s">
        <v>44</v>
      </c>
      <c r="C234" s="354" t="s">
        <v>292</v>
      </c>
      <c r="D234" s="354" t="s">
        <v>165</v>
      </c>
      <c r="E234" s="404" t="s">
        <v>234</v>
      </c>
      <c r="F234" s="405" t="s">
        <v>377</v>
      </c>
      <c r="G234" s="406" t="s">
        <v>395</v>
      </c>
      <c r="H234" s="341" t="s">
        <v>172</v>
      </c>
      <c r="I234" s="341" t="s">
        <v>105</v>
      </c>
      <c r="J234" s="399" t="s">
        <v>173</v>
      </c>
      <c r="K234" s="414">
        <v>10.9</v>
      </c>
      <c r="L234" s="408">
        <f t="shared" si="17"/>
        <v>255</v>
      </c>
      <c r="M234" s="409">
        <v>255</v>
      </c>
      <c r="N234" s="409"/>
      <c r="O234" s="409"/>
      <c r="P234" s="410" t="e">
        <f>IF(M234="nio",0,IF(M234&gt;0,M234*K234/S234,0))*VLOOKUP(B234,'2-Kosten per locatie'!$A$14:$C$61,3,FALSE)</f>
        <v>#DIV/0!</v>
      </c>
      <c r="Q234" s="410">
        <f>IF(N234&gt;0,N234*K234/T234,0)*VLOOKUP(B234,'2-Kosten per locatie'!$A$14:$C$61,3,FALSE)</f>
        <v>0</v>
      </c>
      <c r="R234" s="410">
        <f>IF(O234&gt;0,O234*K234/U234,0)*VLOOKUP(B234,'2-Kosten per locatie'!$A$14:$C$61,3,FALSE)</f>
        <v>0</v>
      </c>
      <c r="S234" s="411">
        <f>IF(M234="nio",0,IF(M234&gt;0,VLOOKUP(I234,'3-Productie normen'!A:P,VLOOKUP(M234,'3-Productie normen'!$B$38:$C$48,2,FALSE),FALSE)))</f>
        <v>0</v>
      </c>
      <c r="T234" s="411">
        <f t="shared" si="18"/>
        <v>0</v>
      </c>
      <c r="U234" s="411">
        <f t="shared" si="21"/>
        <v>0</v>
      </c>
      <c r="V234" s="412"/>
      <c r="X234" s="413">
        <f t="shared" si="19"/>
        <v>2779.5</v>
      </c>
    </row>
    <row r="235" spans="1:24" ht="14.1" customHeight="1">
      <c r="A235" s="70">
        <f t="shared" si="20"/>
        <v>235</v>
      </c>
      <c r="B235" s="354" t="s">
        <v>44</v>
      </c>
      <c r="C235" s="354" t="s">
        <v>292</v>
      </c>
      <c r="D235" s="354" t="s">
        <v>165</v>
      </c>
      <c r="E235" s="404" t="s">
        <v>234</v>
      </c>
      <c r="F235" s="405" t="s">
        <v>377</v>
      </c>
      <c r="G235" s="406" t="s">
        <v>396</v>
      </c>
      <c r="H235" s="399" t="s">
        <v>172</v>
      </c>
      <c r="I235" s="399" t="s">
        <v>105</v>
      </c>
      <c r="J235" s="228" t="s">
        <v>173</v>
      </c>
      <c r="K235" s="414">
        <v>20.8</v>
      </c>
      <c r="L235" s="408">
        <f t="shared" si="17"/>
        <v>255</v>
      </c>
      <c r="M235" s="409">
        <v>255</v>
      </c>
      <c r="N235" s="409"/>
      <c r="O235" s="409"/>
      <c r="P235" s="410" t="e">
        <f>IF(M235="nio",0,IF(M235&gt;0,M235*K235/S235,0))*VLOOKUP(B235,'2-Kosten per locatie'!$A$14:$C$61,3,FALSE)</f>
        <v>#DIV/0!</v>
      </c>
      <c r="Q235" s="410">
        <f>IF(N235&gt;0,N235*K235/T235,0)*VLOOKUP(B235,'2-Kosten per locatie'!$A$14:$C$61,3,FALSE)</f>
        <v>0</v>
      </c>
      <c r="R235" s="410">
        <f>IF(O235&gt;0,O235*K235/U235,0)*VLOOKUP(B235,'2-Kosten per locatie'!$A$14:$C$61,3,FALSE)</f>
        <v>0</v>
      </c>
      <c r="S235" s="411">
        <f>IF(M235="nio",0,IF(M235&gt;0,VLOOKUP(I235,'3-Productie normen'!A:P,VLOOKUP(M235,'3-Productie normen'!$B$38:$C$48,2,FALSE),FALSE)))</f>
        <v>0</v>
      </c>
      <c r="T235" s="411">
        <f t="shared" si="18"/>
        <v>0</v>
      </c>
      <c r="U235" s="411">
        <f t="shared" si="21"/>
        <v>0</v>
      </c>
      <c r="V235" s="412"/>
      <c r="X235" s="413">
        <f t="shared" si="19"/>
        <v>5304</v>
      </c>
    </row>
    <row r="236" spans="1:24" ht="14.1" customHeight="1">
      <c r="A236" s="70">
        <f t="shared" si="20"/>
        <v>236</v>
      </c>
      <c r="B236" s="354" t="s">
        <v>44</v>
      </c>
      <c r="C236" s="354" t="s">
        <v>292</v>
      </c>
      <c r="D236" s="354" t="s">
        <v>165</v>
      </c>
      <c r="E236" s="404" t="s">
        <v>234</v>
      </c>
      <c r="F236" s="81" t="s">
        <v>377</v>
      </c>
      <c r="G236" s="207">
        <v>237</v>
      </c>
      <c r="H236" s="80" t="s">
        <v>172</v>
      </c>
      <c r="I236" s="80" t="s">
        <v>105</v>
      </c>
      <c r="J236" s="399" t="s">
        <v>173</v>
      </c>
      <c r="K236" s="414">
        <v>71.5</v>
      </c>
      <c r="L236" s="408">
        <f t="shared" ref="L236:L299" si="22">SUM(M236:O236)</f>
        <v>255</v>
      </c>
      <c r="M236" s="409">
        <v>255</v>
      </c>
      <c r="N236" s="409"/>
      <c r="O236" s="409"/>
      <c r="P236" s="410" t="e">
        <f>IF(M236="nio",0,IF(M236&gt;0,M236*K236/S236,0))*VLOOKUP(B236,'2-Kosten per locatie'!$A$14:$C$61,3,FALSE)</f>
        <v>#DIV/0!</v>
      </c>
      <c r="Q236" s="410">
        <f>IF(N236&gt;0,N236*K236/T236,0)*VLOOKUP(B236,'2-Kosten per locatie'!$A$14:$C$61,3,FALSE)</f>
        <v>0</v>
      </c>
      <c r="R236" s="410">
        <f>IF(O236&gt;0,O236*K236/U236,0)*VLOOKUP(B236,'2-Kosten per locatie'!$A$14:$C$61,3,FALSE)</f>
        <v>0</v>
      </c>
      <c r="S236" s="411">
        <f>IF(M236="nio",0,IF(M236&gt;0,VLOOKUP(I236,'3-Productie normen'!A:P,VLOOKUP(M236,'3-Productie normen'!$B$38:$C$48,2,FALSE),FALSE)))</f>
        <v>0</v>
      </c>
      <c r="T236" s="411">
        <f t="shared" si="18"/>
        <v>0</v>
      </c>
      <c r="U236" s="411">
        <f t="shared" si="21"/>
        <v>0</v>
      </c>
      <c r="V236" s="412"/>
      <c r="X236" s="413">
        <f t="shared" si="19"/>
        <v>18232.5</v>
      </c>
    </row>
    <row r="237" spans="1:24" ht="14.1" customHeight="1">
      <c r="A237" s="70">
        <f t="shared" si="20"/>
        <v>237</v>
      </c>
      <c r="B237" s="354" t="s">
        <v>44</v>
      </c>
      <c r="C237" s="354" t="s">
        <v>292</v>
      </c>
      <c r="D237" s="354" t="s">
        <v>165</v>
      </c>
      <c r="E237" s="404" t="s">
        <v>234</v>
      </c>
      <c r="F237" s="405" t="s">
        <v>377</v>
      </c>
      <c r="G237" s="406" t="s">
        <v>397</v>
      </c>
      <c r="H237" s="399" t="s">
        <v>172</v>
      </c>
      <c r="I237" s="399" t="s">
        <v>105</v>
      </c>
      <c r="J237" s="399" t="s">
        <v>173</v>
      </c>
      <c r="K237" s="414">
        <v>12.4</v>
      </c>
      <c r="L237" s="408">
        <f t="shared" si="22"/>
        <v>255</v>
      </c>
      <c r="M237" s="409">
        <v>255</v>
      </c>
      <c r="N237" s="409"/>
      <c r="O237" s="409"/>
      <c r="P237" s="410" t="e">
        <f>IF(M237="nio",0,IF(M237&gt;0,M237*K237/S237,0))*VLOOKUP(B237,'2-Kosten per locatie'!$A$14:$C$61,3,FALSE)</f>
        <v>#DIV/0!</v>
      </c>
      <c r="Q237" s="410">
        <f>IF(N237&gt;0,N237*K237/T237,0)*VLOOKUP(B237,'2-Kosten per locatie'!$A$14:$C$61,3,FALSE)</f>
        <v>0</v>
      </c>
      <c r="R237" s="410">
        <f>IF(O237&gt;0,O237*K237/U237,0)*VLOOKUP(B237,'2-Kosten per locatie'!$A$14:$C$61,3,FALSE)</f>
        <v>0</v>
      </c>
      <c r="S237" s="411">
        <f>IF(M237="nio",0,IF(M237&gt;0,VLOOKUP(I237,'3-Productie normen'!A:P,VLOOKUP(M237,'3-Productie normen'!$B$38:$C$48,2,FALSE),FALSE)))</f>
        <v>0</v>
      </c>
      <c r="T237" s="411">
        <f t="shared" si="18"/>
        <v>0</v>
      </c>
      <c r="U237" s="411">
        <f t="shared" si="21"/>
        <v>0</v>
      </c>
      <c r="V237" s="412"/>
      <c r="X237" s="413">
        <f t="shared" si="19"/>
        <v>3162</v>
      </c>
    </row>
    <row r="238" spans="1:24" ht="14.1" customHeight="1">
      <c r="A238" s="70">
        <f t="shared" si="20"/>
        <v>238</v>
      </c>
      <c r="B238" s="354" t="s">
        <v>44</v>
      </c>
      <c r="C238" s="354" t="s">
        <v>292</v>
      </c>
      <c r="D238" s="354" t="s">
        <v>165</v>
      </c>
      <c r="E238" s="404" t="s">
        <v>234</v>
      </c>
      <c r="F238" s="405" t="s">
        <v>377</v>
      </c>
      <c r="G238" s="406">
        <v>238</v>
      </c>
      <c r="H238" s="399" t="s">
        <v>172</v>
      </c>
      <c r="I238" s="399" t="s">
        <v>105</v>
      </c>
      <c r="J238" s="399" t="s">
        <v>173</v>
      </c>
      <c r="K238" s="414">
        <v>71.099999999999994</v>
      </c>
      <c r="L238" s="408">
        <f t="shared" si="22"/>
        <v>255</v>
      </c>
      <c r="M238" s="409">
        <v>255</v>
      </c>
      <c r="N238" s="409"/>
      <c r="O238" s="409"/>
      <c r="P238" s="410" t="e">
        <f>IF(M238="nio",0,IF(M238&gt;0,M238*K238/S238,0))*VLOOKUP(B238,'2-Kosten per locatie'!$A$14:$C$61,3,FALSE)</f>
        <v>#DIV/0!</v>
      </c>
      <c r="Q238" s="410">
        <f>IF(N238&gt;0,N238*K238/T238,0)*VLOOKUP(B238,'2-Kosten per locatie'!$A$14:$C$61,3,FALSE)</f>
        <v>0</v>
      </c>
      <c r="R238" s="410">
        <f>IF(O238&gt;0,O238*K238/U238,0)*VLOOKUP(B238,'2-Kosten per locatie'!$A$14:$C$61,3,FALSE)</f>
        <v>0</v>
      </c>
      <c r="S238" s="411">
        <f>IF(M238="nio",0,IF(M238&gt;0,VLOOKUP(I238,'3-Productie normen'!A:P,VLOOKUP(M238,'3-Productie normen'!$B$38:$C$48,2,FALSE),FALSE)))</f>
        <v>0</v>
      </c>
      <c r="T238" s="411">
        <f t="shared" si="18"/>
        <v>0</v>
      </c>
      <c r="U238" s="411">
        <f t="shared" si="21"/>
        <v>0</v>
      </c>
      <c r="V238" s="412"/>
      <c r="X238" s="413">
        <f t="shared" si="19"/>
        <v>18130.5</v>
      </c>
    </row>
    <row r="239" spans="1:24" ht="14.1" customHeight="1">
      <c r="A239" s="70">
        <f t="shared" si="20"/>
        <v>239</v>
      </c>
      <c r="B239" s="354" t="s">
        <v>44</v>
      </c>
      <c r="C239" s="354" t="s">
        <v>292</v>
      </c>
      <c r="D239" s="354" t="s">
        <v>165</v>
      </c>
      <c r="E239" s="404" t="s">
        <v>234</v>
      </c>
      <c r="F239" s="405" t="s">
        <v>377</v>
      </c>
      <c r="G239" s="406" t="s">
        <v>398</v>
      </c>
      <c r="H239" s="399" t="s">
        <v>172</v>
      </c>
      <c r="I239" s="399" t="s">
        <v>105</v>
      </c>
      <c r="J239" s="399" t="s">
        <v>173</v>
      </c>
      <c r="K239" s="414">
        <v>15.5</v>
      </c>
      <c r="L239" s="408">
        <f t="shared" si="22"/>
        <v>255</v>
      </c>
      <c r="M239" s="409">
        <v>255</v>
      </c>
      <c r="N239" s="409"/>
      <c r="O239" s="409"/>
      <c r="P239" s="410" t="e">
        <f>IF(M239="nio",0,IF(M239&gt;0,M239*K239/S239,0))*VLOOKUP(B239,'2-Kosten per locatie'!$A$14:$C$61,3,FALSE)</f>
        <v>#DIV/0!</v>
      </c>
      <c r="Q239" s="410">
        <f>IF(N239&gt;0,N239*K239/T239,0)*VLOOKUP(B239,'2-Kosten per locatie'!$A$14:$C$61,3,FALSE)</f>
        <v>0</v>
      </c>
      <c r="R239" s="410">
        <f>IF(O239&gt;0,O239*K239/U239,0)*VLOOKUP(B239,'2-Kosten per locatie'!$A$14:$C$61,3,FALSE)</f>
        <v>0</v>
      </c>
      <c r="S239" s="411">
        <f>IF(M239="nio",0,IF(M239&gt;0,VLOOKUP(I239,'3-Productie normen'!A:P,VLOOKUP(M239,'3-Productie normen'!$B$38:$C$48,2,FALSE),FALSE)))</f>
        <v>0</v>
      </c>
      <c r="T239" s="411">
        <f t="shared" si="18"/>
        <v>0</v>
      </c>
      <c r="U239" s="411">
        <f t="shared" si="21"/>
        <v>0</v>
      </c>
      <c r="V239" s="412"/>
      <c r="X239" s="413">
        <f t="shared" si="19"/>
        <v>3952.5</v>
      </c>
    </row>
    <row r="240" spans="1:24" ht="14.1" customHeight="1">
      <c r="A240" s="70">
        <f t="shared" si="20"/>
        <v>240</v>
      </c>
      <c r="B240" s="354" t="s">
        <v>44</v>
      </c>
      <c r="C240" s="354" t="s">
        <v>292</v>
      </c>
      <c r="D240" s="354" t="s">
        <v>165</v>
      </c>
      <c r="E240" s="404" t="s">
        <v>234</v>
      </c>
      <c r="F240" s="405" t="s">
        <v>377</v>
      </c>
      <c r="G240" s="406" t="s">
        <v>399</v>
      </c>
      <c r="H240" s="399" t="s">
        <v>172</v>
      </c>
      <c r="I240" s="399" t="s">
        <v>105</v>
      </c>
      <c r="J240" s="399" t="s">
        <v>173</v>
      </c>
      <c r="K240" s="414">
        <v>14.4</v>
      </c>
      <c r="L240" s="408">
        <f t="shared" si="22"/>
        <v>255</v>
      </c>
      <c r="M240" s="409">
        <v>255</v>
      </c>
      <c r="N240" s="409"/>
      <c r="O240" s="409"/>
      <c r="P240" s="410" t="e">
        <f>IF(M240="nio",0,IF(M240&gt;0,M240*K240/S240,0))*VLOOKUP(B240,'2-Kosten per locatie'!$A$14:$C$61,3,FALSE)</f>
        <v>#DIV/0!</v>
      </c>
      <c r="Q240" s="410">
        <f>IF(N240&gt;0,N240*K240/T240,0)*VLOOKUP(B240,'2-Kosten per locatie'!$A$14:$C$61,3,FALSE)</f>
        <v>0</v>
      </c>
      <c r="R240" s="410">
        <f>IF(O240&gt;0,O240*K240/U240,0)*VLOOKUP(B240,'2-Kosten per locatie'!$A$14:$C$61,3,FALSE)</f>
        <v>0</v>
      </c>
      <c r="S240" s="411">
        <f>IF(M240="nio",0,IF(M240&gt;0,VLOOKUP(I240,'3-Productie normen'!A:P,VLOOKUP(M240,'3-Productie normen'!$B$38:$C$48,2,FALSE),FALSE)))</f>
        <v>0</v>
      </c>
      <c r="T240" s="411">
        <f t="shared" si="18"/>
        <v>0</v>
      </c>
      <c r="U240" s="411">
        <f t="shared" si="21"/>
        <v>0</v>
      </c>
      <c r="V240" s="412"/>
      <c r="X240" s="413">
        <f t="shared" si="19"/>
        <v>3672</v>
      </c>
    </row>
    <row r="241" spans="1:24" ht="14.1" customHeight="1">
      <c r="A241" s="70">
        <f t="shared" si="20"/>
        <v>241</v>
      </c>
      <c r="B241" s="354" t="s">
        <v>44</v>
      </c>
      <c r="C241" s="354" t="s">
        <v>292</v>
      </c>
      <c r="D241" s="354" t="s">
        <v>165</v>
      </c>
      <c r="E241" s="404" t="s">
        <v>234</v>
      </c>
      <c r="F241" s="405" t="s">
        <v>377</v>
      </c>
      <c r="G241" s="406" t="s">
        <v>400</v>
      </c>
      <c r="H241" s="399" t="s">
        <v>172</v>
      </c>
      <c r="I241" s="399" t="s">
        <v>105</v>
      </c>
      <c r="J241" s="399" t="s">
        <v>173</v>
      </c>
      <c r="K241" s="414">
        <v>91.2</v>
      </c>
      <c r="L241" s="408">
        <f t="shared" si="22"/>
        <v>255</v>
      </c>
      <c r="M241" s="409">
        <v>255</v>
      </c>
      <c r="N241" s="409"/>
      <c r="O241" s="409"/>
      <c r="P241" s="410" t="e">
        <f>IF(M241="nio",0,IF(M241&gt;0,M241*K241/S241,0))*VLOOKUP(B241,'2-Kosten per locatie'!$A$14:$C$61,3,FALSE)</f>
        <v>#DIV/0!</v>
      </c>
      <c r="Q241" s="410">
        <f>IF(N241&gt;0,N241*K241/T241,0)*VLOOKUP(B241,'2-Kosten per locatie'!$A$14:$C$61,3,FALSE)</f>
        <v>0</v>
      </c>
      <c r="R241" s="410">
        <f>IF(O241&gt;0,O241*K241/U241,0)*VLOOKUP(B241,'2-Kosten per locatie'!$A$14:$C$61,3,FALSE)</f>
        <v>0</v>
      </c>
      <c r="S241" s="411">
        <f>IF(M241="nio",0,IF(M241&gt;0,VLOOKUP(I241,'3-Productie normen'!A:P,VLOOKUP(M241,'3-Productie normen'!$B$38:$C$48,2,FALSE),FALSE)))</f>
        <v>0</v>
      </c>
      <c r="T241" s="411">
        <f t="shared" si="18"/>
        <v>0</v>
      </c>
      <c r="U241" s="411">
        <f t="shared" si="21"/>
        <v>0</v>
      </c>
      <c r="V241" s="412"/>
      <c r="X241" s="413">
        <f t="shared" si="19"/>
        <v>23256</v>
      </c>
    </row>
    <row r="242" spans="1:24" ht="14.1" customHeight="1">
      <c r="A242" s="70">
        <f t="shared" si="20"/>
        <v>242</v>
      </c>
      <c r="B242" s="354" t="s">
        <v>44</v>
      </c>
      <c r="C242" s="354" t="s">
        <v>292</v>
      </c>
      <c r="D242" s="354" t="s">
        <v>165</v>
      </c>
      <c r="E242" s="404" t="s">
        <v>234</v>
      </c>
      <c r="F242" s="405" t="s">
        <v>377</v>
      </c>
      <c r="G242" s="406" t="s">
        <v>401</v>
      </c>
      <c r="H242" s="399" t="s">
        <v>402</v>
      </c>
      <c r="I242" s="399" t="s">
        <v>124</v>
      </c>
      <c r="J242" s="399" t="s">
        <v>173</v>
      </c>
      <c r="K242" s="414">
        <v>15.4</v>
      </c>
      <c r="L242" s="408">
        <f t="shared" si="22"/>
        <v>0</v>
      </c>
      <c r="M242" s="409" t="s">
        <v>242</v>
      </c>
      <c r="N242" s="409"/>
      <c r="O242" s="409"/>
      <c r="P242" s="410">
        <f>IF(M242="nio",0,IF(M242&gt;0,M242*K242/S242,0))*VLOOKUP(B242,'2-Kosten per locatie'!$A$14:$C$61,3,FALSE)</f>
        <v>0</v>
      </c>
      <c r="Q242" s="410">
        <f>IF(N242&gt;0,N242*K242/T242,0)*VLOOKUP(B242,'2-Kosten per locatie'!$A$14:$C$61,3,FALSE)</f>
        <v>0</v>
      </c>
      <c r="R242" s="410">
        <f>IF(O242&gt;0,O242*K242/U242,0)*VLOOKUP(B242,'2-Kosten per locatie'!$A$14:$C$61,3,FALSE)</f>
        <v>0</v>
      </c>
      <c r="S242" s="411">
        <f>IF(M242="nio",0,IF(M242&gt;0,VLOOKUP(I242,'3-Productie normen'!A:P,VLOOKUP(M242,'3-Productie normen'!$B$38:$C$48,2,FALSE),FALSE)))</f>
        <v>0</v>
      </c>
      <c r="T242" s="411">
        <f t="shared" si="18"/>
        <v>0</v>
      </c>
      <c r="U242" s="411">
        <f t="shared" si="21"/>
        <v>0</v>
      </c>
      <c r="V242" s="412"/>
      <c r="X242" s="413">
        <f t="shared" si="19"/>
        <v>0</v>
      </c>
    </row>
    <row r="243" spans="1:24" ht="14.1" customHeight="1">
      <c r="A243" s="70">
        <f t="shared" si="20"/>
        <v>243</v>
      </c>
      <c r="B243" s="354" t="s">
        <v>44</v>
      </c>
      <c r="C243" s="354" t="s">
        <v>292</v>
      </c>
      <c r="D243" s="354" t="s">
        <v>165</v>
      </c>
      <c r="E243" s="404" t="s">
        <v>234</v>
      </c>
      <c r="F243" s="405" t="s">
        <v>377</v>
      </c>
      <c r="G243" s="406">
        <v>244</v>
      </c>
      <c r="H243" s="399" t="s">
        <v>172</v>
      </c>
      <c r="I243" s="399" t="s">
        <v>105</v>
      </c>
      <c r="J243" s="399" t="s">
        <v>173</v>
      </c>
      <c r="K243" s="414">
        <v>22.2</v>
      </c>
      <c r="L243" s="408">
        <f t="shared" si="22"/>
        <v>255</v>
      </c>
      <c r="M243" s="409">
        <v>255</v>
      </c>
      <c r="N243" s="409"/>
      <c r="O243" s="409"/>
      <c r="P243" s="410" t="e">
        <f>IF(M243="nio",0,IF(M243&gt;0,M243*K243/S243,0))*VLOOKUP(B243,'2-Kosten per locatie'!$A$14:$C$61,3,FALSE)</f>
        <v>#DIV/0!</v>
      </c>
      <c r="Q243" s="410">
        <f>IF(N243&gt;0,N243*K243/T243,0)*VLOOKUP(B243,'2-Kosten per locatie'!$A$14:$C$61,3,FALSE)</f>
        <v>0</v>
      </c>
      <c r="R243" s="410">
        <f>IF(O243&gt;0,O243*K243/U243,0)*VLOOKUP(B243,'2-Kosten per locatie'!$A$14:$C$61,3,FALSE)</f>
        <v>0</v>
      </c>
      <c r="S243" s="411">
        <f>IF(M243="nio",0,IF(M243&gt;0,VLOOKUP(I243,'3-Productie normen'!A:P,VLOOKUP(M243,'3-Productie normen'!$B$38:$C$48,2,FALSE),FALSE)))</f>
        <v>0</v>
      </c>
      <c r="T243" s="411">
        <f t="shared" si="18"/>
        <v>0</v>
      </c>
      <c r="U243" s="411">
        <f t="shared" si="21"/>
        <v>0</v>
      </c>
      <c r="V243" s="412"/>
      <c r="X243" s="413">
        <f t="shared" si="19"/>
        <v>5661</v>
      </c>
    </row>
    <row r="244" spans="1:24" ht="14.1" customHeight="1">
      <c r="A244" s="70">
        <f t="shared" si="20"/>
        <v>244</v>
      </c>
      <c r="B244" s="354" t="s">
        <v>44</v>
      </c>
      <c r="C244" s="354" t="s">
        <v>292</v>
      </c>
      <c r="D244" s="354" t="s">
        <v>165</v>
      </c>
      <c r="E244" s="404" t="s">
        <v>234</v>
      </c>
      <c r="F244" s="405" t="s">
        <v>377</v>
      </c>
      <c r="G244" s="406">
        <v>245</v>
      </c>
      <c r="H244" s="399" t="s">
        <v>172</v>
      </c>
      <c r="I244" s="399" t="s">
        <v>105</v>
      </c>
      <c r="J244" s="399" t="s">
        <v>173</v>
      </c>
      <c r="K244" s="414">
        <v>22.2</v>
      </c>
      <c r="L244" s="408">
        <f t="shared" si="22"/>
        <v>255</v>
      </c>
      <c r="M244" s="409">
        <v>255</v>
      </c>
      <c r="N244" s="409"/>
      <c r="O244" s="409"/>
      <c r="P244" s="410" t="e">
        <f>IF(M244="nio",0,IF(M244&gt;0,M244*K244/S244,0))*VLOOKUP(B244,'2-Kosten per locatie'!$A$14:$C$61,3,FALSE)</f>
        <v>#DIV/0!</v>
      </c>
      <c r="Q244" s="410">
        <f>IF(N244&gt;0,N244*K244/T244,0)*VLOOKUP(B244,'2-Kosten per locatie'!$A$14:$C$61,3,FALSE)</f>
        <v>0</v>
      </c>
      <c r="R244" s="410">
        <f>IF(O244&gt;0,O244*K244/U244,0)*VLOOKUP(B244,'2-Kosten per locatie'!$A$14:$C$61,3,FALSE)</f>
        <v>0</v>
      </c>
      <c r="S244" s="411">
        <f>IF(M244="nio",0,IF(M244&gt;0,VLOOKUP(I244,'3-Productie normen'!A:P,VLOOKUP(M244,'3-Productie normen'!$B$38:$C$48,2,FALSE),FALSE)))</f>
        <v>0</v>
      </c>
      <c r="T244" s="411">
        <f t="shared" si="18"/>
        <v>0</v>
      </c>
      <c r="U244" s="411">
        <f t="shared" si="21"/>
        <v>0</v>
      </c>
      <c r="V244" s="412"/>
      <c r="X244" s="413">
        <f t="shared" si="19"/>
        <v>5661</v>
      </c>
    </row>
    <row r="245" spans="1:24" ht="14.1" customHeight="1">
      <c r="A245" s="70">
        <f t="shared" si="20"/>
        <v>245</v>
      </c>
      <c r="B245" s="354" t="s">
        <v>44</v>
      </c>
      <c r="C245" s="354" t="s">
        <v>292</v>
      </c>
      <c r="D245" s="354" t="s">
        <v>165</v>
      </c>
      <c r="E245" s="404" t="s">
        <v>234</v>
      </c>
      <c r="F245" s="405" t="s">
        <v>377</v>
      </c>
      <c r="G245" s="406" t="s">
        <v>403</v>
      </c>
      <c r="H245" s="399" t="s">
        <v>172</v>
      </c>
      <c r="I245" s="399" t="s">
        <v>105</v>
      </c>
      <c r="J245" s="399" t="s">
        <v>173</v>
      </c>
      <c r="K245" s="414">
        <v>38.299999999999997</v>
      </c>
      <c r="L245" s="408">
        <f t="shared" si="22"/>
        <v>255</v>
      </c>
      <c r="M245" s="409">
        <v>255</v>
      </c>
      <c r="N245" s="409"/>
      <c r="O245" s="409"/>
      <c r="P245" s="410" t="e">
        <f>IF(M245="nio",0,IF(M245&gt;0,M245*K245/S245,0))*VLOOKUP(B245,'2-Kosten per locatie'!$A$14:$C$61,3,FALSE)</f>
        <v>#DIV/0!</v>
      </c>
      <c r="Q245" s="410">
        <f>IF(N245&gt;0,N245*K245/T245,0)*VLOOKUP(B245,'2-Kosten per locatie'!$A$14:$C$61,3,FALSE)</f>
        <v>0</v>
      </c>
      <c r="R245" s="410">
        <f>IF(O245&gt;0,O245*K245/U245,0)*VLOOKUP(B245,'2-Kosten per locatie'!$A$14:$C$61,3,FALSE)</f>
        <v>0</v>
      </c>
      <c r="S245" s="411">
        <f>IF(M245="nio",0,IF(M245&gt;0,VLOOKUP(I245,'3-Productie normen'!A:P,VLOOKUP(M245,'3-Productie normen'!$B$38:$C$48,2,FALSE),FALSE)))</f>
        <v>0</v>
      </c>
      <c r="T245" s="411">
        <f t="shared" si="18"/>
        <v>0</v>
      </c>
      <c r="U245" s="411">
        <f t="shared" si="21"/>
        <v>0</v>
      </c>
      <c r="V245" s="412"/>
      <c r="X245" s="413">
        <f t="shared" si="19"/>
        <v>9766.5</v>
      </c>
    </row>
    <row r="246" spans="1:24" ht="14.1" customHeight="1">
      <c r="A246" s="70">
        <f t="shared" si="20"/>
        <v>246</v>
      </c>
      <c r="B246" s="354" t="s">
        <v>44</v>
      </c>
      <c r="C246" s="354" t="s">
        <v>292</v>
      </c>
      <c r="D246" s="354" t="s">
        <v>165</v>
      </c>
      <c r="E246" s="404" t="s">
        <v>234</v>
      </c>
      <c r="F246" s="405" t="s">
        <v>377</v>
      </c>
      <c r="G246" s="406" t="s">
        <v>404</v>
      </c>
      <c r="H246" s="399" t="s">
        <v>172</v>
      </c>
      <c r="I246" s="399" t="s">
        <v>105</v>
      </c>
      <c r="J246" s="399" t="s">
        <v>173</v>
      </c>
      <c r="K246" s="414">
        <v>17.100000000000001</v>
      </c>
      <c r="L246" s="408">
        <f t="shared" si="22"/>
        <v>255</v>
      </c>
      <c r="M246" s="409">
        <v>255</v>
      </c>
      <c r="N246" s="409"/>
      <c r="O246" s="409"/>
      <c r="P246" s="410" t="e">
        <f>IF(M246="nio",0,IF(M246&gt;0,M246*K246/S246,0))*VLOOKUP(B246,'2-Kosten per locatie'!$A$14:$C$61,3,FALSE)</f>
        <v>#DIV/0!</v>
      </c>
      <c r="Q246" s="410">
        <f>IF(N246&gt;0,N246*K246/T246,0)*VLOOKUP(B246,'2-Kosten per locatie'!$A$14:$C$61,3,FALSE)</f>
        <v>0</v>
      </c>
      <c r="R246" s="410">
        <f>IF(O246&gt;0,O246*K246/U246,0)*VLOOKUP(B246,'2-Kosten per locatie'!$A$14:$C$61,3,FALSE)</f>
        <v>0</v>
      </c>
      <c r="S246" s="411">
        <f>IF(M246="nio",0,IF(M246&gt;0,VLOOKUP(I246,'3-Productie normen'!A:P,VLOOKUP(M246,'3-Productie normen'!$B$38:$C$48,2,FALSE),FALSE)))</f>
        <v>0</v>
      </c>
      <c r="T246" s="411">
        <f t="shared" si="18"/>
        <v>0</v>
      </c>
      <c r="U246" s="411">
        <f t="shared" si="21"/>
        <v>0</v>
      </c>
      <c r="V246" s="412"/>
      <c r="X246" s="413">
        <f t="shared" si="19"/>
        <v>4360.5</v>
      </c>
    </row>
    <row r="247" spans="1:24" ht="14.1" customHeight="1">
      <c r="A247" s="70">
        <f t="shared" si="20"/>
        <v>247</v>
      </c>
      <c r="B247" s="354" t="s">
        <v>44</v>
      </c>
      <c r="C247" s="354" t="s">
        <v>292</v>
      </c>
      <c r="D247" s="354" t="s">
        <v>165</v>
      </c>
      <c r="E247" s="404" t="s">
        <v>234</v>
      </c>
      <c r="F247" s="405" t="s">
        <v>377</v>
      </c>
      <c r="G247" s="406">
        <v>248</v>
      </c>
      <c r="H247" s="399" t="s">
        <v>172</v>
      </c>
      <c r="I247" s="399" t="s">
        <v>105</v>
      </c>
      <c r="J247" s="399" t="s">
        <v>173</v>
      </c>
      <c r="K247" s="414">
        <v>17.3</v>
      </c>
      <c r="L247" s="408">
        <f t="shared" si="22"/>
        <v>255</v>
      </c>
      <c r="M247" s="409">
        <v>255</v>
      </c>
      <c r="N247" s="409"/>
      <c r="O247" s="409"/>
      <c r="P247" s="410" t="e">
        <f>IF(M247="nio",0,IF(M247&gt;0,M247*K247/S247,0))*VLOOKUP(B247,'2-Kosten per locatie'!$A$14:$C$61,3,FALSE)</f>
        <v>#DIV/0!</v>
      </c>
      <c r="Q247" s="410">
        <f>IF(N247&gt;0,N247*K247/T247,0)*VLOOKUP(B247,'2-Kosten per locatie'!$A$14:$C$61,3,FALSE)</f>
        <v>0</v>
      </c>
      <c r="R247" s="410">
        <f>IF(O247&gt;0,O247*K247/U247,0)*VLOOKUP(B247,'2-Kosten per locatie'!$A$14:$C$61,3,FALSE)</f>
        <v>0</v>
      </c>
      <c r="S247" s="411">
        <f>IF(M247="nio",0,IF(M247&gt;0,VLOOKUP(I247,'3-Productie normen'!A:P,VLOOKUP(M247,'3-Productie normen'!$B$38:$C$48,2,FALSE),FALSE)))</f>
        <v>0</v>
      </c>
      <c r="T247" s="411">
        <f t="shared" si="18"/>
        <v>0</v>
      </c>
      <c r="U247" s="411">
        <f t="shared" si="21"/>
        <v>0</v>
      </c>
      <c r="V247" s="412"/>
      <c r="X247" s="413">
        <f t="shared" si="19"/>
        <v>4411.5</v>
      </c>
    </row>
    <row r="248" spans="1:24" ht="14.1" customHeight="1">
      <c r="A248" s="70">
        <f t="shared" si="20"/>
        <v>248</v>
      </c>
      <c r="B248" s="354" t="s">
        <v>44</v>
      </c>
      <c r="C248" s="354" t="s">
        <v>292</v>
      </c>
      <c r="D248" s="354" t="s">
        <v>165</v>
      </c>
      <c r="E248" s="404" t="s">
        <v>234</v>
      </c>
      <c r="F248" s="405" t="s">
        <v>377</v>
      </c>
      <c r="G248" s="406" t="s">
        <v>405</v>
      </c>
      <c r="H248" s="354" t="s">
        <v>172</v>
      </c>
      <c r="I248" s="354" t="s">
        <v>105</v>
      </c>
      <c r="J248" s="399" t="s">
        <v>173</v>
      </c>
      <c r="K248" s="414">
        <v>24.4</v>
      </c>
      <c r="L248" s="408">
        <f t="shared" si="22"/>
        <v>255</v>
      </c>
      <c r="M248" s="409">
        <v>255</v>
      </c>
      <c r="N248" s="409"/>
      <c r="O248" s="409"/>
      <c r="P248" s="410" t="e">
        <f>IF(M248="nio",0,IF(M248&gt;0,M248*K248/S248,0))*VLOOKUP(B248,'2-Kosten per locatie'!$A$14:$C$61,3,FALSE)</f>
        <v>#DIV/0!</v>
      </c>
      <c r="Q248" s="410">
        <f>IF(N248&gt;0,N248*K248/T248,0)*VLOOKUP(B248,'2-Kosten per locatie'!$A$14:$C$61,3,FALSE)</f>
        <v>0</v>
      </c>
      <c r="R248" s="410">
        <f>IF(O248&gt;0,O248*K248/U248,0)*VLOOKUP(B248,'2-Kosten per locatie'!$A$14:$C$61,3,FALSE)</f>
        <v>0</v>
      </c>
      <c r="S248" s="411">
        <f>IF(M248="nio",0,IF(M248&gt;0,VLOOKUP(I248,'3-Productie normen'!A:P,VLOOKUP(M248,'3-Productie normen'!$B$38:$C$48,2,FALSE),FALSE)))</f>
        <v>0</v>
      </c>
      <c r="T248" s="411">
        <f t="shared" si="18"/>
        <v>0</v>
      </c>
      <c r="U248" s="411">
        <f t="shared" si="21"/>
        <v>0</v>
      </c>
      <c r="V248" s="412"/>
      <c r="X248" s="413">
        <f t="shared" si="19"/>
        <v>6222</v>
      </c>
    </row>
    <row r="249" spans="1:24" ht="14.1" customHeight="1">
      <c r="A249" s="70">
        <f t="shared" si="20"/>
        <v>249</v>
      </c>
      <c r="B249" s="354" t="s">
        <v>44</v>
      </c>
      <c r="C249" s="354" t="s">
        <v>292</v>
      </c>
      <c r="D249" s="354" t="s">
        <v>165</v>
      </c>
      <c r="E249" s="404" t="s">
        <v>234</v>
      </c>
      <c r="F249" s="405" t="s">
        <v>377</v>
      </c>
      <c r="G249" s="406">
        <v>249</v>
      </c>
      <c r="H249" s="354" t="s">
        <v>172</v>
      </c>
      <c r="I249" s="354" t="s">
        <v>105</v>
      </c>
      <c r="J249" s="399" t="s">
        <v>173</v>
      </c>
      <c r="K249" s="414">
        <v>22.2</v>
      </c>
      <c r="L249" s="408">
        <f t="shared" si="22"/>
        <v>255</v>
      </c>
      <c r="M249" s="409">
        <v>255</v>
      </c>
      <c r="N249" s="409"/>
      <c r="O249" s="409"/>
      <c r="P249" s="410" t="e">
        <f>IF(M249="nio",0,IF(M249&gt;0,M249*K249/S249,0))*VLOOKUP(B249,'2-Kosten per locatie'!$A$14:$C$61,3,FALSE)</f>
        <v>#DIV/0!</v>
      </c>
      <c r="Q249" s="410">
        <f>IF(N249&gt;0,N249*K249/T249,0)*VLOOKUP(B249,'2-Kosten per locatie'!$A$14:$C$61,3,FALSE)</f>
        <v>0</v>
      </c>
      <c r="R249" s="410">
        <f>IF(O249&gt;0,O249*K249/U249,0)*VLOOKUP(B249,'2-Kosten per locatie'!$A$14:$C$61,3,FALSE)</f>
        <v>0</v>
      </c>
      <c r="S249" s="411">
        <f>IF(M249="nio",0,IF(M249&gt;0,VLOOKUP(I249,'3-Productie normen'!A:P,VLOOKUP(M249,'3-Productie normen'!$B$38:$C$48,2,FALSE),FALSE)))</f>
        <v>0</v>
      </c>
      <c r="T249" s="411">
        <f t="shared" si="18"/>
        <v>0</v>
      </c>
      <c r="U249" s="411">
        <f t="shared" si="21"/>
        <v>0</v>
      </c>
      <c r="V249" s="412"/>
      <c r="X249" s="413">
        <f t="shared" si="19"/>
        <v>5661</v>
      </c>
    </row>
    <row r="250" spans="1:24" ht="14.1" customHeight="1">
      <c r="A250" s="70">
        <f t="shared" si="20"/>
        <v>250</v>
      </c>
      <c r="B250" s="354" t="s">
        <v>44</v>
      </c>
      <c r="C250" s="354" t="s">
        <v>292</v>
      </c>
      <c r="D250" s="354" t="s">
        <v>165</v>
      </c>
      <c r="E250" s="404" t="s">
        <v>234</v>
      </c>
      <c r="F250" s="405" t="s">
        <v>377</v>
      </c>
      <c r="G250" s="406">
        <v>250</v>
      </c>
      <c r="H250" s="354" t="s">
        <v>172</v>
      </c>
      <c r="I250" s="354" t="s">
        <v>105</v>
      </c>
      <c r="J250" s="399" t="s">
        <v>173</v>
      </c>
      <c r="K250" s="414">
        <v>21.1</v>
      </c>
      <c r="L250" s="408">
        <f t="shared" si="22"/>
        <v>255</v>
      </c>
      <c r="M250" s="409">
        <v>255</v>
      </c>
      <c r="N250" s="409"/>
      <c r="O250" s="409"/>
      <c r="P250" s="410" t="e">
        <f>IF(M250="nio",0,IF(M250&gt;0,M250*K250/S250,0))*VLOOKUP(B250,'2-Kosten per locatie'!$A$14:$C$61,3,FALSE)</f>
        <v>#DIV/0!</v>
      </c>
      <c r="Q250" s="410">
        <f>IF(N250&gt;0,N250*K250/T250,0)*VLOOKUP(B250,'2-Kosten per locatie'!$A$14:$C$61,3,FALSE)</f>
        <v>0</v>
      </c>
      <c r="R250" s="410">
        <f>IF(O250&gt;0,O250*K250/U250,0)*VLOOKUP(B250,'2-Kosten per locatie'!$A$14:$C$61,3,FALSE)</f>
        <v>0</v>
      </c>
      <c r="S250" s="411">
        <f>IF(M250="nio",0,IF(M250&gt;0,VLOOKUP(I250,'3-Productie normen'!A:P,VLOOKUP(M250,'3-Productie normen'!$B$38:$C$48,2,FALSE),FALSE)))</f>
        <v>0</v>
      </c>
      <c r="T250" s="411">
        <f t="shared" si="18"/>
        <v>0</v>
      </c>
      <c r="U250" s="411">
        <f t="shared" si="21"/>
        <v>0</v>
      </c>
      <c r="V250" s="412"/>
      <c r="X250" s="413">
        <f t="shared" si="19"/>
        <v>5380.5</v>
      </c>
    </row>
    <row r="251" spans="1:24" ht="14.1" customHeight="1">
      <c r="A251" s="70">
        <f t="shared" si="20"/>
        <v>251</v>
      </c>
      <c r="B251" s="354" t="s">
        <v>44</v>
      </c>
      <c r="C251" s="354" t="s">
        <v>292</v>
      </c>
      <c r="D251" s="354" t="s">
        <v>165</v>
      </c>
      <c r="E251" s="404" t="s">
        <v>234</v>
      </c>
      <c r="F251" s="405" t="s">
        <v>377</v>
      </c>
      <c r="G251" s="406" t="s">
        <v>406</v>
      </c>
      <c r="H251" s="399" t="s">
        <v>172</v>
      </c>
      <c r="I251" s="399" t="s">
        <v>105</v>
      </c>
      <c r="J251" s="399" t="s">
        <v>171</v>
      </c>
      <c r="K251" s="414">
        <v>6</v>
      </c>
      <c r="L251" s="408">
        <f t="shared" si="22"/>
        <v>255</v>
      </c>
      <c r="M251" s="409">
        <v>255</v>
      </c>
      <c r="N251" s="409"/>
      <c r="O251" s="409"/>
      <c r="P251" s="410" t="e">
        <f>IF(M251="nio",0,IF(M251&gt;0,M251*K251/S251,0))*VLOOKUP(B251,'2-Kosten per locatie'!$A$14:$C$61,3,FALSE)</f>
        <v>#DIV/0!</v>
      </c>
      <c r="Q251" s="410">
        <f>IF(N251&gt;0,N251*K251/T251,0)*VLOOKUP(B251,'2-Kosten per locatie'!$A$14:$C$61,3,FALSE)</f>
        <v>0</v>
      </c>
      <c r="R251" s="410">
        <f>IF(O251&gt;0,O251*K251/U251,0)*VLOOKUP(B251,'2-Kosten per locatie'!$A$14:$C$61,3,FALSE)</f>
        <v>0</v>
      </c>
      <c r="S251" s="411">
        <f>IF(M251="nio",0,IF(M251&gt;0,VLOOKUP(I251,'3-Productie normen'!A:P,VLOOKUP(M251,'3-Productie normen'!$B$38:$C$48,2,FALSE),FALSE)))</f>
        <v>0</v>
      </c>
      <c r="T251" s="411">
        <f t="shared" si="18"/>
        <v>0</v>
      </c>
      <c r="U251" s="411">
        <f t="shared" si="21"/>
        <v>0</v>
      </c>
      <c r="V251" s="412"/>
      <c r="X251" s="413">
        <f t="shared" si="19"/>
        <v>1530</v>
      </c>
    </row>
    <row r="252" spans="1:24" ht="14.1" customHeight="1">
      <c r="A252" s="70">
        <f t="shared" si="20"/>
        <v>252</v>
      </c>
      <c r="B252" s="354" t="s">
        <v>44</v>
      </c>
      <c r="C252" s="354" t="s">
        <v>292</v>
      </c>
      <c r="D252" s="354" t="s">
        <v>165</v>
      </c>
      <c r="E252" s="404" t="s">
        <v>234</v>
      </c>
      <c r="F252" s="405" t="s">
        <v>377</v>
      </c>
      <c r="G252" s="406" t="s">
        <v>407</v>
      </c>
      <c r="H252" s="399" t="s">
        <v>368</v>
      </c>
      <c r="I252" s="399" t="s">
        <v>124</v>
      </c>
      <c r="J252" s="399" t="s">
        <v>171</v>
      </c>
      <c r="K252" s="414">
        <v>8</v>
      </c>
      <c r="L252" s="408">
        <f t="shared" si="22"/>
        <v>0</v>
      </c>
      <c r="M252" s="409" t="s">
        <v>242</v>
      </c>
      <c r="N252" s="409"/>
      <c r="O252" s="409"/>
      <c r="P252" s="410">
        <f>IF(M252="nio",0,IF(M252&gt;0,M252*K252/S252,0))*VLOOKUP(B252,'2-Kosten per locatie'!$A$14:$C$61,3,FALSE)</f>
        <v>0</v>
      </c>
      <c r="Q252" s="410">
        <f>IF(N252&gt;0,N252*K252/T252,0)*VLOOKUP(B252,'2-Kosten per locatie'!$A$14:$C$61,3,FALSE)</f>
        <v>0</v>
      </c>
      <c r="R252" s="410">
        <f>IF(O252&gt;0,O252*K252/U252,0)*VLOOKUP(B252,'2-Kosten per locatie'!$A$14:$C$61,3,FALSE)</f>
        <v>0</v>
      </c>
      <c r="S252" s="411">
        <f>IF(M252="nio",0,IF(M252&gt;0,VLOOKUP(I252,'3-Productie normen'!A:P,VLOOKUP(M252,'3-Productie normen'!$B$38:$C$48,2,FALSE),FALSE)))</f>
        <v>0</v>
      </c>
      <c r="T252" s="411">
        <f t="shared" si="18"/>
        <v>0</v>
      </c>
      <c r="U252" s="411">
        <f t="shared" si="21"/>
        <v>0</v>
      </c>
      <c r="V252" s="412"/>
      <c r="X252" s="413">
        <f t="shared" si="19"/>
        <v>0</v>
      </c>
    </row>
    <row r="253" spans="1:24" ht="14.1" customHeight="1">
      <c r="A253" s="70">
        <f t="shared" si="20"/>
        <v>253</v>
      </c>
      <c r="B253" s="354" t="s">
        <v>44</v>
      </c>
      <c r="C253" s="354" t="s">
        <v>292</v>
      </c>
      <c r="D253" s="354" t="s">
        <v>165</v>
      </c>
      <c r="E253" s="404" t="s">
        <v>234</v>
      </c>
      <c r="F253" s="405" t="s">
        <v>377</v>
      </c>
      <c r="G253" s="406" t="s">
        <v>408</v>
      </c>
      <c r="H253" s="399" t="s">
        <v>368</v>
      </c>
      <c r="I253" s="399" t="s">
        <v>121</v>
      </c>
      <c r="J253" s="399" t="s">
        <v>171</v>
      </c>
      <c r="K253" s="414">
        <v>5.3</v>
      </c>
      <c r="L253" s="408">
        <f t="shared" si="22"/>
        <v>255</v>
      </c>
      <c r="M253" s="409">
        <v>255</v>
      </c>
      <c r="N253" s="409"/>
      <c r="O253" s="409"/>
      <c r="P253" s="410" t="e">
        <f>IF(M253="nio",0,IF(M253&gt;0,M253*K253/S253,0))*VLOOKUP(B253,'2-Kosten per locatie'!$A$14:$C$61,3,FALSE)</f>
        <v>#DIV/0!</v>
      </c>
      <c r="Q253" s="410">
        <f>IF(N253&gt;0,N253*K253/T253,0)*VLOOKUP(B253,'2-Kosten per locatie'!$A$14:$C$61,3,FALSE)</f>
        <v>0</v>
      </c>
      <c r="R253" s="410">
        <f>IF(O253&gt;0,O253*K253/U253,0)*VLOOKUP(B253,'2-Kosten per locatie'!$A$14:$C$61,3,FALSE)</f>
        <v>0</v>
      </c>
      <c r="S253" s="411">
        <f>IF(M253="nio",0,IF(M253&gt;0,VLOOKUP(I253,'3-Productie normen'!A:P,VLOOKUP(M253,'3-Productie normen'!$B$38:$C$48,2,FALSE),FALSE)))</f>
        <v>0</v>
      </c>
      <c r="T253" s="411">
        <f t="shared" si="18"/>
        <v>0</v>
      </c>
      <c r="U253" s="411">
        <f t="shared" si="21"/>
        <v>0</v>
      </c>
      <c r="V253" s="412"/>
      <c r="X253" s="413">
        <f t="shared" si="19"/>
        <v>1351.5</v>
      </c>
    </row>
    <row r="254" spans="1:24" ht="14.1" customHeight="1">
      <c r="A254" s="70">
        <f t="shared" si="20"/>
        <v>254</v>
      </c>
      <c r="B254" s="354" t="s">
        <v>44</v>
      </c>
      <c r="C254" s="354" t="s">
        <v>292</v>
      </c>
      <c r="D254" s="354" t="s">
        <v>165</v>
      </c>
      <c r="E254" s="404" t="s">
        <v>234</v>
      </c>
      <c r="F254" s="405" t="s">
        <v>377</v>
      </c>
      <c r="G254" s="406" t="s">
        <v>409</v>
      </c>
      <c r="H254" s="399" t="s">
        <v>368</v>
      </c>
      <c r="I254" s="399" t="s">
        <v>121</v>
      </c>
      <c r="J254" s="399" t="s">
        <v>171</v>
      </c>
      <c r="K254" s="414">
        <v>3.9</v>
      </c>
      <c r="L254" s="408">
        <f t="shared" si="22"/>
        <v>255</v>
      </c>
      <c r="M254" s="409">
        <v>255</v>
      </c>
      <c r="N254" s="409"/>
      <c r="O254" s="409"/>
      <c r="P254" s="410" t="e">
        <f>IF(M254="nio",0,IF(M254&gt;0,M254*K254/S254,0))*VLOOKUP(B254,'2-Kosten per locatie'!$A$14:$C$61,3,FALSE)</f>
        <v>#DIV/0!</v>
      </c>
      <c r="Q254" s="410">
        <f>IF(N254&gt;0,N254*K254/T254,0)*VLOOKUP(B254,'2-Kosten per locatie'!$A$14:$C$61,3,FALSE)</f>
        <v>0</v>
      </c>
      <c r="R254" s="410">
        <f>IF(O254&gt;0,O254*K254/U254,0)*VLOOKUP(B254,'2-Kosten per locatie'!$A$14:$C$61,3,FALSE)</f>
        <v>0</v>
      </c>
      <c r="S254" s="411">
        <f>IF(M254="nio",0,IF(M254&gt;0,VLOOKUP(I254,'3-Productie normen'!A:P,VLOOKUP(M254,'3-Productie normen'!$B$38:$C$48,2,FALSE),FALSE)))</f>
        <v>0</v>
      </c>
      <c r="T254" s="411">
        <f t="shared" si="18"/>
        <v>0</v>
      </c>
      <c r="U254" s="411">
        <f t="shared" si="21"/>
        <v>0</v>
      </c>
      <c r="V254" s="412"/>
      <c r="X254" s="413">
        <f t="shared" si="19"/>
        <v>994.5</v>
      </c>
    </row>
    <row r="255" spans="1:24" ht="14.1" customHeight="1">
      <c r="A255" s="70">
        <f t="shared" si="20"/>
        <v>255</v>
      </c>
      <c r="B255" s="354" t="s">
        <v>44</v>
      </c>
      <c r="C255" s="354" t="s">
        <v>292</v>
      </c>
      <c r="D255" s="354" t="s">
        <v>165</v>
      </c>
      <c r="E255" s="404" t="s">
        <v>234</v>
      </c>
      <c r="F255" s="316" t="s">
        <v>377</v>
      </c>
      <c r="G255" s="208" t="s">
        <v>410</v>
      </c>
      <c r="H255" s="82" t="s">
        <v>411</v>
      </c>
      <c r="I255" s="82" t="s">
        <v>116</v>
      </c>
      <c r="J255" s="83" t="s">
        <v>185</v>
      </c>
      <c r="K255" s="202">
        <v>18.600000000000001</v>
      </c>
      <c r="L255" s="408">
        <f t="shared" si="22"/>
        <v>156</v>
      </c>
      <c r="M255" s="409">
        <v>156</v>
      </c>
      <c r="N255" s="409"/>
      <c r="O255" s="409"/>
      <c r="P255" s="410" t="e">
        <f>IF(M255="nio",0,IF(M255&gt;0,M255*K255/S255,0))*VLOOKUP(B255,'2-Kosten per locatie'!$A$14:$C$61,3,FALSE)</f>
        <v>#DIV/0!</v>
      </c>
      <c r="Q255" s="410">
        <f>IF(N255&gt;0,N255*K255/T255,0)*VLOOKUP(B255,'2-Kosten per locatie'!$A$14:$C$61,3,FALSE)</f>
        <v>0</v>
      </c>
      <c r="R255" s="410">
        <f>IF(O255&gt;0,O255*K255/U255,0)*VLOOKUP(B255,'2-Kosten per locatie'!$A$14:$C$61,3,FALSE)</f>
        <v>0</v>
      </c>
      <c r="S255" s="411">
        <f>IF(M255="nio",0,IF(M255&gt;0,VLOOKUP(I255,'3-Productie normen'!A:P,VLOOKUP(M255,'3-Productie normen'!$B$38:$C$48,2,FALSE),FALSE)))</f>
        <v>0</v>
      </c>
      <c r="T255" s="411">
        <f t="shared" si="18"/>
        <v>0</v>
      </c>
      <c r="U255" s="411">
        <f t="shared" si="21"/>
        <v>0</v>
      </c>
      <c r="V255" s="412"/>
      <c r="X255" s="413">
        <f t="shared" si="19"/>
        <v>2901.6000000000004</v>
      </c>
    </row>
    <row r="256" spans="1:24" ht="14.1" customHeight="1">
      <c r="A256" s="70">
        <f t="shared" si="20"/>
        <v>256</v>
      </c>
      <c r="B256" s="354" t="s">
        <v>44</v>
      </c>
      <c r="C256" s="354" t="s">
        <v>292</v>
      </c>
      <c r="D256" s="354" t="s">
        <v>165</v>
      </c>
      <c r="E256" s="404" t="s">
        <v>234</v>
      </c>
      <c r="F256" s="316" t="s">
        <v>377</v>
      </c>
      <c r="G256" s="208" t="s">
        <v>412</v>
      </c>
      <c r="H256" s="82" t="s">
        <v>358</v>
      </c>
      <c r="I256" s="82" t="s">
        <v>116</v>
      </c>
      <c r="J256" s="83" t="s">
        <v>185</v>
      </c>
      <c r="K256" s="202">
        <v>2.1</v>
      </c>
      <c r="L256" s="408">
        <f t="shared" si="22"/>
        <v>4</v>
      </c>
      <c r="M256" s="409">
        <v>4</v>
      </c>
      <c r="N256" s="409"/>
      <c r="O256" s="409"/>
      <c r="P256" s="410" t="e">
        <f>IF(M256="nio",0,IF(M256&gt;0,M256*K256/S256,0))*VLOOKUP(B256,'2-Kosten per locatie'!$A$14:$C$61,3,FALSE)</f>
        <v>#DIV/0!</v>
      </c>
      <c r="Q256" s="410">
        <f>IF(N256&gt;0,N256*K256/T256,0)*VLOOKUP(B256,'2-Kosten per locatie'!$A$14:$C$61,3,FALSE)</f>
        <v>0</v>
      </c>
      <c r="R256" s="410">
        <f>IF(O256&gt;0,O256*K256/U256,0)*VLOOKUP(B256,'2-Kosten per locatie'!$A$14:$C$61,3,FALSE)</f>
        <v>0</v>
      </c>
      <c r="S256" s="411">
        <f>IF(M256="nio",0,IF(M256&gt;0,VLOOKUP(I256,'3-Productie normen'!A:P,VLOOKUP(M256,'3-Productie normen'!$B$38:$C$48,2,FALSE),FALSE)))</f>
        <v>0</v>
      </c>
      <c r="T256" s="411">
        <f t="shared" si="18"/>
        <v>0</v>
      </c>
      <c r="U256" s="411">
        <f t="shared" si="21"/>
        <v>0</v>
      </c>
      <c r="V256" s="412"/>
      <c r="X256" s="413">
        <f t="shared" si="19"/>
        <v>8.4</v>
      </c>
    </row>
    <row r="257" spans="1:24" ht="14.1" customHeight="1">
      <c r="A257" s="70">
        <f t="shared" si="20"/>
        <v>257</v>
      </c>
      <c r="B257" s="354" t="s">
        <v>44</v>
      </c>
      <c r="C257" s="354" t="s">
        <v>292</v>
      </c>
      <c r="D257" s="354" t="s">
        <v>165</v>
      </c>
      <c r="E257" s="404" t="s">
        <v>234</v>
      </c>
      <c r="F257" s="316" t="s">
        <v>377</v>
      </c>
      <c r="G257" s="208" t="s">
        <v>413</v>
      </c>
      <c r="H257" s="82" t="s">
        <v>411</v>
      </c>
      <c r="I257" s="82" t="s">
        <v>116</v>
      </c>
      <c r="J257" s="83" t="s">
        <v>185</v>
      </c>
      <c r="K257" s="202">
        <v>5.4</v>
      </c>
      <c r="L257" s="408">
        <f t="shared" si="22"/>
        <v>156</v>
      </c>
      <c r="M257" s="409">
        <v>156</v>
      </c>
      <c r="N257" s="409"/>
      <c r="O257" s="409"/>
      <c r="P257" s="410" t="e">
        <f>IF(M257="nio",0,IF(M257&gt;0,M257*K257/S257,0))*VLOOKUP(B257,'2-Kosten per locatie'!$A$14:$C$61,3,FALSE)</f>
        <v>#DIV/0!</v>
      </c>
      <c r="Q257" s="410">
        <f>IF(N257&gt;0,N257*K257/T257,0)*VLOOKUP(B257,'2-Kosten per locatie'!$A$14:$C$61,3,FALSE)</f>
        <v>0</v>
      </c>
      <c r="R257" s="410">
        <f>IF(O257&gt;0,O257*K257/U257,0)*VLOOKUP(B257,'2-Kosten per locatie'!$A$14:$C$61,3,FALSE)</f>
        <v>0</v>
      </c>
      <c r="S257" s="411">
        <f>IF(M257="nio",0,IF(M257&gt;0,VLOOKUP(I257,'3-Productie normen'!A:P,VLOOKUP(M257,'3-Productie normen'!$B$38:$C$48,2,FALSE),FALSE)))</f>
        <v>0</v>
      </c>
      <c r="T257" s="411">
        <f t="shared" si="18"/>
        <v>0</v>
      </c>
      <c r="U257" s="411">
        <f t="shared" si="21"/>
        <v>0</v>
      </c>
      <c r="V257" s="412"/>
      <c r="X257" s="413">
        <f t="shared" si="19"/>
        <v>842.40000000000009</v>
      </c>
    </row>
    <row r="258" spans="1:24" ht="14.1" customHeight="1">
      <c r="A258" s="70">
        <f t="shared" si="20"/>
        <v>258</v>
      </c>
      <c r="B258" s="354" t="s">
        <v>44</v>
      </c>
      <c r="C258" s="354" t="s">
        <v>292</v>
      </c>
      <c r="D258" s="354" t="s">
        <v>165</v>
      </c>
      <c r="E258" s="404" t="s">
        <v>234</v>
      </c>
      <c r="F258" s="316" t="s">
        <v>377</v>
      </c>
      <c r="G258" s="208" t="s">
        <v>414</v>
      </c>
      <c r="H258" s="82" t="s">
        <v>415</v>
      </c>
      <c r="I258" s="82" t="s">
        <v>108</v>
      </c>
      <c r="J258" s="83" t="s">
        <v>173</v>
      </c>
      <c r="K258" s="414">
        <v>136.5</v>
      </c>
      <c r="L258" s="408">
        <f t="shared" si="22"/>
        <v>156</v>
      </c>
      <c r="M258" s="409">
        <v>156</v>
      </c>
      <c r="N258" s="409"/>
      <c r="O258" s="409"/>
      <c r="P258" s="410" t="e">
        <f>IF(M258="nio",0,IF(M258&gt;0,M258*K258/S258,0))*VLOOKUP(B258,'2-Kosten per locatie'!$A$14:$C$61,3,FALSE)</f>
        <v>#DIV/0!</v>
      </c>
      <c r="Q258" s="410">
        <f>IF(N258&gt;0,N258*K258/T258,0)*VLOOKUP(B258,'2-Kosten per locatie'!$A$14:$C$61,3,FALSE)</f>
        <v>0</v>
      </c>
      <c r="R258" s="410">
        <f>IF(O258&gt;0,O258*K258/U258,0)*VLOOKUP(B258,'2-Kosten per locatie'!$A$14:$C$61,3,FALSE)</f>
        <v>0</v>
      </c>
      <c r="S258" s="411">
        <f>IF(M258="nio",0,IF(M258&gt;0,VLOOKUP(I258,'3-Productie normen'!A:P,VLOOKUP(M258,'3-Productie normen'!$B$38:$C$48,2,FALSE),FALSE)))</f>
        <v>0</v>
      </c>
      <c r="T258" s="411">
        <f t="shared" si="18"/>
        <v>0</v>
      </c>
      <c r="U258" s="411">
        <f t="shared" si="21"/>
        <v>0</v>
      </c>
      <c r="V258" s="412"/>
      <c r="X258" s="413">
        <f t="shared" si="19"/>
        <v>21294</v>
      </c>
    </row>
    <row r="259" spans="1:24" ht="14.1" customHeight="1">
      <c r="A259" s="70">
        <f t="shared" si="20"/>
        <v>259</v>
      </c>
      <c r="B259" s="354" t="s">
        <v>44</v>
      </c>
      <c r="C259" s="354" t="s">
        <v>292</v>
      </c>
      <c r="D259" s="354" t="s">
        <v>165</v>
      </c>
      <c r="E259" s="404" t="s">
        <v>234</v>
      </c>
      <c r="F259" s="316" t="s">
        <v>377</v>
      </c>
      <c r="G259" s="208" t="s">
        <v>416</v>
      </c>
      <c r="H259" s="82" t="s">
        <v>417</v>
      </c>
      <c r="I259" s="82" t="s">
        <v>112</v>
      </c>
      <c r="J259" s="83" t="s">
        <v>171</v>
      </c>
      <c r="K259" s="414">
        <v>60.4</v>
      </c>
      <c r="L259" s="408">
        <f t="shared" si="22"/>
        <v>255</v>
      </c>
      <c r="M259" s="409">
        <v>255</v>
      </c>
      <c r="N259" s="409"/>
      <c r="O259" s="409"/>
      <c r="P259" s="410" t="e">
        <f>IF(M259="nio",0,IF(M259&gt;0,M259*K259/S259,0))*VLOOKUP(B259,'2-Kosten per locatie'!$A$14:$C$61,3,FALSE)</f>
        <v>#DIV/0!</v>
      </c>
      <c r="Q259" s="410">
        <f>IF(N259&gt;0,N259*K259/T259,0)*VLOOKUP(B259,'2-Kosten per locatie'!$A$14:$C$61,3,FALSE)</f>
        <v>0</v>
      </c>
      <c r="R259" s="410">
        <f>IF(O259&gt;0,O259*K259/U259,0)*VLOOKUP(B259,'2-Kosten per locatie'!$A$14:$C$61,3,FALSE)</f>
        <v>0</v>
      </c>
      <c r="S259" s="411">
        <f>IF(M259="nio",0,IF(M259&gt;0,VLOOKUP(I259,'3-Productie normen'!A:P,VLOOKUP(M259,'3-Productie normen'!$B$38:$C$48,2,FALSE),FALSE)))</f>
        <v>0</v>
      </c>
      <c r="T259" s="411">
        <f t="shared" si="18"/>
        <v>0</v>
      </c>
      <c r="U259" s="411">
        <f t="shared" si="21"/>
        <v>0</v>
      </c>
      <c r="V259" s="412"/>
      <c r="X259" s="413">
        <f t="shared" si="19"/>
        <v>15402</v>
      </c>
    </row>
    <row r="260" spans="1:24" ht="14.1" customHeight="1">
      <c r="A260" s="70">
        <f t="shared" si="20"/>
        <v>260</v>
      </c>
      <c r="B260" s="354" t="s">
        <v>44</v>
      </c>
      <c r="C260" s="354" t="s">
        <v>292</v>
      </c>
      <c r="D260" s="354" t="s">
        <v>165</v>
      </c>
      <c r="E260" s="404" t="s">
        <v>234</v>
      </c>
      <c r="F260" s="316" t="s">
        <v>377</v>
      </c>
      <c r="G260" s="208" t="s">
        <v>418</v>
      </c>
      <c r="H260" s="82" t="s">
        <v>417</v>
      </c>
      <c r="I260" s="82" t="s">
        <v>112</v>
      </c>
      <c r="J260" s="82" t="s">
        <v>171</v>
      </c>
      <c r="K260" s="414">
        <v>97</v>
      </c>
      <c r="L260" s="408">
        <f t="shared" si="22"/>
        <v>255</v>
      </c>
      <c r="M260" s="409">
        <v>255</v>
      </c>
      <c r="N260" s="409"/>
      <c r="O260" s="409"/>
      <c r="P260" s="410" t="e">
        <f>IF(M260="nio",0,IF(M260&gt;0,M260*K260/S260,0))*VLOOKUP(B260,'2-Kosten per locatie'!$A$14:$C$61,3,FALSE)</f>
        <v>#DIV/0!</v>
      </c>
      <c r="Q260" s="410">
        <f>IF(N260&gt;0,N260*K260/T260,0)*VLOOKUP(B260,'2-Kosten per locatie'!$A$14:$C$61,3,FALSE)</f>
        <v>0</v>
      </c>
      <c r="R260" s="410">
        <f>IF(O260&gt;0,O260*K260/U260,0)*VLOOKUP(B260,'2-Kosten per locatie'!$A$14:$C$61,3,FALSE)</f>
        <v>0</v>
      </c>
      <c r="S260" s="411">
        <f>IF(M260="nio",0,IF(M260&gt;0,VLOOKUP(I260,'3-Productie normen'!A:P,VLOOKUP(M260,'3-Productie normen'!$B$38:$C$48,2,FALSE),FALSE)))</f>
        <v>0</v>
      </c>
      <c r="T260" s="411">
        <f t="shared" si="18"/>
        <v>0</v>
      </c>
      <c r="U260" s="411">
        <f t="shared" si="21"/>
        <v>0</v>
      </c>
      <c r="V260" s="412"/>
      <c r="X260" s="413">
        <f t="shared" si="19"/>
        <v>24735</v>
      </c>
    </row>
    <row r="261" spans="1:24" ht="14.1" customHeight="1">
      <c r="A261" s="70">
        <f t="shared" si="20"/>
        <v>261</v>
      </c>
      <c r="B261" s="354" t="s">
        <v>44</v>
      </c>
      <c r="C261" s="354" t="s">
        <v>292</v>
      </c>
      <c r="D261" s="354" t="s">
        <v>165</v>
      </c>
      <c r="E261" s="404" t="s">
        <v>234</v>
      </c>
      <c r="F261" s="316" t="s">
        <v>377</v>
      </c>
      <c r="G261" s="208" t="s">
        <v>419</v>
      </c>
      <c r="H261" s="82" t="s">
        <v>415</v>
      </c>
      <c r="I261" s="82" t="s">
        <v>108</v>
      </c>
      <c r="J261" s="82" t="s">
        <v>173</v>
      </c>
      <c r="K261" s="414">
        <v>203.6</v>
      </c>
      <c r="L261" s="408">
        <f t="shared" si="22"/>
        <v>156</v>
      </c>
      <c r="M261" s="409">
        <v>156</v>
      </c>
      <c r="N261" s="409"/>
      <c r="O261" s="409"/>
      <c r="P261" s="410" t="e">
        <f>IF(M261="nio",0,IF(M261&gt;0,M261*K261/S261,0))*VLOOKUP(B261,'2-Kosten per locatie'!$A$14:$C$61,3,FALSE)</f>
        <v>#DIV/0!</v>
      </c>
      <c r="Q261" s="410">
        <f>IF(N261&gt;0,N261*K261/T261,0)*VLOOKUP(B261,'2-Kosten per locatie'!$A$14:$C$61,3,FALSE)</f>
        <v>0</v>
      </c>
      <c r="R261" s="410">
        <f>IF(O261&gt;0,O261*K261/U261,0)*VLOOKUP(B261,'2-Kosten per locatie'!$A$14:$C$61,3,FALSE)</f>
        <v>0</v>
      </c>
      <c r="S261" s="411">
        <f>IF(M261="nio",0,IF(M261&gt;0,VLOOKUP(I261,'3-Productie normen'!A:P,VLOOKUP(M261,'3-Productie normen'!$B$38:$C$48,2,FALSE),FALSE)))</f>
        <v>0</v>
      </c>
      <c r="T261" s="411">
        <f t="shared" si="18"/>
        <v>0</v>
      </c>
      <c r="U261" s="411">
        <f t="shared" si="21"/>
        <v>0</v>
      </c>
      <c r="V261" s="412"/>
      <c r="X261" s="413">
        <f t="shared" si="19"/>
        <v>31761.599999999999</v>
      </c>
    </row>
    <row r="262" spans="1:24" ht="14.1" customHeight="1">
      <c r="A262" s="70">
        <f t="shared" si="20"/>
        <v>262</v>
      </c>
      <c r="B262" s="354" t="s">
        <v>44</v>
      </c>
      <c r="C262" s="354" t="s">
        <v>292</v>
      </c>
      <c r="D262" s="354" t="s">
        <v>165</v>
      </c>
      <c r="E262" s="404" t="s">
        <v>234</v>
      </c>
      <c r="F262" s="316" t="s">
        <v>377</v>
      </c>
      <c r="G262" s="208" t="s">
        <v>420</v>
      </c>
      <c r="H262" s="82" t="s">
        <v>172</v>
      </c>
      <c r="I262" s="82" t="s">
        <v>105</v>
      </c>
      <c r="J262" s="82" t="s">
        <v>173</v>
      </c>
      <c r="K262" s="414">
        <v>5.3</v>
      </c>
      <c r="L262" s="408">
        <f t="shared" si="22"/>
        <v>255</v>
      </c>
      <c r="M262" s="409">
        <v>255</v>
      </c>
      <c r="N262" s="409"/>
      <c r="O262" s="409"/>
      <c r="P262" s="410" t="e">
        <f>IF(M262="nio",0,IF(M262&gt;0,M262*K262/S262,0))*VLOOKUP(B262,'2-Kosten per locatie'!$A$14:$C$61,3,FALSE)</f>
        <v>#DIV/0!</v>
      </c>
      <c r="Q262" s="410">
        <f>IF(N262&gt;0,N262*K262/T262,0)*VLOOKUP(B262,'2-Kosten per locatie'!$A$14:$C$61,3,FALSE)</f>
        <v>0</v>
      </c>
      <c r="R262" s="410">
        <f>IF(O262&gt;0,O262*K262/U262,0)*VLOOKUP(B262,'2-Kosten per locatie'!$A$14:$C$61,3,FALSE)</f>
        <v>0</v>
      </c>
      <c r="S262" s="411">
        <f>IF(M262="nio",0,IF(M262&gt;0,VLOOKUP(I262,'3-Productie normen'!A:P,VLOOKUP(M262,'3-Productie normen'!$B$38:$C$48,2,FALSE),FALSE)))</f>
        <v>0</v>
      </c>
      <c r="T262" s="411">
        <f t="shared" si="18"/>
        <v>0</v>
      </c>
      <c r="U262" s="411">
        <f t="shared" si="21"/>
        <v>0</v>
      </c>
      <c r="V262" s="412"/>
      <c r="X262" s="413">
        <f t="shared" si="19"/>
        <v>1351.5</v>
      </c>
    </row>
    <row r="263" spans="1:24" ht="14.1" customHeight="1">
      <c r="A263" s="70">
        <f t="shared" si="20"/>
        <v>263</v>
      </c>
      <c r="B263" s="354" t="s">
        <v>44</v>
      </c>
      <c r="C263" s="354" t="s">
        <v>292</v>
      </c>
      <c r="D263" s="354" t="s">
        <v>165</v>
      </c>
      <c r="E263" s="404" t="s">
        <v>234</v>
      </c>
      <c r="F263" s="316" t="s">
        <v>377</v>
      </c>
      <c r="G263" s="208" t="s">
        <v>421</v>
      </c>
      <c r="H263" s="82" t="s">
        <v>307</v>
      </c>
      <c r="I263" s="82" t="s">
        <v>106</v>
      </c>
      <c r="J263" s="82" t="s">
        <v>179</v>
      </c>
      <c r="K263" s="414">
        <v>11.5</v>
      </c>
      <c r="L263" s="408">
        <f t="shared" si="22"/>
        <v>255</v>
      </c>
      <c r="M263" s="409">
        <v>255</v>
      </c>
      <c r="N263" s="409"/>
      <c r="O263" s="409"/>
      <c r="P263" s="410" t="e">
        <f>IF(M263="nio",0,IF(M263&gt;0,M263*K263/S263,0))*VLOOKUP(B263,'2-Kosten per locatie'!$A$14:$C$61,3,FALSE)</f>
        <v>#DIV/0!</v>
      </c>
      <c r="Q263" s="410">
        <f>IF(N263&gt;0,N263*K263/T263,0)*VLOOKUP(B263,'2-Kosten per locatie'!$A$14:$C$61,3,FALSE)</f>
        <v>0</v>
      </c>
      <c r="R263" s="410">
        <f>IF(O263&gt;0,O263*K263/U263,0)*VLOOKUP(B263,'2-Kosten per locatie'!$A$14:$C$61,3,FALSE)</f>
        <v>0</v>
      </c>
      <c r="S263" s="411">
        <f>IF(M263="nio",0,IF(M263&gt;0,VLOOKUP(I263,'3-Productie normen'!A:P,VLOOKUP(M263,'3-Productie normen'!$B$38:$C$48,2,FALSE),FALSE)))</f>
        <v>0</v>
      </c>
      <c r="T263" s="411">
        <f t="shared" si="18"/>
        <v>0</v>
      </c>
      <c r="U263" s="411">
        <f t="shared" si="21"/>
        <v>0</v>
      </c>
      <c r="V263" s="412"/>
      <c r="X263" s="413">
        <f t="shared" si="19"/>
        <v>2932.5</v>
      </c>
    </row>
    <row r="264" spans="1:24" ht="14.1" customHeight="1">
      <c r="A264" s="70">
        <f t="shared" si="20"/>
        <v>264</v>
      </c>
      <c r="B264" s="354" t="s">
        <v>44</v>
      </c>
      <c r="C264" s="354" t="s">
        <v>292</v>
      </c>
      <c r="D264" s="354" t="s">
        <v>165</v>
      </c>
      <c r="E264" s="404" t="s">
        <v>234</v>
      </c>
      <c r="F264" s="316" t="s">
        <v>377</v>
      </c>
      <c r="G264" s="208" t="s">
        <v>422</v>
      </c>
      <c r="H264" s="82" t="s">
        <v>307</v>
      </c>
      <c r="I264" s="82" t="s">
        <v>106</v>
      </c>
      <c r="J264" s="82" t="s">
        <v>179</v>
      </c>
      <c r="K264" s="414">
        <v>10.1</v>
      </c>
      <c r="L264" s="408">
        <f t="shared" si="22"/>
        <v>255</v>
      </c>
      <c r="M264" s="409">
        <v>255</v>
      </c>
      <c r="N264" s="409"/>
      <c r="O264" s="409"/>
      <c r="P264" s="410" t="e">
        <f>IF(M264="nio",0,IF(M264&gt;0,M264*K264/S264,0))*VLOOKUP(B264,'2-Kosten per locatie'!$A$14:$C$61,3,FALSE)</f>
        <v>#DIV/0!</v>
      </c>
      <c r="Q264" s="410">
        <f>IF(N264&gt;0,N264*K264/T264,0)*VLOOKUP(B264,'2-Kosten per locatie'!$A$14:$C$61,3,FALSE)</f>
        <v>0</v>
      </c>
      <c r="R264" s="410">
        <f>IF(O264&gt;0,O264*K264/U264,0)*VLOOKUP(B264,'2-Kosten per locatie'!$A$14:$C$61,3,FALSE)</f>
        <v>0</v>
      </c>
      <c r="S264" s="411">
        <f>IF(M264="nio",0,IF(M264&gt;0,VLOOKUP(I264,'3-Productie normen'!A:P,VLOOKUP(M264,'3-Productie normen'!$B$38:$C$48,2,FALSE),FALSE)))</f>
        <v>0</v>
      </c>
      <c r="T264" s="411">
        <f t="shared" si="18"/>
        <v>0</v>
      </c>
      <c r="U264" s="411">
        <f t="shared" si="21"/>
        <v>0</v>
      </c>
      <c r="V264" s="412"/>
      <c r="X264" s="413">
        <f t="shared" si="19"/>
        <v>2575.5</v>
      </c>
    </row>
    <row r="265" spans="1:24" ht="14.1" customHeight="1">
      <c r="A265" s="70">
        <f t="shared" si="20"/>
        <v>265</v>
      </c>
      <c r="B265" s="354" t="s">
        <v>44</v>
      </c>
      <c r="C265" s="354" t="s">
        <v>292</v>
      </c>
      <c r="D265" s="354" t="s">
        <v>165</v>
      </c>
      <c r="E265" s="404" t="s">
        <v>234</v>
      </c>
      <c r="F265" s="316" t="s">
        <v>377</v>
      </c>
      <c r="G265" s="208" t="s">
        <v>423</v>
      </c>
      <c r="H265" s="82" t="s">
        <v>307</v>
      </c>
      <c r="I265" s="82" t="s">
        <v>106</v>
      </c>
      <c r="J265" s="82" t="s">
        <v>179</v>
      </c>
      <c r="K265" s="414">
        <v>4</v>
      </c>
      <c r="L265" s="408">
        <f t="shared" si="22"/>
        <v>255</v>
      </c>
      <c r="M265" s="409">
        <v>255</v>
      </c>
      <c r="N265" s="409"/>
      <c r="O265" s="409"/>
      <c r="P265" s="410" t="e">
        <f>IF(M265="nio",0,IF(M265&gt;0,M265*K265/S265,0))*VLOOKUP(B265,'2-Kosten per locatie'!$A$14:$C$61,3,FALSE)</f>
        <v>#DIV/0!</v>
      </c>
      <c r="Q265" s="410">
        <f>IF(N265&gt;0,N265*K265/T265,0)*VLOOKUP(B265,'2-Kosten per locatie'!$A$14:$C$61,3,FALSE)</f>
        <v>0</v>
      </c>
      <c r="R265" s="410">
        <f>IF(O265&gt;0,O265*K265/U265,0)*VLOOKUP(B265,'2-Kosten per locatie'!$A$14:$C$61,3,FALSE)</f>
        <v>0</v>
      </c>
      <c r="S265" s="411">
        <f>IF(M265="nio",0,IF(M265&gt;0,VLOOKUP(I265,'3-Productie normen'!A:P,VLOOKUP(M265,'3-Productie normen'!$B$38:$C$48,2,FALSE),FALSE)))</f>
        <v>0</v>
      </c>
      <c r="T265" s="411">
        <f t="shared" si="18"/>
        <v>0</v>
      </c>
      <c r="U265" s="411">
        <f t="shared" si="21"/>
        <v>0</v>
      </c>
      <c r="V265" s="412"/>
      <c r="X265" s="413">
        <f t="shared" si="19"/>
        <v>1020</v>
      </c>
    </row>
    <row r="266" spans="1:24" ht="14.1" customHeight="1">
      <c r="A266" s="70">
        <f t="shared" si="20"/>
        <v>266</v>
      </c>
      <c r="B266" s="354" t="s">
        <v>44</v>
      </c>
      <c r="C266" s="354" t="s">
        <v>292</v>
      </c>
      <c r="D266" s="354" t="s">
        <v>165</v>
      </c>
      <c r="E266" s="404" t="s">
        <v>234</v>
      </c>
      <c r="F266" s="316" t="s">
        <v>377</v>
      </c>
      <c r="G266" s="208" t="s">
        <v>424</v>
      </c>
      <c r="H266" s="82" t="s">
        <v>307</v>
      </c>
      <c r="I266" s="82" t="s">
        <v>106</v>
      </c>
      <c r="J266" s="82" t="s">
        <v>179</v>
      </c>
      <c r="K266" s="414">
        <v>4.5</v>
      </c>
      <c r="L266" s="408">
        <f t="shared" si="22"/>
        <v>255</v>
      </c>
      <c r="M266" s="409">
        <v>255</v>
      </c>
      <c r="N266" s="409"/>
      <c r="O266" s="409"/>
      <c r="P266" s="410" t="e">
        <f>IF(M266="nio",0,IF(M266&gt;0,M266*K266/S266,0))*VLOOKUP(B266,'2-Kosten per locatie'!$A$14:$C$61,3,FALSE)</f>
        <v>#DIV/0!</v>
      </c>
      <c r="Q266" s="410">
        <f>IF(N266&gt;0,N266*K266/T266,0)*VLOOKUP(B266,'2-Kosten per locatie'!$A$14:$C$61,3,FALSE)</f>
        <v>0</v>
      </c>
      <c r="R266" s="410">
        <f>IF(O266&gt;0,O266*K266/U266,0)*VLOOKUP(B266,'2-Kosten per locatie'!$A$14:$C$61,3,FALSE)</f>
        <v>0</v>
      </c>
      <c r="S266" s="411">
        <f>IF(M266="nio",0,IF(M266&gt;0,VLOOKUP(I266,'3-Productie normen'!A:P,VLOOKUP(M266,'3-Productie normen'!$B$38:$C$48,2,FALSE),FALSE)))</f>
        <v>0</v>
      </c>
      <c r="T266" s="411">
        <f t="shared" ref="T266:T329" si="23">IF(N266&gt;0,S266*$T$8,0)</f>
        <v>0</v>
      </c>
      <c r="U266" s="411">
        <f t="shared" si="21"/>
        <v>0</v>
      </c>
      <c r="V266" s="412"/>
      <c r="X266" s="413">
        <f t="shared" ref="X266:X329" si="24">L266*K266</f>
        <v>1147.5</v>
      </c>
    </row>
    <row r="267" spans="1:24" ht="14.1" customHeight="1">
      <c r="A267" s="70">
        <f t="shared" ref="A267:A330" si="25">A266+1</f>
        <v>267</v>
      </c>
      <c r="B267" s="354" t="s">
        <v>44</v>
      </c>
      <c r="C267" s="354" t="s">
        <v>292</v>
      </c>
      <c r="D267" s="354" t="s">
        <v>165</v>
      </c>
      <c r="E267" s="404" t="s">
        <v>234</v>
      </c>
      <c r="F267" s="316" t="s">
        <v>377</v>
      </c>
      <c r="G267" s="208" t="s">
        <v>425</v>
      </c>
      <c r="H267" s="82" t="s">
        <v>307</v>
      </c>
      <c r="I267" s="82" t="s">
        <v>106</v>
      </c>
      <c r="J267" s="82" t="s">
        <v>179</v>
      </c>
      <c r="K267" s="414">
        <v>8.9</v>
      </c>
      <c r="L267" s="408">
        <f t="shared" si="22"/>
        <v>255</v>
      </c>
      <c r="M267" s="409">
        <v>255</v>
      </c>
      <c r="N267" s="409"/>
      <c r="O267" s="409"/>
      <c r="P267" s="410" t="e">
        <f>IF(M267="nio",0,IF(M267&gt;0,M267*K267/S267,0))*VLOOKUP(B267,'2-Kosten per locatie'!$A$14:$C$61,3,FALSE)</f>
        <v>#DIV/0!</v>
      </c>
      <c r="Q267" s="410">
        <f>IF(N267&gt;0,N267*K267/T267,0)*VLOOKUP(B267,'2-Kosten per locatie'!$A$14:$C$61,3,FALSE)</f>
        <v>0</v>
      </c>
      <c r="R267" s="410">
        <f>IF(O267&gt;0,O267*K267/U267,0)*VLOOKUP(B267,'2-Kosten per locatie'!$A$14:$C$61,3,FALSE)</f>
        <v>0</v>
      </c>
      <c r="S267" s="411">
        <f>IF(M267="nio",0,IF(M267&gt;0,VLOOKUP(I267,'3-Productie normen'!A:P,VLOOKUP(M267,'3-Productie normen'!$B$38:$C$48,2,FALSE),FALSE)))</f>
        <v>0</v>
      </c>
      <c r="T267" s="411">
        <f t="shared" si="23"/>
        <v>0</v>
      </c>
      <c r="U267" s="411">
        <f t="shared" si="21"/>
        <v>0</v>
      </c>
      <c r="V267" s="412"/>
      <c r="X267" s="413">
        <f t="shared" si="24"/>
        <v>2269.5</v>
      </c>
    </row>
    <row r="268" spans="1:24" ht="14.1" customHeight="1">
      <c r="A268" s="70">
        <f t="shared" si="25"/>
        <v>268</v>
      </c>
      <c r="B268" s="354" t="s">
        <v>44</v>
      </c>
      <c r="C268" s="354" t="s">
        <v>292</v>
      </c>
      <c r="D268" s="354" t="s">
        <v>165</v>
      </c>
      <c r="E268" s="404" t="s">
        <v>234</v>
      </c>
      <c r="F268" s="316" t="s">
        <v>377</v>
      </c>
      <c r="G268" s="208" t="s">
        <v>426</v>
      </c>
      <c r="H268" s="82" t="s">
        <v>307</v>
      </c>
      <c r="I268" s="82" t="s">
        <v>106</v>
      </c>
      <c r="J268" s="82" t="s">
        <v>179</v>
      </c>
      <c r="K268" s="414">
        <v>5.2</v>
      </c>
      <c r="L268" s="408">
        <f t="shared" si="22"/>
        <v>255</v>
      </c>
      <c r="M268" s="409">
        <v>255</v>
      </c>
      <c r="N268" s="409"/>
      <c r="O268" s="409"/>
      <c r="P268" s="410" t="e">
        <f>IF(M268="nio",0,IF(M268&gt;0,M268*K268/S268,0))*VLOOKUP(B268,'2-Kosten per locatie'!$A$14:$C$61,3,FALSE)</f>
        <v>#DIV/0!</v>
      </c>
      <c r="Q268" s="410">
        <f>IF(N268&gt;0,N268*K268/T268,0)*VLOOKUP(B268,'2-Kosten per locatie'!$A$14:$C$61,3,FALSE)</f>
        <v>0</v>
      </c>
      <c r="R268" s="410">
        <f>IF(O268&gt;0,O268*K268/U268,0)*VLOOKUP(B268,'2-Kosten per locatie'!$A$14:$C$61,3,FALSE)</f>
        <v>0</v>
      </c>
      <c r="S268" s="411">
        <f>IF(M268="nio",0,IF(M268&gt;0,VLOOKUP(I268,'3-Productie normen'!A:P,VLOOKUP(M268,'3-Productie normen'!$B$38:$C$48,2,FALSE),FALSE)))</f>
        <v>0</v>
      </c>
      <c r="T268" s="411">
        <f t="shared" si="23"/>
        <v>0</v>
      </c>
      <c r="U268" s="411">
        <f t="shared" si="21"/>
        <v>0</v>
      </c>
      <c r="V268" s="412"/>
      <c r="X268" s="413">
        <f t="shared" si="24"/>
        <v>1326</v>
      </c>
    </row>
    <row r="269" spans="1:24" ht="14.1" customHeight="1">
      <c r="A269" s="70">
        <f t="shared" si="25"/>
        <v>269</v>
      </c>
      <c r="B269" s="354" t="s">
        <v>44</v>
      </c>
      <c r="C269" s="354" t="s">
        <v>292</v>
      </c>
      <c r="D269" s="354" t="s">
        <v>165</v>
      </c>
      <c r="E269" s="404" t="s">
        <v>234</v>
      </c>
      <c r="F269" s="316" t="s">
        <v>377</v>
      </c>
      <c r="G269" s="208" t="s">
        <v>427</v>
      </c>
      <c r="H269" s="82" t="s">
        <v>307</v>
      </c>
      <c r="I269" s="82" t="s">
        <v>106</v>
      </c>
      <c r="J269" s="82" t="s">
        <v>179</v>
      </c>
      <c r="K269" s="414">
        <v>5.2</v>
      </c>
      <c r="L269" s="408">
        <f t="shared" si="22"/>
        <v>255</v>
      </c>
      <c r="M269" s="409">
        <v>255</v>
      </c>
      <c r="N269" s="409"/>
      <c r="O269" s="409"/>
      <c r="P269" s="410" t="e">
        <f>IF(M269="nio",0,IF(M269&gt;0,M269*K269/S269,0))*VLOOKUP(B269,'2-Kosten per locatie'!$A$14:$C$61,3,FALSE)</f>
        <v>#DIV/0!</v>
      </c>
      <c r="Q269" s="410">
        <f>IF(N269&gt;0,N269*K269/T269,0)*VLOOKUP(B269,'2-Kosten per locatie'!$A$14:$C$61,3,FALSE)</f>
        <v>0</v>
      </c>
      <c r="R269" s="410">
        <f>IF(O269&gt;0,O269*K269/U269,0)*VLOOKUP(B269,'2-Kosten per locatie'!$A$14:$C$61,3,FALSE)</f>
        <v>0</v>
      </c>
      <c r="S269" s="411">
        <f>IF(M269="nio",0,IF(M269&gt;0,VLOOKUP(I269,'3-Productie normen'!A:P,VLOOKUP(M269,'3-Productie normen'!$B$38:$C$48,2,FALSE),FALSE)))</f>
        <v>0</v>
      </c>
      <c r="T269" s="411">
        <f t="shared" si="23"/>
        <v>0</v>
      </c>
      <c r="U269" s="411">
        <f t="shared" si="21"/>
        <v>0</v>
      </c>
      <c r="V269" s="412"/>
      <c r="X269" s="413">
        <f t="shared" si="24"/>
        <v>1326</v>
      </c>
    </row>
    <row r="270" spans="1:24" ht="14.1" customHeight="1">
      <c r="A270" s="70">
        <f t="shared" si="25"/>
        <v>270</v>
      </c>
      <c r="B270" s="354" t="s">
        <v>45</v>
      </c>
      <c r="C270" s="354" t="s">
        <v>234</v>
      </c>
      <c r="D270" s="354" t="s">
        <v>165</v>
      </c>
      <c r="E270" s="404" t="s">
        <v>234</v>
      </c>
      <c r="F270" s="316" t="s">
        <v>301</v>
      </c>
      <c r="G270" s="208" t="s">
        <v>428</v>
      </c>
      <c r="H270" s="82" t="s">
        <v>415</v>
      </c>
      <c r="I270" s="82" t="s">
        <v>108</v>
      </c>
      <c r="J270" s="82" t="s">
        <v>429</v>
      </c>
      <c r="K270" s="414">
        <v>45</v>
      </c>
      <c r="L270" s="408">
        <f t="shared" si="22"/>
        <v>104</v>
      </c>
      <c r="M270" s="409">
        <v>104</v>
      </c>
      <c r="N270" s="409"/>
      <c r="O270" s="409"/>
      <c r="P270" s="410" t="e">
        <f>IF(M270="nio",0,IF(M270&gt;0,M270*K270/S270,0))*VLOOKUP(B270,'2-Kosten per locatie'!$A$14:$C$61,3,FALSE)</f>
        <v>#DIV/0!</v>
      </c>
      <c r="Q270" s="410">
        <f>IF(N270&gt;0,N270*K270/T270,0)*VLOOKUP(B270,'2-Kosten per locatie'!$A$14:$C$61,3,FALSE)</f>
        <v>0</v>
      </c>
      <c r="R270" s="410">
        <f>IF(O270&gt;0,O270*K270/U270,0)*VLOOKUP(B270,'2-Kosten per locatie'!$A$14:$C$61,3,FALSE)</f>
        <v>0</v>
      </c>
      <c r="S270" s="411">
        <f>IF(M270="nio",0,IF(M270&gt;0,VLOOKUP(I270,'3-Productie normen'!A:P,VLOOKUP(M270,'3-Productie normen'!$B$38:$C$48,2,FALSE),FALSE)))</f>
        <v>0</v>
      </c>
      <c r="T270" s="411">
        <f t="shared" si="23"/>
        <v>0</v>
      </c>
      <c r="U270" s="411">
        <f t="shared" ref="U270:U333" si="26">IF(OR(O270&gt;0),S270*$U$8,0)</f>
        <v>0</v>
      </c>
      <c r="V270" s="412"/>
      <c r="X270" s="413">
        <f t="shared" si="24"/>
        <v>4680</v>
      </c>
    </row>
    <row r="271" spans="1:24" ht="14.1" customHeight="1">
      <c r="A271" s="70">
        <f t="shared" si="25"/>
        <v>271</v>
      </c>
      <c r="B271" s="354" t="s">
        <v>45</v>
      </c>
      <c r="C271" s="354" t="s">
        <v>234</v>
      </c>
      <c r="D271" s="354" t="s">
        <v>165</v>
      </c>
      <c r="E271" s="404" t="s">
        <v>234</v>
      </c>
      <c r="F271" s="316" t="s">
        <v>301</v>
      </c>
      <c r="G271" s="208">
        <v>1</v>
      </c>
      <c r="H271" s="82" t="s">
        <v>430</v>
      </c>
      <c r="I271" s="399" t="s">
        <v>124</v>
      </c>
      <c r="J271" s="82" t="s">
        <v>192</v>
      </c>
      <c r="K271" s="414">
        <v>6</v>
      </c>
      <c r="L271" s="408">
        <f t="shared" si="22"/>
        <v>0</v>
      </c>
      <c r="M271" s="409" t="s">
        <v>242</v>
      </c>
      <c r="N271" s="409"/>
      <c r="O271" s="409"/>
      <c r="P271" s="410">
        <f>IF(M271="nio",0,IF(M271&gt;0,M271*K271/S271,0))*VLOOKUP(B271,'2-Kosten per locatie'!$A$14:$C$61,3,FALSE)</f>
        <v>0</v>
      </c>
      <c r="Q271" s="410">
        <f>IF(N271&gt;0,N271*K271/T271,0)*VLOOKUP(B271,'2-Kosten per locatie'!$A$14:$C$61,3,FALSE)</f>
        <v>0</v>
      </c>
      <c r="R271" s="410">
        <f>IF(O271&gt;0,O271*K271/U271,0)*VLOOKUP(B271,'2-Kosten per locatie'!$A$14:$C$61,3,FALSE)</f>
        <v>0</v>
      </c>
      <c r="S271" s="411">
        <f>IF(M271="nio",0,IF(M271&gt;0,VLOOKUP(I271,'3-Productie normen'!A:P,VLOOKUP(M271,'3-Productie normen'!$B$38:$C$48,2,FALSE),FALSE)))</f>
        <v>0</v>
      </c>
      <c r="T271" s="411">
        <f t="shared" si="23"/>
        <v>0</v>
      </c>
      <c r="U271" s="411">
        <f t="shared" si="26"/>
        <v>0</v>
      </c>
      <c r="V271" s="412"/>
      <c r="X271" s="413">
        <f t="shared" si="24"/>
        <v>0</v>
      </c>
    </row>
    <row r="272" spans="1:24" ht="14.1" customHeight="1">
      <c r="A272" s="70">
        <f t="shared" si="25"/>
        <v>272</v>
      </c>
      <c r="B272" s="354" t="s">
        <v>45</v>
      </c>
      <c r="C272" s="354" t="s">
        <v>234</v>
      </c>
      <c r="D272" s="354" t="s">
        <v>165</v>
      </c>
      <c r="E272" s="404" t="s">
        <v>234</v>
      </c>
      <c r="F272" s="316" t="s">
        <v>301</v>
      </c>
      <c r="G272" s="208">
        <v>2</v>
      </c>
      <c r="H272" s="82" t="s">
        <v>307</v>
      </c>
      <c r="I272" s="82" t="s">
        <v>106</v>
      </c>
      <c r="J272" s="82" t="s">
        <v>179</v>
      </c>
      <c r="K272" s="414">
        <v>12.8</v>
      </c>
      <c r="L272" s="408">
        <f t="shared" si="22"/>
        <v>104</v>
      </c>
      <c r="M272" s="409">
        <v>104</v>
      </c>
      <c r="N272" s="409"/>
      <c r="O272" s="409"/>
      <c r="P272" s="410" t="e">
        <f>IF(M272="nio",0,IF(M272&gt;0,M272*K272/S272,0))*VLOOKUP(B272,'2-Kosten per locatie'!$A$14:$C$61,3,FALSE)</f>
        <v>#DIV/0!</v>
      </c>
      <c r="Q272" s="410">
        <f>IF(N272&gt;0,N272*K272/T272,0)*VLOOKUP(B272,'2-Kosten per locatie'!$A$14:$C$61,3,FALSE)</f>
        <v>0</v>
      </c>
      <c r="R272" s="410">
        <f>IF(O272&gt;0,O272*K272/U272,0)*VLOOKUP(B272,'2-Kosten per locatie'!$A$14:$C$61,3,FALSE)</f>
        <v>0</v>
      </c>
      <c r="S272" s="411">
        <f>IF(M272="nio",0,IF(M272&gt;0,VLOOKUP(I272,'3-Productie normen'!A:P,VLOOKUP(M272,'3-Productie normen'!$B$38:$C$48,2,FALSE),FALSE)))</f>
        <v>0</v>
      </c>
      <c r="T272" s="411">
        <f t="shared" si="23"/>
        <v>0</v>
      </c>
      <c r="U272" s="411">
        <f t="shared" si="26"/>
        <v>0</v>
      </c>
      <c r="V272" s="412"/>
      <c r="X272" s="413">
        <f t="shared" si="24"/>
        <v>1331.2</v>
      </c>
    </row>
    <row r="273" spans="1:24" ht="14.1" customHeight="1">
      <c r="A273" s="70">
        <f t="shared" si="25"/>
        <v>273</v>
      </c>
      <c r="B273" s="354" t="s">
        <v>45</v>
      </c>
      <c r="C273" s="354" t="s">
        <v>234</v>
      </c>
      <c r="D273" s="354" t="s">
        <v>165</v>
      </c>
      <c r="E273" s="404" t="s">
        <v>234</v>
      </c>
      <c r="F273" s="316" t="s">
        <v>301</v>
      </c>
      <c r="G273" s="208">
        <v>3</v>
      </c>
      <c r="H273" s="82" t="s">
        <v>234</v>
      </c>
      <c r="I273" s="82" t="s">
        <v>105</v>
      </c>
      <c r="J273" s="82" t="s">
        <v>192</v>
      </c>
      <c r="K273" s="414">
        <v>49</v>
      </c>
      <c r="L273" s="408">
        <f t="shared" si="22"/>
        <v>104</v>
      </c>
      <c r="M273" s="409">
        <v>104</v>
      </c>
      <c r="N273" s="409"/>
      <c r="O273" s="409"/>
      <c r="P273" s="410" t="e">
        <f>IF(M273="nio",0,IF(M273&gt;0,M273*K273/S273,0))*VLOOKUP(B273,'2-Kosten per locatie'!$A$14:$C$61,3,FALSE)</f>
        <v>#DIV/0!</v>
      </c>
      <c r="Q273" s="410">
        <f>IF(N273&gt;0,N273*K273/T273,0)*VLOOKUP(B273,'2-Kosten per locatie'!$A$14:$C$61,3,FALSE)</f>
        <v>0</v>
      </c>
      <c r="R273" s="410">
        <f>IF(O273&gt;0,O273*K273/U273,0)*VLOOKUP(B273,'2-Kosten per locatie'!$A$14:$C$61,3,FALSE)</f>
        <v>0</v>
      </c>
      <c r="S273" s="411">
        <f>IF(M273="nio",0,IF(M273&gt;0,VLOOKUP(I273,'3-Productie normen'!A:P,VLOOKUP(M273,'3-Productie normen'!$B$38:$C$48,2,FALSE),FALSE)))</f>
        <v>0</v>
      </c>
      <c r="T273" s="411">
        <f t="shared" si="23"/>
        <v>0</v>
      </c>
      <c r="U273" s="411">
        <f t="shared" si="26"/>
        <v>0</v>
      </c>
      <c r="V273" s="412"/>
      <c r="X273" s="413">
        <f t="shared" si="24"/>
        <v>5096</v>
      </c>
    </row>
    <row r="274" spans="1:24" ht="14.1" customHeight="1">
      <c r="A274" s="70">
        <f t="shared" si="25"/>
        <v>274</v>
      </c>
      <c r="B274" s="354" t="s">
        <v>45</v>
      </c>
      <c r="C274" s="354" t="s">
        <v>234</v>
      </c>
      <c r="D274" s="354" t="s">
        <v>165</v>
      </c>
      <c r="E274" s="404" t="s">
        <v>234</v>
      </c>
      <c r="F274" s="316" t="s">
        <v>301</v>
      </c>
      <c r="G274" s="208">
        <v>4</v>
      </c>
      <c r="H274" s="82" t="s">
        <v>222</v>
      </c>
      <c r="I274" s="82" t="s">
        <v>105</v>
      </c>
      <c r="J274" s="82" t="s">
        <v>192</v>
      </c>
      <c r="K274" s="414">
        <v>8</v>
      </c>
      <c r="L274" s="408">
        <f t="shared" si="22"/>
        <v>104</v>
      </c>
      <c r="M274" s="409">
        <v>104</v>
      </c>
      <c r="N274" s="409"/>
      <c r="O274" s="409"/>
      <c r="P274" s="410" t="e">
        <f>IF(M274="nio",0,IF(M274&gt;0,M274*K274/S274,0))*VLOOKUP(B274,'2-Kosten per locatie'!$A$14:$C$61,3,FALSE)</f>
        <v>#DIV/0!</v>
      </c>
      <c r="Q274" s="410">
        <f>IF(N274&gt;0,N274*K274/T274,0)*VLOOKUP(B274,'2-Kosten per locatie'!$A$14:$C$61,3,FALSE)</f>
        <v>0</v>
      </c>
      <c r="R274" s="410">
        <f>IF(O274&gt;0,O274*K274/U274,0)*VLOOKUP(B274,'2-Kosten per locatie'!$A$14:$C$61,3,FALSE)</f>
        <v>0</v>
      </c>
      <c r="S274" s="411">
        <f>IF(M274="nio",0,IF(M274&gt;0,VLOOKUP(I274,'3-Productie normen'!A:P,VLOOKUP(M274,'3-Productie normen'!$B$38:$C$48,2,FALSE),FALSE)))</f>
        <v>0</v>
      </c>
      <c r="T274" s="411">
        <f t="shared" si="23"/>
        <v>0</v>
      </c>
      <c r="U274" s="411">
        <f t="shared" si="26"/>
        <v>0</v>
      </c>
      <c r="V274" s="412"/>
      <c r="X274" s="413">
        <f t="shared" si="24"/>
        <v>832</v>
      </c>
    </row>
    <row r="275" spans="1:24" ht="14.1" customHeight="1">
      <c r="A275" s="70">
        <f t="shared" si="25"/>
        <v>275</v>
      </c>
      <c r="B275" s="354" t="s">
        <v>45</v>
      </c>
      <c r="C275" s="354" t="s">
        <v>234</v>
      </c>
      <c r="D275" s="354" t="s">
        <v>165</v>
      </c>
      <c r="E275" s="404" t="s">
        <v>234</v>
      </c>
      <c r="F275" s="316" t="s">
        <v>301</v>
      </c>
      <c r="G275" s="209">
        <v>5</v>
      </c>
      <c r="H275" s="84" t="s">
        <v>222</v>
      </c>
      <c r="I275" s="84" t="s">
        <v>105</v>
      </c>
      <c r="J275" s="82" t="s">
        <v>192</v>
      </c>
      <c r="K275" s="414">
        <v>8</v>
      </c>
      <c r="L275" s="408">
        <f t="shared" si="22"/>
        <v>104</v>
      </c>
      <c r="M275" s="409">
        <v>104</v>
      </c>
      <c r="N275" s="409"/>
      <c r="O275" s="409"/>
      <c r="P275" s="410" t="e">
        <f>IF(M275="nio",0,IF(M275&gt;0,M275*K275/S275,0))*VLOOKUP(B275,'2-Kosten per locatie'!$A$14:$C$61,3,FALSE)</f>
        <v>#DIV/0!</v>
      </c>
      <c r="Q275" s="410">
        <f>IF(N275&gt;0,N275*K275/T275,0)*VLOOKUP(B275,'2-Kosten per locatie'!$A$14:$C$61,3,FALSE)</f>
        <v>0</v>
      </c>
      <c r="R275" s="410">
        <f>IF(O275&gt;0,O275*K275/U275,0)*VLOOKUP(B275,'2-Kosten per locatie'!$A$14:$C$61,3,FALSE)</f>
        <v>0</v>
      </c>
      <c r="S275" s="411">
        <f>IF(M275="nio",0,IF(M275&gt;0,VLOOKUP(I275,'3-Productie normen'!A:P,VLOOKUP(M275,'3-Productie normen'!$B$38:$C$48,2,FALSE),FALSE)))</f>
        <v>0</v>
      </c>
      <c r="T275" s="411">
        <f t="shared" si="23"/>
        <v>0</v>
      </c>
      <c r="U275" s="411">
        <f t="shared" si="26"/>
        <v>0</v>
      </c>
      <c r="V275" s="412"/>
      <c r="X275" s="413">
        <f t="shared" si="24"/>
        <v>832</v>
      </c>
    </row>
    <row r="276" spans="1:24" ht="14.1" customHeight="1">
      <c r="A276" s="70">
        <f t="shared" si="25"/>
        <v>276</v>
      </c>
      <c r="B276" s="354" t="s">
        <v>45</v>
      </c>
      <c r="C276" s="354" t="s">
        <v>234</v>
      </c>
      <c r="D276" s="354" t="s">
        <v>165</v>
      </c>
      <c r="E276" s="404" t="s">
        <v>234</v>
      </c>
      <c r="F276" s="316" t="s">
        <v>301</v>
      </c>
      <c r="G276" s="208">
        <v>6</v>
      </c>
      <c r="H276" s="82" t="s">
        <v>431</v>
      </c>
      <c r="I276" s="82" t="s">
        <v>112</v>
      </c>
      <c r="J276" s="82" t="s">
        <v>192</v>
      </c>
      <c r="K276" s="414">
        <v>16</v>
      </c>
      <c r="L276" s="408">
        <f t="shared" si="22"/>
        <v>104</v>
      </c>
      <c r="M276" s="409">
        <v>104</v>
      </c>
      <c r="N276" s="409"/>
      <c r="O276" s="409"/>
      <c r="P276" s="410" t="e">
        <f>IF(M276="nio",0,IF(M276&gt;0,M276*K276/S276,0))*VLOOKUP(B276,'2-Kosten per locatie'!$A$14:$C$61,3,FALSE)</f>
        <v>#DIV/0!</v>
      </c>
      <c r="Q276" s="410">
        <f>IF(N276&gt;0,N276*K276/T276,0)*VLOOKUP(B276,'2-Kosten per locatie'!$A$14:$C$61,3,FALSE)</f>
        <v>0</v>
      </c>
      <c r="R276" s="410">
        <f>IF(O276&gt;0,O276*K276/U276,0)*VLOOKUP(B276,'2-Kosten per locatie'!$A$14:$C$61,3,FALSE)</f>
        <v>0</v>
      </c>
      <c r="S276" s="411">
        <f>IF(M276="nio",0,IF(M276&gt;0,VLOOKUP(I276,'3-Productie normen'!A:P,VLOOKUP(M276,'3-Productie normen'!$B$38:$C$48,2,FALSE),FALSE)))</f>
        <v>0</v>
      </c>
      <c r="T276" s="411">
        <f t="shared" si="23"/>
        <v>0</v>
      </c>
      <c r="U276" s="411">
        <f t="shared" si="26"/>
        <v>0</v>
      </c>
      <c r="V276" s="412"/>
      <c r="X276" s="413">
        <f t="shared" si="24"/>
        <v>1664</v>
      </c>
    </row>
    <row r="277" spans="1:24" ht="14.1" customHeight="1">
      <c r="A277" s="70">
        <f t="shared" si="25"/>
        <v>277</v>
      </c>
      <c r="B277" s="354" t="s">
        <v>45</v>
      </c>
      <c r="C277" s="354" t="s">
        <v>234</v>
      </c>
      <c r="D277" s="354" t="s">
        <v>165</v>
      </c>
      <c r="E277" s="404" t="s">
        <v>234</v>
      </c>
      <c r="F277" s="316" t="s">
        <v>301</v>
      </c>
      <c r="G277" s="208">
        <v>7</v>
      </c>
      <c r="H277" s="82" t="s">
        <v>432</v>
      </c>
      <c r="I277" s="82" t="s">
        <v>105</v>
      </c>
      <c r="J277" s="82" t="s">
        <v>192</v>
      </c>
      <c r="K277" s="414">
        <v>12</v>
      </c>
      <c r="L277" s="408">
        <f t="shared" si="22"/>
        <v>104</v>
      </c>
      <c r="M277" s="409">
        <v>104</v>
      </c>
      <c r="N277" s="409"/>
      <c r="O277" s="409"/>
      <c r="P277" s="410" t="e">
        <f>IF(M277="nio",0,IF(M277&gt;0,M277*K277/S277,0))*VLOOKUP(B277,'2-Kosten per locatie'!$A$14:$C$61,3,FALSE)</f>
        <v>#DIV/0!</v>
      </c>
      <c r="Q277" s="410">
        <f>IF(N277&gt;0,N277*K277/T277,0)*VLOOKUP(B277,'2-Kosten per locatie'!$A$14:$C$61,3,FALSE)</f>
        <v>0</v>
      </c>
      <c r="R277" s="410">
        <f>IF(O277&gt;0,O277*K277/U277,0)*VLOOKUP(B277,'2-Kosten per locatie'!$A$14:$C$61,3,FALSE)</f>
        <v>0</v>
      </c>
      <c r="S277" s="411">
        <f>IF(M277="nio",0,IF(M277&gt;0,VLOOKUP(I277,'3-Productie normen'!A:P,VLOOKUP(M277,'3-Productie normen'!$B$38:$C$48,2,FALSE),FALSE)))</f>
        <v>0</v>
      </c>
      <c r="T277" s="411">
        <f t="shared" si="23"/>
        <v>0</v>
      </c>
      <c r="U277" s="411">
        <f t="shared" si="26"/>
        <v>0</v>
      </c>
      <c r="V277" s="412"/>
      <c r="X277" s="413">
        <f t="shared" si="24"/>
        <v>1248</v>
      </c>
    </row>
    <row r="278" spans="1:24" ht="14.1" customHeight="1">
      <c r="A278" s="70">
        <f t="shared" si="25"/>
        <v>278</v>
      </c>
      <c r="B278" s="354" t="s">
        <v>45</v>
      </c>
      <c r="C278" s="354" t="s">
        <v>234</v>
      </c>
      <c r="D278" s="354" t="s">
        <v>165</v>
      </c>
      <c r="E278" s="404" t="s">
        <v>234</v>
      </c>
      <c r="F278" s="316" t="s">
        <v>301</v>
      </c>
      <c r="G278" s="208">
        <v>8</v>
      </c>
      <c r="H278" s="82" t="s">
        <v>433</v>
      </c>
      <c r="I278" s="82" t="s">
        <v>121</v>
      </c>
      <c r="J278" s="82" t="s">
        <v>192</v>
      </c>
      <c r="K278" s="414">
        <v>8</v>
      </c>
      <c r="L278" s="408">
        <f t="shared" si="22"/>
        <v>104</v>
      </c>
      <c r="M278" s="409">
        <v>104</v>
      </c>
      <c r="N278" s="409"/>
      <c r="O278" s="409"/>
      <c r="P278" s="410" t="e">
        <f>IF(M278="nio",0,IF(M278&gt;0,M278*K278/S278,0))*VLOOKUP(B278,'2-Kosten per locatie'!$A$14:$C$61,3,FALSE)</f>
        <v>#DIV/0!</v>
      </c>
      <c r="Q278" s="410">
        <f>IF(N278&gt;0,N278*K278/T278,0)*VLOOKUP(B278,'2-Kosten per locatie'!$A$14:$C$61,3,FALSE)</f>
        <v>0</v>
      </c>
      <c r="R278" s="410">
        <f>IF(O278&gt;0,O278*K278/U278,0)*VLOOKUP(B278,'2-Kosten per locatie'!$A$14:$C$61,3,FALSE)</f>
        <v>0</v>
      </c>
      <c r="S278" s="411">
        <f>IF(M278="nio",0,IF(M278&gt;0,VLOOKUP(I278,'3-Productie normen'!A:P,VLOOKUP(M278,'3-Productie normen'!$B$38:$C$48,2,FALSE),FALSE)))</f>
        <v>0</v>
      </c>
      <c r="T278" s="411">
        <f t="shared" si="23"/>
        <v>0</v>
      </c>
      <c r="U278" s="411">
        <f t="shared" si="26"/>
        <v>0</v>
      </c>
      <c r="V278" s="412"/>
      <c r="X278" s="413">
        <f t="shared" si="24"/>
        <v>832</v>
      </c>
    </row>
    <row r="279" spans="1:24" ht="14.1" customHeight="1">
      <c r="A279" s="70">
        <f t="shared" si="25"/>
        <v>279</v>
      </c>
      <c r="B279" s="354" t="s">
        <v>45</v>
      </c>
      <c r="C279" s="354" t="s">
        <v>234</v>
      </c>
      <c r="D279" s="354" t="s">
        <v>165</v>
      </c>
      <c r="E279" s="404" t="s">
        <v>234</v>
      </c>
      <c r="F279" s="316" t="s">
        <v>301</v>
      </c>
      <c r="G279" s="208"/>
      <c r="H279" s="82" t="s">
        <v>434</v>
      </c>
      <c r="I279" s="399" t="s">
        <v>124</v>
      </c>
      <c r="J279" s="82"/>
      <c r="K279" s="414"/>
      <c r="L279" s="408">
        <f t="shared" si="22"/>
        <v>0</v>
      </c>
      <c r="M279" s="409" t="s">
        <v>242</v>
      </c>
      <c r="N279" s="409"/>
      <c r="O279" s="409"/>
      <c r="P279" s="410">
        <f>IF(M279="nio",0,IF(M279&gt;0,M279*K279/S279,0))*VLOOKUP(B279,'2-Kosten per locatie'!$A$14:$C$61,3,FALSE)</f>
        <v>0</v>
      </c>
      <c r="Q279" s="410">
        <f>IF(N279&gt;0,N279*K279/T279,0)*VLOOKUP(B279,'2-Kosten per locatie'!$A$14:$C$61,3,FALSE)</f>
        <v>0</v>
      </c>
      <c r="R279" s="410">
        <f>IF(O279&gt;0,O279*K279/U279,0)*VLOOKUP(B279,'2-Kosten per locatie'!$A$14:$C$61,3,FALSE)</f>
        <v>0</v>
      </c>
      <c r="S279" s="411">
        <f>IF(M279="nio",0,IF(M279&gt;0,VLOOKUP(I279,'3-Productie normen'!A:P,VLOOKUP(M279,'3-Productie normen'!$B$38:$C$48,2,FALSE),FALSE)))</f>
        <v>0</v>
      </c>
      <c r="T279" s="411">
        <f t="shared" si="23"/>
        <v>0</v>
      </c>
      <c r="U279" s="411">
        <f t="shared" si="26"/>
        <v>0</v>
      </c>
      <c r="V279" s="412"/>
      <c r="X279" s="413">
        <f t="shared" si="24"/>
        <v>0</v>
      </c>
    </row>
    <row r="280" spans="1:24" ht="14.1" customHeight="1">
      <c r="A280" s="70">
        <f t="shared" si="25"/>
        <v>280</v>
      </c>
      <c r="B280" s="354" t="s">
        <v>46</v>
      </c>
      <c r="C280" s="354" t="s">
        <v>234</v>
      </c>
      <c r="D280" s="354" t="s">
        <v>165</v>
      </c>
      <c r="E280" s="404" t="s">
        <v>234</v>
      </c>
      <c r="F280" s="316" t="s">
        <v>301</v>
      </c>
      <c r="G280" s="208">
        <v>1</v>
      </c>
      <c r="H280" s="82" t="s">
        <v>234</v>
      </c>
      <c r="I280" s="82" t="s">
        <v>105</v>
      </c>
      <c r="J280" s="82" t="s">
        <v>429</v>
      </c>
      <c r="K280" s="414">
        <v>162</v>
      </c>
      <c r="L280" s="408">
        <f t="shared" si="22"/>
        <v>104</v>
      </c>
      <c r="M280" s="409">
        <v>104</v>
      </c>
      <c r="N280" s="409"/>
      <c r="O280" s="409"/>
      <c r="P280" s="410" t="e">
        <f>IF(M280="nio",0,IF(M280&gt;0,M280*K280/S280,0))*VLOOKUP(B280,'2-Kosten per locatie'!$A$14:$C$61,3,FALSE)</f>
        <v>#DIV/0!</v>
      </c>
      <c r="Q280" s="410">
        <f>IF(N280&gt;0,N280*K280/T280,0)*VLOOKUP(B280,'2-Kosten per locatie'!$A$14:$C$61,3,FALSE)</f>
        <v>0</v>
      </c>
      <c r="R280" s="410">
        <f>IF(O280&gt;0,O280*K280/U280,0)*VLOOKUP(B280,'2-Kosten per locatie'!$A$14:$C$61,3,FALSE)</f>
        <v>0</v>
      </c>
      <c r="S280" s="411">
        <f>IF(M280="nio",0,IF(M280&gt;0,VLOOKUP(I280,'3-Productie normen'!A:P,VLOOKUP(M280,'3-Productie normen'!$B$38:$C$48,2,FALSE),FALSE)))</f>
        <v>0</v>
      </c>
      <c r="T280" s="411">
        <f t="shared" si="23"/>
        <v>0</v>
      </c>
      <c r="U280" s="411">
        <f t="shared" si="26"/>
        <v>0</v>
      </c>
      <c r="V280" s="412"/>
      <c r="X280" s="413">
        <f t="shared" si="24"/>
        <v>16848</v>
      </c>
    </row>
    <row r="281" spans="1:24" ht="14.1" customHeight="1">
      <c r="A281" s="70">
        <f t="shared" si="25"/>
        <v>281</v>
      </c>
      <c r="B281" s="354" t="s">
        <v>46</v>
      </c>
      <c r="C281" s="354" t="s">
        <v>234</v>
      </c>
      <c r="D281" s="354" t="s">
        <v>165</v>
      </c>
      <c r="E281" s="404" t="s">
        <v>234</v>
      </c>
      <c r="F281" s="316" t="s">
        <v>301</v>
      </c>
      <c r="G281" s="208">
        <v>2</v>
      </c>
      <c r="H281" s="82" t="s">
        <v>225</v>
      </c>
      <c r="I281" s="82" t="s">
        <v>112</v>
      </c>
      <c r="J281" s="82" t="s">
        <v>192</v>
      </c>
      <c r="K281" s="414">
        <v>57.5</v>
      </c>
      <c r="L281" s="408">
        <f t="shared" si="22"/>
        <v>104</v>
      </c>
      <c r="M281" s="409">
        <v>104</v>
      </c>
      <c r="N281" s="409"/>
      <c r="O281" s="409"/>
      <c r="P281" s="410" t="e">
        <f>IF(M281="nio",0,IF(M281&gt;0,M281*K281/S281,0))*VLOOKUP(B281,'2-Kosten per locatie'!$A$14:$C$61,3,FALSE)</f>
        <v>#DIV/0!</v>
      </c>
      <c r="Q281" s="410">
        <f>IF(N281&gt;0,N281*K281/T281,0)*VLOOKUP(B281,'2-Kosten per locatie'!$A$14:$C$61,3,FALSE)</f>
        <v>0</v>
      </c>
      <c r="R281" s="410">
        <f>IF(O281&gt;0,O281*K281/U281,0)*VLOOKUP(B281,'2-Kosten per locatie'!$A$14:$C$61,3,FALSE)</f>
        <v>0</v>
      </c>
      <c r="S281" s="411">
        <f>IF(M281="nio",0,IF(M281&gt;0,VLOOKUP(I281,'3-Productie normen'!A:P,VLOOKUP(M281,'3-Productie normen'!$B$38:$C$48,2,FALSE),FALSE)))</f>
        <v>0</v>
      </c>
      <c r="T281" s="411">
        <f t="shared" si="23"/>
        <v>0</v>
      </c>
      <c r="U281" s="411">
        <f t="shared" si="26"/>
        <v>0</v>
      </c>
      <c r="V281" s="412"/>
      <c r="X281" s="413">
        <f t="shared" si="24"/>
        <v>5980</v>
      </c>
    </row>
    <row r="282" spans="1:24" ht="14.1" customHeight="1">
      <c r="A282" s="70">
        <f t="shared" si="25"/>
        <v>282</v>
      </c>
      <c r="B282" s="354" t="s">
        <v>46</v>
      </c>
      <c r="C282" s="354" t="s">
        <v>234</v>
      </c>
      <c r="D282" s="354" t="s">
        <v>165</v>
      </c>
      <c r="E282" s="404" t="s">
        <v>234</v>
      </c>
      <c r="F282" s="316" t="s">
        <v>301</v>
      </c>
      <c r="G282" s="208">
        <v>3</v>
      </c>
      <c r="H282" s="82" t="s">
        <v>431</v>
      </c>
      <c r="I282" s="82" t="s">
        <v>112</v>
      </c>
      <c r="J282" s="82" t="s">
        <v>179</v>
      </c>
      <c r="K282" s="414">
        <v>35</v>
      </c>
      <c r="L282" s="408">
        <f t="shared" si="22"/>
        <v>104</v>
      </c>
      <c r="M282" s="409">
        <v>104</v>
      </c>
      <c r="N282" s="409"/>
      <c r="O282" s="409"/>
      <c r="P282" s="410" t="e">
        <f>IF(M282="nio",0,IF(M282&gt;0,M282*K282/S282,0))*VLOOKUP(B282,'2-Kosten per locatie'!$A$14:$C$61,3,FALSE)</f>
        <v>#DIV/0!</v>
      </c>
      <c r="Q282" s="410">
        <f>IF(N282&gt;0,N282*K282/T282,0)*VLOOKUP(B282,'2-Kosten per locatie'!$A$14:$C$61,3,FALSE)</f>
        <v>0</v>
      </c>
      <c r="R282" s="410">
        <f>IF(O282&gt;0,O282*K282/U282,0)*VLOOKUP(B282,'2-Kosten per locatie'!$A$14:$C$61,3,FALSE)</f>
        <v>0</v>
      </c>
      <c r="S282" s="411">
        <f>IF(M282="nio",0,IF(M282&gt;0,VLOOKUP(I282,'3-Productie normen'!A:P,VLOOKUP(M282,'3-Productie normen'!$B$38:$C$48,2,FALSE),FALSE)))</f>
        <v>0</v>
      </c>
      <c r="T282" s="411">
        <f t="shared" si="23"/>
        <v>0</v>
      </c>
      <c r="U282" s="411">
        <f t="shared" si="26"/>
        <v>0</v>
      </c>
      <c r="V282" s="412"/>
      <c r="X282" s="413">
        <f t="shared" si="24"/>
        <v>3640</v>
      </c>
    </row>
    <row r="283" spans="1:24" ht="14.1" customHeight="1">
      <c r="A283" s="70">
        <f t="shared" si="25"/>
        <v>283</v>
      </c>
      <c r="B283" s="354" t="s">
        <v>46</v>
      </c>
      <c r="C283" s="354" t="s">
        <v>234</v>
      </c>
      <c r="D283" s="354" t="s">
        <v>165</v>
      </c>
      <c r="E283" s="404" t="s">
        <v>234</v>
      </c>
      <c r="F283" s="316" t="s">
        <v>301</v>
      </c>
      <c r="G283" s="208">
        <v>4</v>
      </c>
      <c r="H283" s="82" t="s">
        <v>290</v>
      </c>
      <c r="I283" s="82" t="s">
        <v>108</v>
      </c>
      <c r="J283" s="82" t="s">
        <v>192</v>
      </c>
      <c r="K283" s="414">
        <v>418</v>
      </c>
      <c r="L283" s="408">
        <f t="shared" si="22"/>
        <v>104</v>
      </c>
      <c r="M283" s="409">
        <v>104</v>
      </c>
      <c r="N283" s="409"/>
      <c r="O283" s="409"/>
      <c r="P283" s="410" t="e">
        <f>IF(M283="nio",0,IF(M283&gt;0,M283*K283/S283,0))*VLOOKUP(B283,'2-Kosten per locatie'!$A$14:$C$61,3,FALSE)</f>
        <v>#DIV/0!</v>
      </c>
      <c r="Q283" s="410">
        <f>IF(N283&gt;0,N283*K283/T283,0)*VLOOKUP(B283,'2-Kosten per locatie'!$A$14:$C$61,3,FALSE)</f>
        <v>0</v>
      </c>
      <c r="R283" s="410">
        <f>IF(O283&gt;0,O283*K283/U283,0)*VLOOKUP(B283,'2-Kosten per locatie'!$A$14:$C$61,3,FALSE)</f>
        <v>0</v>
      </c>
      <c r="S283" s="411">
        <f>IF(M283="nio",0,IF(M283&gt;0,VLOOKUP(I283,'3-Productie normen'!A:P,VLOOKUP(M283,'3-Productie normen'!$B$38:$C$48,2,FALSE),FALSE)))</f>
        <v>0</v>
      </c>
      <c r="T283" s="411">
        <f t="shared" si="23"/>
        <v>0</v>
      </c>
      <c r="U283" s="411">
        <f t="shared" si="26"/>
        <v>0</v>
      </c>
      <c r="V283" s="412"/>
      <c r="X283" s="413">
        <f t="shared" si="24"/>
        <v>43472</v>
      </c>
    </row>
    <row r="284" spans="1:24" ht="14.1" customHeight="1">
      <c r="A284" s="70">
        <f t="shared" si="25"/>
        <v>284</v>
      </c>
      <c r="B284" s="354" t="s">
        <v>46</v>
      </c>
      <c r="C284" s="354" t="s">
        <v>234</v>
      </c>
      <c r="D284" s="354" t="s">
        <v>165</v>
      </c>
      <c r="E284" s="404" t="s">
        <v>234</v>
      </c>
      <c r="F284" s="316" t="s">
        <v>301</v>
      </c>
      <c r="G284" s="208">
        <v>5</v>
      </c>
      <c r="H284" s="82" t="s">
        <v>435</v>
      </c>
      <c r="I284" s="82" t="s">
        <v>105</v>
      </c>
      <c r="J284" s="82" t="s">
        <v>192</v>
      </c>
      <c r="K284" s="414">
        <v>57.5</v>
      </c>
      <c r="L284" s="408">
        <f t="shared" si="22"/>
        <v>104</v>
      </c>
      <c r="M284" s="409">
        <v>104</v>
      </c>
      <c r="N284" s="409"/>
      <c r="O284" s="409"/>
      <c r="P284" s="410" t="e">
        <f>IF(M284="nio",0,IF(M284&gt;0,M284*K284/S284,0))*VLOOKUP(B284,'2-Kosten per locatie'!$A$14:$C$61,3,FALSE)</f>
        <v>#DIV/0!</v>
      </c>
      <c r="Q284" s="410">
        <f>IF(N284&gt;0,N284*K284/T284,0)*VLOOKUP(B284,'2-Kosten per locatie'!$A$14:$C$61,3,FALSE)</f>
        <v>0</v>
      </c>
      <c r="R284" s="410">
        <f>IF(O284&gt;0,O284*K284/U284,0)*VLOOKUP(B284,'2-Kosten per locatie'!$A$14:$C$61,3,FALSE)</f>
        <v>0</v>
      </c>
      <c r="S284" s="411">
        <f>IF(M284="nio",0,IF(M284&gt;0,VLOOKUP(I284,'3-Productie normen'!A:P,VLOOKUP(M284,'3-Productie normen'!$B$38:$C$48,2,FALSE),FALSE)))</f>
        <v>0</v>
      </c>
      <c r="T284" s="411">
        <f t="shared" si="23"/>
        <v>0</v>
      </c>
      <c r="U284" s="411">
        <f t="shared" si="26"/>
        <v>0</v>
      </c>
      <c r="V284" s="412"/>
      <c r="X284" s="413">
        <f t="shared" si="24"/>
        <v>5980</v>
      </c>
    </row>
    <row r="285" spans="1:24" ht="14.1" customHeight="1">
      <c r="A285" s="70">
        <f t="shared" si="25"/>
        <v>285</v>
      </c>
      <c r="B285" s="354" t="s">
        <v>46</v>
      </c>
      <c r="C285" s="354" t="s">
        <v>234</v>
      </c>
      <c r="D285" s="354" t="s">
        <v>165</v>
      </c>
      <c r="E285" s="404" t="s">
        <v>234</v>
      </c>
      <c r="F285" s="316" t="s">
        <v>301</v>
      </c>
      <c r="G285" s="208">
        <v>6</v>
      </c>
      <c r="H285" s="82" t="s">
        <v>307</v>
      </c>
      <c r="I285" s="82" t="s">
        <v>106</v>
      </c>
      <c r="J285" s="82" t="s">
        <v>192</v>
      </c>
      <c r="K285" s="414">
        <v>3.2</v>
      </c>
      <c r="L285" s="408">
        <f t="shared" si="22"/>
        <v>104</v>
      </c>
      <c r="M285" s="409">
        <v>104</v>
      </c>
      <c r="N285" s="409"/>
      <c r="O285" s="409"/>
      <c r="P285" s="410" t="e">
        <f>IF(M285="nio",0,IF(M285&gt;0,M285*K285/S285,0))*VLOOKUP(B285,'2-Kosten per locatie'!$A$14:$C$61,3,FALSE)</f>
        <v>#DIV/0!</v>
      </c>
      <c r="Q285" s="410">
        <f>IF(N285&gt;0,N285*K285/T285,0)*VLOOKUP(B285,'2-Kosten per locatie'!$A$14:$C$61,3,FALSE)</f>
        <v>0</v>
      </c>
      <c r="R285" s="410">
        <f>IF(O285&gt;0,O285*K285/U285,0)*VLOOKUP(B285,'2-Kosten per locatie'!$A$14:$C$61,3,FALSE)</f>
        <v>0</v>
      </c>
      <c r="S285" s="411">
        <f>IF(M285="nio",0,IF(M285&gt;0,VLOOKUP(I285,'3-Productie normen'!A:P,VLOOKUP(M285,'3-Productie normen'!$B$38:$C$48,2,FALSE),FALSE)))</f>
        <v>0</v>
      </c>
      <c r="T285" s="411">
        <f t="shared" si="23"/>
        <v>0</v>
      </c>
      <c r="U285" s="411">
        <f t="shared" si="26"/>
        <v>0</v>
      </c>
      <c r="V285" s="412"/>
      <c r="X285" s="413">
        <f t="shared" si="24"/>
        <v>332.8</v>
      </c>
    </row>
    <row r="286" spans="1:24" ht="14.1" customHeight="1">
      <c r="A286" s="70">
        <f t="shared" si="25"/>
        <v>286</v>
      </c>
      <c r="B286" s="354" t="s">
        <v>46</v>
      </c>
      <c r="C286" s="354" t="s">
        <v>234</v>
      </c>
      <c r="D286" s="354" t="s">
        <v>165</v>
      </c>
      <c r="E286" s="404" t="s">
        <v>234</v>
      </c>
      <c r="F286" s="316" t="s">
        <v>301</v>
      </c>
      <c r="G286" s="208">
        <v>7</v>
      </c>
      <c r="H286" s="82" t="s">
        <v>307</v>
      </c>
      <c r="I286" s="82" t="s">
        <v>106</v>
      </c>
      <c r="J286" s="82" t="s">
        <v>192</v>
      </c>
      <c r="K286" s="414">
        <v>9.1999999999999993</v>
      </c>
      <c r="L286" s="408">
        <f t="shared" si="22"/>
        <v>104</v>
      </c>
      <c r="M286" s="409">
        <v>104</v>
      </c>
      <c r="N286" s="409"/>
      <c r="O286" s="409"/>
      <c r="P286" s="410" t="e">
        <f>IF(M286="nio",0,IF(M286&gt;0,M286*K286/S286,0))*VLOOKUP(B286,'2-Kosten per locatie'!$A$14:$C$61,3,FALSE)</f>
        <v>#DIV/0!</v>
      </c>
      <c r="Q286" s="410">
        <f>IF(N286&gt;0,N286*K286/T286,0)*VLOOKUP(B286,'2-Kosten per locatie'!$A$14:$C$61,3,FALSE)</f>
        <v>0</v>
      </c>
      <c r="R286" s="410">
        <f>IF(O286&gt;0,O286*K286/U286,0)*VLOOKUP(B286,'2-Kosten per locatie'!$A$14:$C$61,3,FALSE)</f>
        <v>0</v>
      </c>
      <c r="S286" s="411">
        <f>IF(M286="nio",0,IF(M286&gt;0,VLOOKUP(I286,'3-Productie normen'!A:P,VLOOKUP(M286,'3-Productie normen'!$B$38:$C$48,2,FALSE),FALSE)))</f>
        <v>0</v>
      </c>
      <c r="T286" s="411">
        <f t="shared" si="23"/>
        <v>0</v>
      </c>
      <c r="U286" s="411">
        <f t="shared" si="26"/>
        <v>0</v>
      </c>
      <c r="V286" s="412"/>
      <c r="X286" s="413">
        <f t="shared" si="24"/>
        <v>956.8</v>
      </c>
    </row>
    <row r="287" spans="1:24" ht="14.1" customHeight="1">
      <c r="A287" s="70">
        <f t="shared" si="25"/>
        <v>287</v>
      </c>
      <c r="B287" s="354" t="s">
        <v>46</v>
      </c>
      <c r="C287" s="354" t="s">
        <v>234</v>
      </c>
      <c r="D287" s="354" t="s">
        <v>165</v>
      </c>
      <c r="E287" s="404" t="s">
        <v>234</v>
      </c>
      <c r="F287" s="316" t="s">
        <v>301</v>
      </c>
      <c r="G287" s="208">
        <v>8</v>
      </c>
      <c r="H287" s="82" t="s">
        <v>307</v>
      </c>
      <c r="I287" s="82" t="s">
        <v>106</v>
      </c>
      <c r="J287" s="82" t="s">
        <v>192</v>
      </c>
      <c r="K287" s="414">
        <v>13.6</v>
      </c>
      <c r="L287" s="408">
        <f t="shared" si="22"/>
        <v>104</v>
      </c>
      <c r="M287" s="409">
        <v>104</v>
      </c>
      <c r="N287" s="409"/>
      <c r="O287" s="409"/>
      <c r="P287" s="410" t="e">
        <f>IF(M287="nio",0,IF(M287&gt;0,M287*K287/S287,0))*VLOOKUP(B287,'2-Kosten per locatie'!$A$14:$C$61,3,FALSE)</f>
        <v>#DIV/0!</v>
      </c>
      <c r="Q287" s="410">
        <f>IF(N287&gt;0,N287*K287/T287,0)*VLOOKUP(B287,'2-Kosten per locatie'!$A$14:$C$61,3,FALSE)</f>
        <v>0</v>
      </c>
      <c r="R287" s="410">
        <f>IF(O287&gt;0,O287*K287/U287,0)*VLOOKUP(B287,'2-Kosten per locatie'!$A$14:$C$61,3,FALSE)</f>
        <v>0</v>
      </c>
      <c r="S287" s="411">
        <f>IF(M287="nio",0,IF(M287&gt;0,VLOOKUP(I287,'3-Productie normen'!A:P,VLOOKUP(M287,'3-Productie normen'!$B$38:$C$48,2,FALSE),FALSE)))</f>
        <v>0</v>
      </c>
      <c r="T287" s="411">
        <f t="shared" si="23"/>
        <v>0</v>
      </c>
      <c r="U287" s="411">
        <f t="shared" si="26"/>
        <v>0</v>
      </c>
      <c r="V287" s="412"/>
      <c r="X287" s="413">
        <f t="shared" si="24"/>
        <v>1414.3999999999999</v>
      </c>
    </row>
    <row r="288" spans="1:24" ht="14.1" customHeight="1">
      <c r="A288" s="70">
        <f t="shared" si="25"/>
        <v>288</v>
      </c>
      <c r="B288" s="354" t="s">
        <v>46</v>
      </c>
      <c r="C288" s="354" t="s">
        <v>234</v>
      </c>
      <c r="D288" s="354" t="s">
        <v>165</v>
      </c>
      <c r="E288" s="404" t="s">
        <v>234</v>
      </c>
      <c r="F288" s="316" t="s">
        <v>301</v>
      </c>
      <c r="G288" s="208">
        <v>0</v>
      </c>
      <c r="H288" s="82" t="s">
        <v>436</v>
      </c>
      <c r="I288" s="399" t="s">
        <v>124</v>
      </c>
      <c r="J288" s="82"/>
      <c r="K288" s="414"/>
      <c r="L288" s="408">
        <f t="shared" si="22"/>
        <v>0</v>
      </c>
      <c r="M288" s="409" t="s">
        <v>242</v>
      </c>
      <c r="N288" s="409"/>
      <c r="O288" s="409"/>
      <c r="P288" s="410">
        <f>IF(M288="nio",0,IF(M288&gt;0,M288*K288/S288,0))*VLOOKUP(B288,'2-Kosten per locatie'!$A$14:$C$61,3,FALSE)</f>
        <v>0</v>
      </c>
      <c r="Q288" s="410">
        <f>IF(N288&gt;0,N288*K288/T288,0)*VLOOKUP(B288,'2-Kosten per locatie'!$A$14:$C$61,3,FALSE)</f>
        <v>0</v>
      </c>
      <c r="R288" s="410">
        <f>IF(O288&gt;0,O288*K288/U288,0)*VLOOKUP(B288,'2-Kosten per locatie'!$A$14:$C$61,3,FALSE)</f>
        <v>0</v>
      </c>
      <c r="S288" s="411">
        <f>IF(M288="nio",0,IF(M288&gt;0,VLOOKUP(I288,'3-Productie normen'!A:P,VLOOKUP(M288,'3-Productie normen'!$B$38:$C$48,2,FALSE),FALSE)))</f>
        <v>0</v>
      </c>
      <c r="T288" s="411">
        <f t="shared" si="23"/>
        <v>0</v>
      </c>
      <c r="U288" s="411">
        <f t="shared" si="26"/>
        <v>0</v>
      </c>
      <c r="V288" s="412"/>
      <c r="X288" s="413">
        <f t="shared" si="24"/>
        <v>0</v>
      </c>
    </row>
    <row r="289" spans="1:24" ht="14.1" customHeight="1">
      <c r="A289" s="70">
        <f t="shared" si="25"/>
        <v>289</v>
      </c>
      <c r="B289" s="354" t="s">
        <v>47</v>
      </c>
      <c r="C289" s="354" t="s">
        <v>437</v>
      </c>
      <c r="D289" s="354" t="s">
        <v>165</v>
      </c>
      <c r="E289" s="404" t="s">
        <v>438</v>
      </c>
      <c r="F289" s="317" t="s">
        <v>167</v>
      </c>
      <c r="G289" s="208" t="s">
        <v>191</v>
      </c>
      <c r="H289" s="82" t="s">
        <v>187</v>
      </c>
      <c r="I289" s="82" t="s">
        <v>107</v>
      </c>
      <c r="J289" s="82" t="s">
        <v>179</v>
      </c>
      <c r="K289" s="414">
        <v>18</v>
      </c>
      <c r="L289" s="408">
        <f t="shared" si="22"/>
        <v>276</v>
      </c>
      <c r="M289" s="409">
        <v>230</v>
      </c>
      <c r="N289" s="409"/>
      <c r="O289" s="409">
        <v>46</v>
      </c>
      <c r="P289" s="410" t="e">
        <f>IF(M289="nio",0,IF(M289&gt;0,M289*K289/S289,0))*VLOOKUP(B289,'2-Kosten per locatie'!$A$14:$C$61,3,FALSE)</f>
        <v>#DIV/0!</v>
      </c>
      <c r="Q289" s="410">
        <f>IF(N289&gt;0,N289*K289/T289,0)*VLOOKUP(B289,'2-Kosten per locatie'!$A$14:$C$61,3,FALSE)</f>
        <v>0</v>
      </c>
      <c r="R289" s="410" t="e">
        <f>IF(O289&gt;0,O289*K289/U289,0)*VLOOKUP(B289,'2-Kosten per locatie'!$A$14:$C$61,3,FALSE)</f>
        <v>#DIV/0!</v>
      </c>
      <c r="S289" s="411">
        <f>IF(M289="nio",0,IF(M289&gt;0,VLOOKUP(I289,'3-Productie normen'!A:P,VLOOKUP(M289,'3-Productie normen'!$B$38:$C$48,2,FALSE),FALSE)))</f>
        <v>0</v>
      </c>
      <c r="T289" s="411">
        <f t="shared" si="23"/>
        <v>0</v>
      </c>
      <c r="U289" s="411">
        <f t="shared" si="26"/>
        <v>0</v>
      </c>
      <c r="V289" s="412"/>
      <c r="X289" s="413">
        <f t="shared" si="24"/>
        <v>4968</v>
      </c>
    </row>
    <row r="290" spans="1:24" ht="14.1" customHeight="1">
      <c r="A290" s="70">
        <f t="shared" si="25"/>
        <v>290</v>
      </c>
      <c r="B290" s="354" t="s">
        <v>47</v>
      </c>
      <c r="C290" s="354" t="s">
        <v>437</v>
      </c>
      <c r="D290" s="354" t="s">
        <v>165</v>
      </c>
      <c r="E290" s="404" t="s">
        <v>438</v>
      </c>
      <c r="F290" s="317" t="s">
        <v>167</v>
      </c>
      <c r="G290" s="208" t="s">
        <v>194</v>
      </c>
      <c r="H290" s="82" t="s">
        <v>439</v>
      </c>
      <c r="I290" s="82" t="s">
        <v>111</v>
      </c>
      <c r="J290" s="82" t="s">
        <v>179</v>
      </c>
      <c r="K290" s="414">
        <v>29</v>
      </c>
      <c r="L290" s="408">
        <f t="shared" si="22"/>
        <v>276</v>
      </c>
      <c r="M290" s="409">
        <v>230</v>
      </c>
      <c r="N290" s="409"/>
      <c r="O290" s="409">
        <v>46</v>
      </c>
      <c r="P290" s="410" t="e">
        <f>IF(M290="nio",0,IF(M290&gt;0,M290*K290/S290,0))*VLOOKUP(B290,'2-Kosten per locatie'!$A$14:$C$61,3,FALSE)</f>
        <v>#DIV/0!</v>
      </c>
      <c r="Q290" s="410">
        <f>IF(N290&gt;0,N290*K290/T290,0)*VLOOKUP(B290,'2-Kosten per locatie'!$A$14:$C$61,3,FALSE)</f>
        <v>0</v>
      </c>
      <c r="R290" s="410" t="e">
        <f>IF(O290&gt;0,O290*K290/U290,0)*VLOOKUP(B290,'2-Kosten per locatie'!$A$14:$C$61,3,FALSE)</f>
        <v>#DIV/0!</v>
      </c>
      <c r="S290" s="411">
        <f>IF(M290="nio",0,IF(M290&gt;0,VLOOKUP(I290,'3-Productie normen'!A:P,VLOOKUP(M290,'3-Productie normen'!$B$38:$C$48,2,FALSE),FALSE)))</f>
        <v>0</v>
      </c>
      <c r="T290" s="411">
        <f t="shared" si="23"/>
        <v>0</v>
      </c>
      <c r="U290" s="411">
        <f t="shared" si="26"/>
        <v>0</v>
      </c>
      <c r="V290" s="412"/>
      <c r="X290" s="413">
        <f t="shared" si="24"/>
        <v>8004</v>
      </c>
    </row>
    <row r="291" spans="1:24" ht="14.1" customHeight="1">
      <c r="A291" s="70">
        <f t="shared" si="25"/>
        <v>291</v>
      </c>
      <c r="B291" s="354" t="s">
        <v>47</v>
      </c>
      <c r="C291" s="354" t="s">
        <v>437</v>
      </c>
      <c r="D291" s="354" t="s">
        <v>165</v>
      </c>
      <c r="E291" s="404" t="s">
        <v>438</v>
      </c>
      <c r="F291" s="317" t="s">
        <v>167</v>
      </c>
      <c r="G291" s="208" t="s">
        <v>198</v>
      </c>
      <c r="H291" s="82" t="s">
        <v>439</v>
      </c>
      <c r="I291" s="82" t="s">
        <v>111</v>
      </c>
      <c r="J291" s="82" t="s">
        <v>179</v>
      </c>
      <c r="K291" s="414">
        <v>29</v>
      </c>
      <c r="L291" s="408">
        <f t="shared" si="22"/>
        <v>276</v>
      </c>
      <c r="M291" s="409">
        <v>230</v>
      </c>
      <c r="N291" s="409"/>
      <c r="O291" s="409">
        <v>46</v>
      </c>
      <c r="P291" s="410" t="e">
        <f>IF(M291="nio",0,IF(M291&gt;0,M291*K291/S291,0))*VLOOKUP(B291,'2-Kosten per locatie'!$A$14:$C$61,3,FALSE)</f>
        <v>#DIV/0!</v>
      </c>
      <c r="Q291" s="410">
        <f>IF(N291&gt;0,N291*K291/T291,0)*VLOOKUP(B291,'2-Kosten per locatie'!$A$14:$C$61,3,FALSE)</f>
        <v>0</v>
      </c>
      <c r="R291" s="410" t="e">
        <f>IF(O291&gt;0,O291*K291/U291,0)*VLOOKUP(B291,'2-Kosten per locatie'!$A$14:$C$61,3,FALSE)</f>
        <v>#DIV/0!</v>
      </c>
      <c r="S291" s="411">
        <f>IF(M291="nio",0,IF(M291&gt;0,VLOOKUP(I291,'3-Productie normen'!A:P,VLOOKUP(M291,'3-Productie normen'!$B$38:$C$48,2,FALSE),FALSE)))</f>
        <v>0</v>
      </c>
      <c r="T291" s="411">
        <f t="shared" si="23"/>
        <v>0</v>
      </c>
      <c r="U291" s="411">
        <f t="shared" si="26"/>
        <v>0</v>
      </c>
      <c r="V291" s="412"/>
      <c r="X291" s="413">
        <f t="shared" si="24"/>
        <v>8004</v>
      </c>
    </row>
    <row r="292" spans="1:24" ht="14.1" customHeight="1">
      <c r="A292" s="70">
        <f t="shared" si="25"/>
        <v>292</v>
      </c>
      <c r="B292" s="354" t="s">
        <v>47</v>
      </c>
      <c r="C292" s="354" t="s">
        <v>437</v>
      </c>
      <c r="D292" s="354" t="s">
        <v>165</v>
      </c>
      <c r="E292" s="404" t="s">
        <v>438</v>
      </c>
      <c r="F292" s="317" t="s">
        <v>167</v>
      </c>
      <c r="G292" s="208" t="s">
        <v>196</v>
      </c>
      <c r="H292" s="82" t="s">
        <v>183</v>
      </c>
      <c r="I292" s="82" t="s">
        <v>106</v>
      </c>
      <c r="J292" s="82" t="s">
        <v>179</v>
      </c>
      <c r="K292" s="414">
        <v>38</v>
      </c>
      <c r="L292" s="408">
        <f t="shared" si="22"/>
        <v>276</v>
      </c>
      <c r="M292" s="409">
        <v>230</v>
      </c>
      <c r="N292" s="409"/>
      <c r="O292" s="409">
        <v>46</v>
      </c>
      <c r="P292" s="410" t="e">
        <f>IF(M292="nio",0,IF(M292&gt;0,M292*K292/S292,0))*VLOOKUP(B292,'2-Kosten per locatie'!$A$14:$C$61,3,FALSE)</f>
        <v>#DIV/0!</v>
      </c>
      <c r="Q292" s="410">
        <f>IF(N292&gt;0,N292*K292/T292,0)*VLOOKUP(B292,'2-Kosten per locatie'!$A$14:$C$61,3,FALSE)</f>
        <v>0</v>
      </c>
      <c r="R292" s="410" t="e">
        <f>IF(O292&gt;0,O292*K292/U292,0)*VLOOKUP(B292,'2-Kosten per locatie'!$A$14:$C$61,3,FALSE)</f>
        <v>#DIV/0!</v>
      </c>
      <c r="S292" s="411">
        <f>IF(M292="nio",0,IF(M292&gt;0,VLOOKUP(I292,'3-Productie normen'!A:P,VLOOKUP(M292,'3-Productie normen'!$B$38:$C$48,2,FALSE),FALSE)))</f>
        <v>0</v>
      </c>
      <c r="T292" s="411">
        <f t="shared" si="23"/>
        <v>0</v>
      </c>
      <c r="U292" s="411">
        <f t="shared" si="26"/>
        <v>0</v>
      </c>
      <c r="V292" s="412"/>
      <c r="X292" s="413">
        <f t="shared" si="24"/>
        <v>10488</v>
      </c>
    </row>
    <row r="293" spans="1:24" ht="14.1" customHeight="1">
      <c r="A293" s="70">
        <f t="shared" si="25"/>
        <v>293</v>
      </c>
      <c r="B293" s="354" t="s">
        <v>47</v>
      </c>
      <c r="C293" s="354" t="s">
        <v>437</v>
      </c>
      <c r="D293" s="354" t="s">
        <v>165</v>
      </c>
      <c r="E293" s="404" t="s">
        <v>438</v>
      </c>
      <c r="F293" s="317" t="s">
        <v>167</v>
      </c>
      <c r="G293" s="208" t="s">
        <v>202</v>
      </c>
      <c r="H293" s="82" t="s">
        <v>440</v>
      </c>
      <c r="I293" s="82" t="s">
        <v>123</v>
      </c>
      <c r="J293" s="82" t="s">
        <v>179</v>
      </c>
      <c r="K293" s="414">
        <v>36</v>
      </c>
      <c r="L293" s="408">
        <f t="shared" si="22"/>
        <v>46</v>
      </c>
      <c r="M293" s="409">
        <v>46</v>
      </c>
      <c r="N293" s="409"/>
      <c r="O293" s="409"/>
      <c r="P293" s="410" t="e">
        <f>IF(M293="nio",0,IF(M293&gt;0,M293*K293/S293,0))*VLOOKUP(B293,'2-Kosten per locatie'!$A$14:$C$61,3,FALSE)</f>
        <v>#DIV/0!</v>
      </c>
      <c r="Q293" s="410">
        <f>IF(N293&gt;0,N293*K293/T293,0)*VLOOKUP(B293,'2-Kosten per locatie'!$A$14:$C$61,3,FALSE)</f>
        <v>0</v>
      </c>
      <c r="R293" s="410">
        <f>IF(O293&gt;0,O293*K293/U293,0)*VLOOKUP(B293,'2-Kosten per locatie'!$A$14:$C$61,3,FALSE)</f>
        <v>0</v>
      </c>
      <c r="S293" s="411">
        <f>IF(M293="nio",0,IF(M293&gt;0,VLOOKUP(I293,'3-Productie normen'!A:P,VLOOKUP(M293,'3-Productie normen'!$B$38:$C$48,2,FALSE),FALSE)))</f>
        <v>0</v>
      </c>
      <c r="T293" s="411">
        <f t="shared" si="23"/>
        <v>0</v>
      </c>
      <c r="U293" s="411">
        <f t="shared" si="26"/>
        <v>0</v>
      </c>
      <c r="V293" s="412"/>
      <c r="X293" s="413">
        <f t="shared" si="24"/>
        <v>1656</v>
      </c>
    </row>
    <row r="294" spans="1:24" ht="14.1" customHeight="1">
      <c r="A294" s="70">
        <f t="shared" si="25"/>
        <v>294</v>
      </c>
      <c r="B294" s="354" t="s">
        <v>47</v>
      </c>
      <c r="C294" s="354" t="s">
        <v>437</v>
      </c>
      <c r="D294" s="354" t="s">
        <v>165</v>
      </c>
      <c r="E294" s="404" t="s">
        <v>438</v>
      </c>
      <c r="F294" s="317" t="s">
        <v>167</v>
      </c>
      <c r="G294" s="208" t="s">
        <v>199</v>
      </c>
      <c r="H294" s="82" t="s">
        <v>441</v>
      </c>
      <c r="I294" s="82" t="s">
        <v>114</v>
      </c>
      <c r="J294" s="82" t="s">
        <v>442</v>
      </c>
      <c r="K294" s="414">
        <v>258</v>
      </c>
      <c r="L294" s="408">
        <f t="shared" si="22"/>
        <v>276</v>
      </c>
      <c r="M294" s="409">
        <v>230</v>
      </c>
      <c r="N294" s="409"/>
      <c r="O294" s="409">
        <v>46</v>
      </c>
      <c r="P294" s="410" t="e">
        <f>IF(M294="nio",0,IF(M294&gt;0,M294*K294/S294,0))*VLOOKUP(B294,'2-Kosten per locatie'!$A$14:$C$61,3,FALSE)</f>
        <v>#DIV/0!</v>
      </c>
      <c r="Q294" s="410">
        <f>IF(N294&gt;0,N294*K294/T294,0)*VLOOKUP(B294,'2-Kosten per locatie'!$A$14:$C$61,3,FALSE)</f>
        <v>0</v>
      </c>
      <c r="R294" s="410" t="e">
        <f>IF(O294&gt;0,O294*K294/U294,0)*VLOOKUP(B294,'2-Kosten per locatie'!$A$14:$C$61,3,FALSE)</f>
        <v>#DIV/0!</v>
      </c>
      <c r="S294" s="411">
        <f>IF(M294="nio",0,IF(M294&gt;0,VLOOKUP(I294,'3-Productie normen'!A:P,VLOOKUP(M294,'3-Productie normen'!$B$38:$C$48,2,FALSE),FALSE)))</f>
        <v>0</v>
      </c>
      <c r="T294" s="411">
        <f t="shared" si="23"/>
        <v>0</v>
      </c>
      <c r="U294" s="411">
        <f t="shared" si="26"/>
        <v>0</v>
      </c>
      <c r="V294" s="412"/>
      <c r="X294" s="413">
        <f t="shared" si="24"/>
        <v>71208</v>
      </c>
    </row>
    <row r="295" spans="1:24" ht="14.1" customHeight="1">
      <c r="A295" s="70">
        <f t="shared" si="25"/>
        <v>295</v>
      </c>
      <c r="B295" s="354" t="s">
        <v>47</v>
      </c>
      <c r="C295" s="354" t="s">
        <v>437</v>
      </c>
      <c r="D295" s="354" t="s">
        <v>165</v>
      </c>
      <c r="E295" s="404" t="s">
        <v>438</v>
      </c>
      <c r="F295" s="317" t="s">
        <v>167</v>
      </c>
      <c r="G295" s="208" t="s">
        <v>203</v>
      </c>
      <c r="H295" s="82" t="s">
        <v>443</v>
      </c>
      <c r="I295" s="82" t="s">
        <v>111</v>
      </c>
      <c r="J295" s="82" t="s">
        <v>179</v>
      </c>
      <c r="K295" s="414">
        <v>11</v>
      </c>
      <c r="L295" s="408">
        <f t="shared" si="22"/>
        <v>276</v>
      </c>
      <c r="M295" s="409">
        <v>230</v>
      </c>
      <c r="N295" s="409"/>
      <c r="O295" s="409">
        <v>46</v>
      </c>
      <c r="P295" s="410" t="e">
        <f>IF(M295="nio",0,IF(M295&gt;0,M295*K295/S295,0))*VLOOKUP(B295,'2-Kosten per locatie'!$A$14:$C$61,3,FALSE)</f>
        <v>#DIV/0!</v>
      </c>
      <c r="Q295" s="410">
        <f>IF(N295&gt;0,N295*K295/T295,0)*VLOOKUP(B295,'2-Kosten per locatie'!$A$14:$C$61,3,FALSE)</f>
        <v>0</v>
      </c>
      <c r="R295" s="410" t="e">
        <f>IF(O295&gt;0,O295*K295/U295,0)*VLOOKUP(B295,'2-Kosten per locatie'!$A$14:$C$61,3,FALSE)</f>
        <v>#DIV/0!</v>
      </c>
      <c r="S295" s="411">
        <f>IF(M295="nio",0,IF(M295&gt;0,VLOOKUP(I295,'3-Productie normen'!A:P,VLOOKUP(M295,'3-Productie normen'!$B$38:$C$48,2,FALSE),FALSE)))</f>
        <v>0</v>
      </c>
      <c r="T295" s="411">
        <f t="shared" si="23"/>
        <v>0</v>
      </c>
      <c r="U295" s="411">
        <f t="shared" si="26"/>
        <v>0</v>
      </c>
      <c r="V295" s="412"/>
      <c r="X295" s="413">
        <f t="shared" si="24"/>
        <v>3036</v>
      </c>
    </row>
    <row r="296" spans="1:24" ht="14.1" customHeight="1">
      <c r="A296" s="70">
        <f t="shared" si="25"/>
        <v>296</v>
      </c>
      <c r="B296" s="354" t="s">
        <v>48</v>
      </c>
      <c r="C296" s="354" t="s">
        <v>437</v>
      </c>
      <c r="D296" s="354" t="s">
        <v>165</v>
      </c>
      <c r="E296" s="404" t="s">
        <v>438</v>
      </c>
      <c r="F296" s="317" t="s">
        <v>167</v>
      </c>
      <c r="G296" s="208" t="s">
        <v>191</v>
      </c>
      <c r="H296" s="82" t="s">
        <v>187</v>
      </c>
      <c r="I296" s="82" t="s">
        <v>107</v>
      </c>
      <c r="J296" s="82" t="s">
        <v>179</v>
      </c>
      <c r="K296" s="414">
        <v>18</v>
      </c>
      <c r="L296" s="408">
        <f t="shared" si="22"/>
        <v>276</v>
      </c>
      <c r="M296" s="409">
        <v>230</v>
      </c>
      <c r="N296" s="409"/>
      <c r="O296" s="409">
        <v>46</v>
      </c>
      <c r="P296" s="410" t="e">
        <f>IF(M296="nio",0,IF(M296&gt;0,M296*K296/S296,0))*VLOOKUP(B296,'2-Kosten per locatie'!$A$14:$C$61,3,FALSE)</f>
        <v>#DIV/0!</v>
      </c>
      <c r="Q296" s="410">
        <f>IF(N296&gt;0,N296*K296/T296,0)*VLOOKUP(B296,'2-Kosten per locatie'!$A$14:$C$61,3,FALSE)</f>
        <v>0</v>
      </c>
      <c r="R296" s="410" t="e">
        <f>IF(O296&gt;0,O296*K296/U296,0)*VLOOKUP(B296,'2-Kosten per locatie'!$A$14:$C$61,3,FALSE)</f>
        <v>#DIV/0!</v>
      </c>
      <c r="S296" s="411">
        <f>IF(M296="nio",0,IF(M296&gt;0,VLOOKUP(I296,'3-Productie normen'!A:P,VLOOKUP(M296,'3-Productie normen'!$B$38:$C$48,2,FALSE),FALSE)))</f>
        <v>0</v>
      </c>
      <c r="T296" s="411">
        <f t="shared" si="23"/>
        <v>0</v>
      </c>
      <c r="U296" s="411">
        <f t="shared" si="26"/>
        <v>0</v>
      </c>
      <c r="V296" s="412"/>
      <c r="X296" s="413">
        <f t="shared" si="24"/>
        <v>4968</v>
      </c>
    </row>
    <row r="297" spans="1:24" ht="14.1" customHeight="1">
      <c r="A297" s="70">
        <f t="shared" si="25"/>
        <v>297</v>
      </c>
      <c r="B297" s="354" t="s">
        <v>48</v>
      </c>
      <c r="C297" s="354" t="s">
        <v>437</v>
      </c>
      <c r="D297" s="354" t="s">
        <v>165</v>
      </c>
      <c r="E297" s="404" t="s">
        <v>438</v>
      </c>
      <c r="F297" s="317" t="s">
        <v>167</v>
      </c>
      <c r="G297" s="208" t="s">
        <v>194</v>
      </c>
      <c r="H297" s="82" t="s">
        <v>439</v>
      </c>
      <c r="I297" s="82" t="s">
        <v>111</v>
      </c>
      <c r="J297" s="82" t="s">
        <v>179</v>
      </c>
      <c r="K297" s="414">
        <v>27</v>
      </c>
      <c r="L297" s="408">
        <f t="shared" si="22"/>
        <v>276</v>
      </c>
      <c r="M297" s="409">
        <v>230</v>
      </c>
      <c r="N297" s="409"/>
      <c r="O297" s="409">
        <v>46</v>
      </c>
      <c r="P297" s="410" t="e">
        <f>IF(M297="nio",0,IF(M297&gt;0,M297*K297/S297,0))*VLOOKUP(B297,'2-Kosten per locatie'!$A$14:$C$61,3,FALSE)</f>
        <v>#DIV/0!</v>
      </c>
      <c r="Q297" s="410">
        <f>IF(N297&gt;0,N297*K297/T297,0)*VLOOKUP(B297,'2-Kosten per locatie'!$A$14:$C$61,3,FALSE)</f>
        <v>0</v>
      </c>
      <c r="R297" s="410" t="e">
        <f>IF(O297&gt;0,O297*K297/U297,0)*VLOOKUP(B297,'2-Kosten per locatie'!$A$14:$C$61,3,FALSE)</f>
        <v>#DIV/0!</v>
      </c>
      <c r="S297" s="411">
        <f>IF(M297="nio",0,IF(M297&gt;0,VLOOKUP(I297,'3-Productie normen'!A:P,VLOOKUP(M297,'3-Productie normen'!$B$38:$C$48,2,FALSE),FALSE)))</f>
        <v>0</v>
      </c>
      <c r="T297" s="411">
        <f t="shared" si="23"/>
        <v>0</v>
      </c>
      <c r="U297" s="411">
        <f t="shared" si="26"/>
        <v>0</v>
      </c>
      <c r="V297" s="412"/>
      <c r="X297" s="413">
        <f t="shared" si="24"/>
        <v>7452</v>
      </c>
    </row>
    <row r="298" spans="1:24" ht="14.1" customHeight="1">
      <c r="A298" s="70">
        <f t="shared" si="25"/>
        <v>298</v>
      </c>
      <c r="B298" s="354" t="s">
        <v>48</v>
      </c>
      <c r="C298" s="354" t="s">
        <v>437</v>
      </c>
      <c r="D298" s="354" t="s">
        <v>165</v>
      </c>
      <c r="E298" s="404" t="s">
        <v>438</v>
      </c>
      <c r="F298" s="317" t="s">
        <v>167</v>
      </c>
      <c r="G298" s="208" t="s">
        <v>196</v>
      </c>
      <c r="H298" s="82" t="s">
        <v>183</v>
      </c>
      <c r="I298" s="82" t="s">
        <v>106</v>
      </c>
      <c r="J298" s="82" t="s">
        <v>179</v>
      </c>
      <c r="K298" s="414">
        <v>17</v>
      </c>
      <c r="L298" s="408">
        <f t="shared" si="22"/>
        <v>276</v>
      </c>
      <c r="M298" s="409">
        <v>230</v>
      </c>
      <c r="N298" s="409"/>
      <c r="O298" s="409">
        <v>46</v>
      </c>
      <c r="P298" s="410" t="e">
        <f>IF(M298="nio",0,IF(M298&gt;0,M298*K298/S298,0))*VLOOKUP(B298,'2-Kosten per locatie'!$A$14:$C$61,3,FALSE)</f>
        <v>#DIV/0!</v>
      </c>
      <c r="Q298" s="410">
        <f>IF(N298&gt;0,N298*K298/T298,0)*VLOOKUP(B298,'2-Kosten per locatie'!$A$14:$C$61,3,FALSE)</f>
        <v>0</v>
      </c>
      <c r="R298" s="410" t="e">
        <f>IF(O298&gt;0,O298*K298/U298,0)*VLOOKUP(B298,'2-Kosten per locatie'!$A$14:$C$61,3,FALSE)</f>
        <v>#DIV/0!</v>
      </c>
      <c r="S298" s="411">
        <f>IF(M298="nio",0,IF(M298&gt;0,VLOOKUP(I298,'3-Productie normen'!A:P,VLOOKUP(M298,'3-Productie normen'!$B$38:$C$48,2,FALSE),FALSE)))</f>
        <v>0</v>
      </c>
      <c r="T298" s="411">
        <f t="shared" si="23"/>
        <v>0</v>
      </c>
      <c r="U298" s="411">
        <f t="shared" si="26"/>
        <v>0</v>
      </c>
      <c r="V298" s="412"/>
      <c r="X298" s="413">
        <f t="shared" si="24"/>
        <v>4692</v>
      </c>
    </row>
    <row r="299" spans="1:24" ht="14.1" customHeight="1">
      <c r="A299" s="70">
        <f t="shared" si="25"/>
        <v>299</v>
      </c>
      <c r="B299" s="354" t="s">
        <v>48</v>
      </c>
      <c r="C299" s="354" t="s">
        <v>437</v>
      </c>
      <c r="D299" s="354" t="s">
        <v>165</v>
      </c>
      <c r="E299" s="404" t="s">
        <v>438</v>
      </c>
      <c r="F299" s="317" t="s">
        <v>167</v>
      </c>
      <c r="G299" s="208" t="s">
        <v>198</v>
      </c>
      <c r="H299" s="82" t="s">
        <v>444</v>
      </c>
      <c r="I299" s="82" t="s">
        <v>114</v>
      </c>
      <c r="J299" s="82" t="s">
        <v>442</v>
      </c>
      <c r="K299" s="414">
        <v>253</v>
      </c>
      <c r="L299" s="408">
        <f t="shared" si="22"/>
        <v>276</v>
      </c>
      <c r="M299" s="409">
        <v>230</v>
      </c>
      <c r="N299" s="409"/>
      <c r="O299" s="409">
        <v>46</v>
      </c>
      <c r="P299" s="410" t="e">
        <f>IF(M299="nio",0,IF(M299&gt;0,M299*K299/S299,0))*VLOOKUP(B299,'2-Kosten per locatie'!$A$14:$C$61,3,FALSE)</f>
        <v>#DIV/0!</v>
      </c>
      <c r="Q299" s="410">
        <f>IF(N299&gt;0,N299*K299/T299,0)*VLOOKUP(B299,'2-Kosten per locatie'!$A$14:$C$61,3,FALSE)</f>
        <v>0</v>
      </c>
      <c r="R299" s="410" t="e">
        <f>IF(O299&gt;0,O299*K299/U299,0)*VLOOKUP(B299,'2-Kosten per locatie'!$A$14:$C$61,3,FALSE)</f>
        <v>#DIV/0!</v>
      </c>
      <c r="S299" s="411">
        <f>IF(M299="nio",0,IF(M299&gt;0,VLOOKUP(I299,'3-Productie normen'!A:P,VLOOKUP(M299,'3-Productie normen'!$B$38:$C$48,2,FALSE),FALSE)))</f>
        <v>0</v>
      </c>
      <c r="T299" s="411">
        <f t="shared" si="23"/>
        <v>0</v>
      </c>
      <c r="U299" s="411">
        <f t="shared" si="26"/>
        <v>0</v>
      </c>
      <c r="V299" s="412"/>
      <c r="X299" s="413">
        <f t="shared" si="24"/>
        <v>69828</v>
      </c>
    </row>
    <row r="300" spans="1:24" ht="14.1" customHeight="1">
      <c r="A300" s="70">
        <f t="shared" si="25"/>
        <v>300</v>
      </c>
      <c r="B300" s="354" t="s">
        <v>48</v>
      </c>
      <c r="C300" s="354" t="s">
        <v>437</v>
      </c>
      <c r="D300" s="354" t="s">
        <v>165</v>
      </c>
      <c r="E300" s="404" t="s">
        <v>438</v>
      </c>
      <c r="F300" s="317" t="s">
        <v>167</v>
      </c>
      <c r="G300" s="208" t="s">
        <v>199</v>
      </c>
      <c r="H300" s="82" t="s">
        <v>440</v>
      </c>
      <c r="I300" s="82" t="s">
        <v>123</v>
      </c>
      <c r="J300" s="82" t="s">
        <v>445</v>
      </c>
      <c r="K300" s="414">
        <v>36</v>
      </c>
      <c r="L300" s="408">
        <f t="shared" ref="L300:L363" si="27">SUM(M300:O300)</f>
        <v>46</v>
      </c>
      <c r="M300" s="409">
        <v>46</v>
      </c>
      <c r="N300" s="409"/>
      <c r="O300" s="409"/>
      <c r="P300" s="410" t="e">
        <f>IF(M300="nio",0,IF(M300&gt;0,M300*K300/S300,0))*VLOOKUP(B300,'2-Kosten per locatie'!$A$14:$C$61,3,FALSE)</f>
        <v>#DIV/0!</v>
      </c>
      <c r="Q300" s="410">
        <f>IF(N300&gt;0,N300*K300/T300,0)*VLOOKUP(B300,'2-Kosten per locatie'!$A$14:$C$61,3,FALSE)</f>
        <v>0</v>
      </c>
      <c r="R300" s="410">
        <f>IF(O300&gt;0,O300*K300/U300,0)*VLOOKUP(B300,'2-Kosten per locatie'!$A$14:$C$61,3,FALSE)</f>
        <v>0</v>
      </c>
      <c r="S300" s="411">
        <f>IF(M300="nio",0,IF(M300&gt;0,VLOOKUP(I300,'3-Productie normen'!A:P,VLOOKUP(M300,'3-Productie normen'!$B$38:$C$48,2,FALSE),FALSE)))</f>
        <v>0</v>
      </c>
      <c r="T300" s="411">
        <f t="shared" si="23"/>
        <v>0</v>
      </c>
      <c r="U300" s="411">
        <f t="shared" si="26"/>
        <v>0</v>
      </c>
      <c r="V300" s="412"/>
      <c r="X300" s="413">
        <f t="shared" si="24"/>
        <v>1656</v>
      </c>
    </row>
    <row r="301" spans="1:24" ht="14.1" customHeight="1">
      <c r="A301" s="70">
        <f t="shared" si="25"/>
        <v>301</v>
      </c>
      <c r="B301" s="354" t="s">
        <v>48</v>
      </c>
      <c r="C301" s="354" t="s">
        <v>437</v>
      </c>
      <c r="D301" s="354" t="s">
        <v>165</v>
      </c>
      <c r="E301" s="404" t="s">
        <v>438</v>
      </c>
      <c r="F301" s="317" t="s">
        <v>167</v>
      </c>
      <c r="G301" s="208" t="s">
        <v>202</v>
      </c>
      <c r="H301" s="82" t="s">
        <v>443</v>
      </c>
      <c r="I301" s="82" t="s">
        <v>111</v>
      </c>
      <c r="J301" s="82" t="s">
        <v>179</v>
      </c>
      <c r="K301" s="414">
        <v>27</v>
      </c>
      <c r="L301" s="408">
        <f t="shared" si="27"/>
        <v>276</v>
      </c>
      <c r="M301" s="409">
        <v>230</v>
      </c>
      <c r="N301" s="409"/>
      <c r="O301" s="409">
        <v>46</v>
      </c>
      <c r="P301" s="410" t="e">
        <f>IF(M301="nio",0,IF(M301&gt;0,M301*K301/S301,0))*VLOOKUP(B301,'2-Kosten per locatie'!$A$14:$C$61,3,FALSE)</f>
        <v>#DIV/0!</v>
      </c>
      <c r="Q301" s="410">
        <f>IF(N301&gt;0,N301*K301/T301,0)*VLOOKUP(B301,'2-Kosten per locatie'!$A$14:$C$61,3,FALSE)</f>
        <v>0</v>
      </c>
      <c r="R301" s="410" t="e">
        <f>IF(O301&gt;0,O301*K301/U301,0)*VLOOKUP(B301,'2-Kosten per locatie'!$A$14:$C$61,3,FALSE)</f>
        <v>#DIV/0!</v>
      </c>
      <c r="S301" s="411">
        <f>IF(M301="nio",0,IF(M301&gt;0,VLOOKUP(I301,'3-Productie normen'!A:P,VLOOKUP(M301,'3-Productie normen'!$B$38:$C$48,2,FALSE),FALSE)))</f>
        <v>0</v>
      </c>
      <c r="T301" s="411">
        <f t="shared" si="23"/>
        <v>0</v>
      </c>
      <c r="U301" s="411">
        <f t="shared" si="26"/>
        <v>0</v>
      </c>
      <c r="V301" s="412"/>
      <c r="X301" s="413">
        <f t="shared" si="24"/>
        <v>7452</v>
      </c>
    </row>
    <row r="302" spans="1:24" ht="14.1" customHeight="1">
      <c r="A302" s="70">
        <f t="shared" si="25"/>
        <v>302</v>
      </c>
      <c r="B302" s="354" t="s">
        <v>48</v>
      </c>
      <c r="C302" s="354" t="s">
        <v>437</v>
      </c>
      <c r="D302" s="354" t="s">
        <v>165</v>
      </c>
      <c r="E302" s="404" t="s">
        <v>438</v>
      </c>
      <c r="F302" s="317" t="s">
        <v>167</v>
      </c>
      <c r="G302" s="208" t="s">
        <v>203</v>
      </c>
      <c r="H302" s="82" t="s">
        <v>183</v>
      </c>
      <c r="I302" s="82" t="s">
        <v>106</v>
      </c>
      <c r="J302" s="82" t="s">
        <v>179</v>
      </c>
      <c r="K302" s="414">
        <v>17</v>
      </c>
      <c r="L302" s="408">
        <f t="shared" si="27"/>
        <v>276</v>
      </c>
      <c r="M302" s="409">
        <v>230</v>
      </c>
      <c r="N302" s="409"/>
      <c r="O302" s="409">
        <v>46</v>
      </c>
      <c r="P302" s="410" t="e">
        <f>IF(M302="nio",0,IF(M302&gt;0,M302*K302/S302,0))*VLOOKUP(B302,'2-Kosten per locatie'!$A$14:$C$61,3,FALSE)</f>
        <v>#DIV/0!</v>
      </c>
      <c r="Q302" s="410">
        <f>IF(N302&gt;0,N302*K302/T302,0)*VLOOKUP(B302,'2-Kosten per locatie'!$A$14:$C$61,3,FALSE)</f>
        <v>0</v>
      </c>
      <c r="R302" s="410" t="e">
        <f>IF(O302&gt;0,O302*K302/U302,0)*VLOOKUP(B302,'2-Kosten per locatie'!$A$14:$C$61,3,FALSE)</f>
        <v>#DIV/0!</v>
      </c>
      <c r="S302" s="411">
        <f>IF(M302="nio",0,IF(M302&gt;0,VLOOKUP(I302,'3-Productie normen'!A:P,VLOOKUP(M302,'3-Productie normen'!$B$38:$C$48,2,FALSE),FALSE)))</f>
        <v>0</v>
      </c>
      <c r="T302" s="411">
        <f t="shared" si="23"/>
        <v>0</v>
      </c>
      <c r="U302" s="411">
        <f t="shared" si="26"/>
        <v>0</v>
      </c>
      <c r="V302" s="412"/>
      <c r="X302" s="413">
        <f t="shared" si="24"/>
        <v>4692</v>
      </c>
    </row>
    <row r="303" spans="1:24" ht="14.1" customHeight="1">
      <c r="A303" s="70">
        <f t="shared" si="25"/>
        <v>303</v>
      </c>
      <c r="B303" s="354" t="s">
        <v>49</v>
      </c>
      <c r="C303" s="354" t="s">
        <v>437</v>
      </c>
      <c r="D303" s="354" t="s">
        <v>165</v>
      </c>
      <c r="E303" s="404" t="s">
        <v>444</v>
      </c>
      <c r="F303" s="317" t="s">
        <v>167</v>
      </c>
      <c r="G303" s="208" t="s">
        <v>446</v>
      </c>
      <c r="H303" s="82" t="s">
        <v>187</v>
      </c>
      <c r="I303" s="82" t="s">
        <v>107</v>
      </c>
      <c r="J303" s="82" t="s">
        <v>169</v>
      </c>
      <c r="K303" s="414">
        <v>9.5</v>
      </c>
      <c r="L303" s="408">
        <f t="shared" si="27"/>
        <v>476</v>
      </c>
      <c r="M303" s="409">
        <v>230</v>
      </c>
      <c r="N303" s="409">
        <v>200</v>
      </c>
      <c r="O303" s="409">
        <v>46</v>
      </c>
      <c r="P303" s="410" t="e">
        <f>IF(M303="nio",0,IF(M303&gt;0,M303*K303/S303,0))*VLOOKUP(B303,'2-Kosten per locatie'!$A$14:$C$61,3,FALSE)</f>
        <v>#DIV/0!</v>
      </c>
      <c r="Q303" s="410" t="e">
        <f>IF(N303&gt;0,N303*K303/T303,0)*VLOOKUP(B303,'2-Kosten per locatie'!$A$14:$C$61,3,FALSE)</f>
        <v>#DIV/0!</v>
      </c>
      <c r="R303" s="410" t="e">
        <f>IF(O303&gt;0,O303*K303/U303,0)*VLOOKUP(B303,'2-Kosten per locatie'!$A$14:$C$61,3,FALSE)</f>
        <v>#DIV/0!</v>
      </c>
      <c r="S303" s="411">
        <f>IF(M303="nio",0,IF(M303&gt;0,VLOOKUP(I303,'3-Productie normen'!A:P,VLOOKUP(M303,'3-Productie normen'!$B$38:$C$48,2,FALSE),FALSE)))</f>
        <v>0</v>
      </c>
      <c r="T303" s="411">
        <f t="shared" si="23"/>
        <v>0</v>
      </c>
      <c r="U303" s="411">
        <f t="shared" si="26"/>
        <v>0</v>
      </c>
      <c r="V303" s="412"/>
      <c r="X303" s="413">
        <f t="shared" si="24"/>
        <v>4522</v>
      </c>
    </row>
    <row r="304" spans="1:24" ht="14.1" customHeight="1">
      <c r="A304" s="70">
        <f t="shared" si="25"/>
        <v>304</v>
      </c>
      <c r="B304" s="354" t="s">
        <v>49</v>
      </c>
      <c r="C304" s="354" t="s">
        <v>437</v>
      </c>
      <c r="D304" s="354" t="s">
        <v>165</v>
      </c>
      <c r="E304" s="404" t="s">
        <v>444</v>
      </c>
      <c r="F304" s="317" t="s">
        <v>167</v>
      </c>
      <c r="G304" s="208" t="s">
        <v>194</v>
      </c>
      <c r="H304" s="82" t="s">
        <v>447</v>
      </c>
      <c r="I304" s="82" t="s">
        <v>108</v>
      </c>
      <c r="J304" s="82" t="s">
        <v>179</v>
      </c>
      <c r="K304" s="414">
        <v>76</v>
      </c>
      <c r="L304" s="408">
        <f t="shared" si="27"/>
        <v>476</v>
      </c>
      <c r="M304" s="409">
        <v>230</v>
      </c>
      <c r="N304" s="409">
        <v>200</v>
      </c>
      <c r="O304" s="409">
        <v>46</v>
      </c>
      <c r="P304" s="410" t="e">
        <f>IF(M304="nio",0,IF(M304&gt;0,M304*K304/S304,0))*VLOOKUP(B304,'2-Kosten per locatie'!$A$14:$C$61,3,FALSE)</f>
        <v>#DIV/0!</v>
      </c>
      <c r="Q304" s="410" t="e">
        <f>IF(N304&gt;0,N304*K304/T304,0)*VLOOKUP(B304,'2-Kosten per locatie'!$A$14:$C$61,3,FALSE)</f>
        <v>#DIV/0!</v>
      </c>
      <c r="R304" s="410" t="e">
        <f>IF(O304&gt;0,O304*K304/U304,0)*VLOOKUP(B304,'2-Kosten per locatie'!$A$14:$C$61,3,FALSE)</f>
        <v>#DIV/0!</v>
      </c>
      <c r="S304" s="411">
        <f>IF(M304="nio",0,IF(M304&gt;0,VLOOKUP(I304,'3-Productie normen'!A:P,VLOOKUP(M304,'3-Productie normen'!$B$38:$C$48,2,FALSE),FALSE)))</f>
        <v>0</v>
      </c>
      <c r="T304" s="411">
        <f t="shared" si="23"/>
        <v>0</v>
      </c>
      <c r="U304" s="411">
        <f t="shared" si="26"/>
        <v>0</v>
      </c>
      <c r="V304" s="412"/>
      <c r="X304" s="413">
        <f t="shared" si="24"/>
        <v>36176</v>
      </c>
    </row>
    <row r="305" spans="1:24" ht="14.1" customHeight="1">
      <c r="A305" s="70">
        <f t="shared" si="25"/>
        <v>305</v>
      </c>
      <c r="B305" s="354" t="s">
        <v>49</v>
      </c>
      <c r="C305" s="354" t="s">
        <v>437</v>
      </c>
      <c r="D305" s="354" t="s">
        <v>165</v>
      </c>
      <c r="E305" s="404" t="s">
        <v>444</v>
      </c>
      <c r="F305" s="317" t="s">
        <v>167</v>
      </c>
      <c r="G305" s="208" t="s">
        <v>194</v>
      </c>
      <c r="H305" s="82" t="s">
        <v>206</v>
      </c>
      <c r="I305" s="82" t="s">
        <v>108</v>
      </c>
      <c r="J305" s="82" t="s">
        <v>179</v>
      </c>
      <c r="K305" s="414">
        <v>61</v>
      </c>
      <c r="L305" s="408">
        <f t="shared" si="27"/>
        <v>476</v>
      </c>
      <c r="M305" s="409">
        <v>230</v>
      </c>
      <c r="N305" s="409">
        <v>200</v>
      </c>
      <c r="O305" s="409">
        <v>46</v>
      </c>
      <c r="P305" s="410" t="e">
        <f>IF(M305="nio",0,IF(M305&gt;0,M305*K305/S305,0))*VLOOKUP(B305,'2-Kosten per locatie'!$A$14:$C$61,3,FALSE)</f>
        <v>#DIV/0!</v>
      </c>
      <c r="Q305" s="410" t="e">
        <f>IF(N305&gt;0,N305*K305/T305,0)*VLOOKUP(B305,'2-Kosten per locatie'!$A$14:$C$61,3,FALSE)</f>
        <v>#DIV/0!</v>
      </c>
      <c r="R305" s="410" t="e">
        <f>IF(O305&gt;0,O305*K305/U305,0)*VLOOKUP(B305,'2-Kosten per locatie'!$A$14:$C$61,3,FALSE)</f>
        <v>#DIV/0!</v>
      </c>
      <c r="S305" s="411">
        <f>IF(M305="nio",0,IF(M305&gt;0,VLOOKUP(I305,'3-Productie normen'!A:P,VLOOKUP(M305,'3-Productie normen'!$B$38:$C$48,2,FALSE),FALSE)))</f>
        <v>0</v>
      </c>
      <c r="T305" s="411">
        <f t="shared" si="23"/>
        <v>0</v>
      </c>
      <c r="U305" s="411">
        <f t="shared" si="26"/>
        <v>0</v>
      </c>
      <c r="V305" s="412"/>
      <c r="X305" s="413">
        <f t="shared" si="24"/>
        <v>29036</v>
      </c>
    </row>
    <row r="306" spans="1:24" ht="14.1" customHeight="1">
      <c r="A306" s="70">
        <f t="shared" si="25"/>
        <v>306</v>
      </c>
      <c r="B306" s="354" t="s">
        <v>49</v>
      </c>
      <c r="C306" s="354" t="s">
        <v>437</v>
      </c>
      <c r="D306" s="354" t="s">
        <v>165</v>
      </c>
      <c r="E306" s="404" t="s">
        <v>444</v>
      </c>
      <c r="F306" s="317" t="s">
        <v>167</v>
      </c>
      <c r="G306" s="208" t="s">
        <v>198</v>
      </c>
      <c r="H306" s="82" t="s">
        <v>443</v>
      </c>
      <c r="I306" s="82" t="s">
        <v>111</v>
      </c>
      <c r="J306" s="82" t="s">
        <v>179</v>
      </c>
      <c r="K306" s="414">
        <v>14</v>
      </c>
      <c r="L306" s="408">
        <f t="shared" si="27"/>
        <v>476</v>
      </c>
      <c r="M306" s="409">
        <v>230</v>
      </c>
      <c r="N306" s="409">
        <v>200</v>
      </c>
      <c r="O306" s="409">
        <v>46</v>
      </c>
      <c r="P306" s="410" t="e">
        <f>IF(M306="nio",0,IF(M306&gt;0,M306*K306/S306,0))*VLOOKUP(B306,'2-Kosten per locatie'!$A$14:$C$61,3,FALSE)</f>
        <v>#DIV/0!</v>
      </c>
      <c r="Q306" s="410" t="e">
        <f>IF(N306&gt;0,N306*K306/T306,0)*VLOOKUP(B306,'2-Kosten per locatie'!$A$14:$C$61,3,FALSE)</f>
        <v>#DIV/0!</v>
      </c>
      <c r="R306" s="410" t="e">
        <f>IF(O306&gt;0,O306*K306/U306,0)*VLOOKUP(B306,'2-Kosten per locatie'!$A$14:$C$61,3,FALSE)</f>
        <v>#DIV/0!</v>
      </c>
      <c r="S306" s="411">
        <f>IF(M306="nio",0,IF(M306&gt;0,VLOOKUP(I306,'3-Productie normen'!A:P,VLOOKUP(M306,'3-Productie normen'!$B$38:$C$48,2,FALSE),FALSE)))</f>
        <v>0</v>
      </c>
      <c r="T306" s="411">
        <f t="shared" si="23"/>
        <v>0</v>
      </c>
      <c r="U306" s="411">
        <f t="shared" si="26"/>
        <v>0</v>
      </c>
      <c r="V306" s="412"/>
      <c r="X306" s="413">
        <f t="shared" si="24"/>
        <v>6664</v>
      </c>
    </row>
    <row r="307" spans="1:24" ht="14.1" customHeight="1">
      <c r="A307" s="70">
        <f t="shared" si="25"/>
        <v>307</v>
      </c>
      <c r="B307" s="354" t="s">
        <v>49</v>
      </c>
      <c r="C307" s="354" t="s">
        <v>437</v>
      </c>
      <c r="D307" s="354" t="s">
        <v>165</v>
      </c>
      <c r="E307" s="404" t="s">
        <v>444</v>
      </c>
      <c r="F307" s="317" t="s">
        <v>167</v>
      </c>
      <c r="G307" s="208" t="s">
        <v>199</v>
      </c>
      <c r="H307" s="82" t="s">
        <v>448</v>
      </c>
      <c r="I307" s="82" t="s">
        <v>111</v>
      </c>
      <c r="J307" s="82" t="s">
        <v>179</v>
      </c>
      <c r="K307" s="414">
        <v>112</v>
      </c>
      <c r="L307" s="408">
        <f t="shared" si="27"/>
        <v>476</v>
      </c>
      <c r="M307" s="409">
        <v>230</v>
      </c>
      <c r="N307" s="409">
        <v>200</v>
      </c>
      <c r="O307" s="409">
        <v>46</v>
      </c>
      <c r="P307" s="410" t="e">
        <f>IF(M307="nio",0,IF(M307&gt;0,M307*K307/S307,0))*VLOOKUP(B307,'2-Kosten per locatie'!$A$14:$C$61,3,FALSE)</f>
        <v>#DIV/0!</v>
      </c>
      <c r="Q307" s="410" t="e">
        <f>IF(N307&gt;0,N307*K307/T307,0)*VLOOKUP(B307,'2-Kosten per locatie'!$A$14:$C$61,3,FALSE)</f>
        <v>#DIV/0!</v>
      </c>
      <c r="R307" s="410" t="e">
        <f>IF(O307&gt;0,O307*K307/U307,0)*VLOOKUP(B307,'2-Kosten per locatie'!$A$14:$C$61,3,FALSE)</f>
        <v>#DIV/0!</v>
      </c>
      <c r="S307" s="411">
        <f>IF(M307="nio",0,IF(M307&gt;0,VLOOKUP(I307,'3-Productie normen'!A:P,VLOOKUP(M307,'3-Productie normen'!$B$38:$C$48,2,FALSE),FALSE)))</f>
        <v>0</v>
      </c>
      <c r="T307" s="411">
        <f t="shared" si="23"/>
        <v>0</v>
      </c>
      <c r="U307" s="411">
        <f t="shared" si="26"/>
        <v>0</v>
      </c>
      <c r="V307" s="412"/>
      <c r="X307" s="413">
        <f t="shared" si="24"/>
        <v>53312</v>
      </c>
    </row>
    <row r="308" spans="1:24" ht="14.1" customHeight="1">
      <c r="A308" s="70">
        <f t="shared" si="25"/>
        <v>308</v>
      </c>
      <c r="B308" s="354" t="s">
        <v>49</v>
      </c>
      <c r="C308" s="354" t="s">
        <v>437</v>
      </c>
      <c r="D308" s="354" t="s">
        <v>165</v>
      </c>
      <c r="E308" s="404" t="s">
        <v>444</v>
      </c>
      <c r="F308" s="317" t="s">
        <v>167</v>
      </c>
      <c r="G308" s="208" t="s">
        <v>202</v>
      </c>
      <c r="H308" s="82" t="s">
        <v>448</v>
      </c>
      <c r="I308" s="82" t="s">
        <v>111</v>
      </c>
      <c r="J308" s="82" t="s">
        <v>179</v>
      </c>
      <c r="K308" s="414">
        <v>107</v>
      </c>
      <c r="L308" s="408">
        <f t="shared" si="27"/>
        <v>476</v>
      </c>
      <c r="M308" s="409">
        <v>230</v>
      </c>
      <c r="N308" s="409">
        <v>200</v>
      </c>
      <c r="O308" s="409">
        <v>46</v>
      </c>
      <c r="P308" s="410" t="e">
        <f>IF(M308="nio",0,IF(M308&gt;0,M308*K308/S308,0))*VLOOKUP(B308,'2-Kosten per locatie'!$A$14:$C$61,3,FALSE)</f>
        <v>#DIV/0!</v>
      </c>
      <c r="Q308" s="410" t="e">
        <f>IF(N308&gt;0,N308*K308/T308,0)*VLOOKUP(B308,'2-Kosten per locatie'!$A$14:$C$61,3,FALSE)</f>
        <v>#DIV/0!</v>
      </c>
      <c r="R308" s="410" t="e">
        <f>IF(O308&gt;0,O308*K308/U308,0)*VLOOKUP(B308,'2-Kosten per locatie'!$A$14:$C$61,3,FALSE)</f>
        <v>#DIV/0!</v>
      </c>
      <c r="S308" s="411">
        <f>IF(M308="nio",0,IF(M308&gt;0,VLOOKUP(I308,'3-Productie normen'!A:P,VLOOKUP(M308,'3-Productie normen'!$B$38:$C$48,2,FALSE),FALSE)))</f>
        <v>0</v>
      </c>
      <c r="T308" s="411">
        <f t="shared" si="23"/>
        <v>0</v>
      </c>
      <c r="U308" s="411">
        <f t="shared" si="26"/>
        <v>0</v>
      </c>
      <c r="V308" s="412"/>
      <c r="X308" s="413">
        <f t="shared" si="24"/>
        <v>50932</v>
      </c>
    </row>
    <row r="309" spans="1:24" ht="14.1" customHeight="1">
      <c r="A309" s="70">
        <f t="shared" si="25"/>
        <v>309</v>
      </c>
      <c r="B309" s="354" t="s">
        <v>49</v>
      </c>
      <c r="C309" s="354" t="s">
        <v>437</v>
      </c>
      <c r="D309" s="354" t="s">
        <v>165</v>
      </c>
      <c r="E309" s="404" t="s">
        <v>444</v>
      </c>
      <c r="F309" s="317" t="s">
        <v>167</v>
      </c>
      <c r="G309" s="208" t="s">
        <v>203</v>
      </c>
      <c r="H309" s="82" t="s">
        <v>449</v>
      </c>
      <c r="I309" s="82" t="s">
        <v>114</v>
      </c>
      <c r="J309" s="82" t="s">
        <v>442</v>
      </c>
      <c r="K309" s="414">
        <v>685</v>
      </c>
      <c r="L309" s="408">
        <f t="shared" si="27"/>
        <v>476</v>
      </c>
      <c r="M309" s="409">
        <v>230</v>
      </c>
      <c r="N309" s="409">
        <v>200</v>
      </c>
      <c r="O309" s="409">
        <v>46</v>
      </c>
      <c r="P309" s="410" t="e">
        <f>IF(M309="nio",0,IF(M309&gt;0,M309*K309/S309,0))*VLOOKUP(B309,'2-Kosten per locatie'!$A$14:$C$61,3,FALSE)</f>
        <v>#DIV/0!</v>
      </c>
      <c r="Q309" s="410" t="e">
        <f>IF(N309&gt;0,N309*K309/T309,0)*VLOOKUP(B309,'2-Kosten per locatie'!$A$14:$C$61,3,FALSE)</f>
        <v>#DIV/0!</v>
      </c>
      <c r="R309" s="410" t="e">
        <f>IF(O309&gt;0,O309*K309/U309,0)*VLOOKUP(B309,'2-Kosten per locatie'!$A$14:$C$61,3,FALSE)</f>
        <v>#DIV/0!</v>
      </c>
      <c r="S309" s="411">
        <f>IF(M309="nio",0,IF(M309&gt;0,VLOOKUP(I309,'3-Productie normen'!A:P,VLOOKUP(M309,'3-Productie normen'!$B$38:$C$48,2,FALSE),FALSE)))</f>
        <v>0</v>
      </c>
      <c r="T309" s="411">
        <f t="shared" si="23"/>
        <v>0</v>
      </c>
      <c r="U309" s="411">
        <f t="shared" si="26"/>
        <v>0</v>
      </c>
      <c r="V309" s="412"/>
      <c r="X309" s="413">
        <f t="shared" si="24"/>
        <v>326060</v>
      </c>
    </row>
    <row r="310" spans="1:24" ht="14.1" customHeight="1">
      <c r="A310" s="70">
        <f t="shared" si="25"/>
        <v>310</v>
      </c>
      <c r="B310" s="354" t="s">
        <v>49</v>
      </c>
      <c r="C310" s="354" t="s">
        <v>437</v>
      </c>
      <c r="D310" s="354" t="s">
        <v>165</v>
      </c>
      <c r="E310" s="404" t="s">
        <v>444</v>
      </c>
      <c r="F310" s="317" t="s">
        <v>167</v>
      </c>
      <c r="G310" s="208" t="s">
        <v>204</v>
      </c>
      <c r="H310" s="82" t="s">
        <v>183</v>
      </c>
      <c r="I310" s="82" t="s">
        <v>106</v>
      </c>
      <c r="J310" s="82" t="s">
        <v>179</v>
      </c>
      <c r="K310" s="414">
        <v>15</v>
      </c>
      <c r="L310" s="408">
        <f t="shared" si="27"/>
        <v>476</v>
      </c>
      <c r="M310" s="409">
        <v>230</v>
      </c>
      <c r="N310" s="409">
        <v>200</v>
      </c>
      <c r="O310" s="409">
        <v>46</v>
      </c>
      <c r="P310" s="410" t="e">
        <f>IF(M310="nio",0,IF(M310&gt;0,M310*K310/S310,0))*VLOOKUP(B310,'2-Kosten per locatie'!$A$14:$C$61,3,FALSE)</f>
        <v>#DIV/0!</v>
      </c>
      <c r="Q310" s="410" t="e">
        <f>IF(N310&gt;0,N310*K310/T310,0)*VLOOKUP(B310,'2-Kosten per locatie'!$A$14:$C$61,3,FALSE)</f>
        <v>#DIV/0!</v>
      </c>
      <c r="R310" s="410" t="e">
        <f>IF(O310&gt;0,O310*K310/U310,0)*VLOOKUP(B310,'2-Kosten per locatie'!$A$14:$C$61,3,FALSE)</f>
        <v>#DIV/0!</v>
      </c>
      <c r="S310" s="411">
        <f>IF(M310="nio",0,IF(M310&gt;0,VLOOKUP(I310,'3-Productie normen'!A:P,VLOOKUP(M310,'3-Productie normen'!$B$38:$C$48,2,FALSE),FALSE)))</f>
        <v>0</v>
      </c>
      <c r="T310" s="411">
        <f t="shared" si="23"/>
        <v>0</v>
      </c>
      <c r="U310" s="411">
        <f t="shared" si="26"/>
        <v>0</v>
      </c>
      <c r="V310" s="412"/>
      <c r="X310" s="413">
        <f t="shared" si="24"/>
        <v>7140</v>
      </c>
    </row>
    <row r="311" spans="1:24" ht="14.1" customHeight="1">
      <c r="A311" s="70">
        <f t="shared" si="25"/>
        <v>311</v>
      </c>
      <c r="B311" s="354" t="s">
        <v>50</v>
      </c>
      <c r="C311" s="354" t="s">
        <v>437</v>
      </c>
      <c r="D311" s="354" t="s">
        <v>165</v>
      </c>
      <c r="E311" s="404" t="s">
        <v>438</v>
      </c>
      <c r="F311" s="317" t="s">
        <v>167</v>
      </c>
      <c r="G311" s="208" t="s">
        <v>191</v>
      </c>
      <c r="H311" s="82" t="s">
        <v>187</v>
      </c>
      <c r="I311" s="82" t="s">
        <v>107</v>
      </c>
      <c r="J311" s="82" t="s">
        <v>179</v>
      </c>
      <c r="K311" s="414">
        <v>21</v>
      </c>
      <c r="L311" s="408">
        <f t="shared" si="27"/>
        <v>276</v>
      </c>
      <c r="M311" s="409">
        <v>230</v>
      </c>
      <c r="N311" s="409"/>
      <c r="O311" s="409">
        <v>46</v>
      </c>
      <c r="P311" s="410" t="e">
        <f>IF(M311="nio",0,IF(M311&gt;0,M311*K311/S311,0))*VLOOKUP(B311,'2-Kosten per locatie'!$A$14:$C$61,3,FALSE)</f>
        <v>#DIV/0!</v>
      </c>
      <c r="Q311" s="410">
        <f>IF(N311&gt;0,N311*K311/T311,0)*VLOOKUP(B311,'2-Kosten per locatie'!$A$14:$C$61,3,FALSE)</f>
        <v>0</v>
      </c>
      <c r="R311" s="410" t="e">
        <f>IF(O311&gt;0,O311*K311/U311,0)*VLOOKUP(B311,'2-Kosten per locatie'!$A$14:$C$61,3,FALSE)</f>
        <v>#DIV/0!</v>
      </c>
      <c r="S311" s="411">
        <f>IF(M311="nio",0,IF(M311&gt;0,VLOOKUP(I311,'3-Productie normen'!A:P,VLOOKUP(M311,'3-Productie normen'!$B$38:$C$48,2,FALSE),FALSE)))</f>
        <v>0</v>
      </c>
      <c r="T311" s="411">
        <f t="shared" si="23"/>
        <v>0</v>
      </c>
      <c r="U311" s="411">
        <f t="shared" si="26"/>
        <v>0</v>
      </c>
      <c r="V311" s="412"/>
      <c r="X311" s="413">
        <f t="shared" si="24"/>
        <v>5796</v>
      </c>
    </row>
    <row r="312" spans="1:24" ht="14.1" customHeight="1">
      <c r="A312" s="70">
        <f t="shared" si="25"/>
        <v>312</v>
      </c>
      <c r="B312" s="354" t="s">
        <v>50</v>
      </c>
      <c r="C312" s="354" t="s">
        <v>437</v>
      </c>
      <c r="D312" s="354" t="s">
        <v>165</v>
      </c>
      <c r="E312" s="404" t="s">
        <v>438</v>
      </c>
      <c r="F312" s="317" t="s">
        <v>167</v>
      </c>
      <c r="G312" s="208" t="s">
        <v>194</v>
      </c>
      <c r="H312" s="82" t="s">
        <v>443</v>
      </c>
      <c r="I312" s="82" t="s">
        <v>111</v>
      </c>
      <c r="J312" s="82" t="s">
        <v>179</v>
      </c>
      <c r="K312" s="414">
        <v>29</v>
      </c>
      <c r="L312" s="408">
        <f t="shared" si="27"/>
        <v>276</v>
      </c>
      <c r="M312" s="409">
        <v>230</v>
      </c>
      <c r="N312" s="409"/>
      <c r="O312" s="409">
        <v>46</v>
      </c>
      <c r="P312" s="410" t="e">
        <f>IF(M312="nio",0,IF(M312&gt;0,M312*K312/S312,0))*VLOOKUP(B312,'2-Kosten per locatie'!$A$14:$C$61,3,FALSE)</f>
        <v>#DIV/0!</v>
      </c>
      <c r="Q312" s="410">
        <f>IF(N312&gt;0,N312*K312/T312,0)*VLOOKUP(B312,'2-Kosten per locatie'!$A$14:$C$61,3,FALSE)</f>
        <v>0</v>
      </c>
      <c r="R312" s="410" t="e">
        <f>IF(O312&gt;0,O312*K312/U312,0)*VLOOKUP(B312,'2-Kosten per locatie'!$A$14:$C$61,3,FALSE)</f>
        <v>#DIV/0!</v>
      </c>
      <c r="S312" s="411">
        <f>IF(M312="nio",0,IF(M312&gt;0,VLOOKUP(I312,'3-Productie normen'!A:P,VLOOKUP(M312,'3-Productie normen'!$B$38:$C$48,2,FALSE),FALSE)))</f>
        <v>0</v>
      </c>
      <c r="T312" s="411">
        <f t="shared" si="23"/>
        <v>0</v>
      </c>
      <c r="U312" s="411">
        <f t="shared" si="26"/>
        <v>0</v>
      </c>
      <c r="V312" s="412"/>
      <c r="X312" s="413">
        <f t="shared" si="24"/>
        <v>8004</v>
      </c>
    </row>
    <row r="313" spans="1:24" ht="14.1" customHeight="1">
      <c r="A313" s="70">
        <f t="shared" si="25"/>
        <v>313</v>
      </c>
      <c r="B313" s="354" t="s">
        <v>50</v>
      </c>
      <c r="C313" s="354" t="s">
        <v>437</v>
      </c>
      <c r="D313" s="354" t="s">
        <v>165</v>
      </c>
      <c r="E313" s="404" t="s">
        <v>438</v>
      </c>
      <c r="F313" s="317" t="s">
        <v>167</v>
      </c>
      <c r="G313" s="208" t="s">
        <v>194</v>
      </c>
      <c r="H313" s="82" t="s">
        <v>291</v>
      </c>
      <c r="I313" s="82" t="s">
        <v>106</v>
      </c>
      <c r="J313" s="82" t="s">
        <v>179</v>
      </c>
      <c r="K313" s="414">
        <v>16</v>
      </c>
      <c r="L313" s="408">
        <f t="shared" si="27"/>
        <v>276</v>
      </c>
      <c r="M313" s="409">
        <v>230</v>
      </c>
      <c r="N313" s="409"/>
      <c r="O313" s="409">
        <v>46</v>
      </c>
      <c r="P313" s="410" t="e">
        <f>IF(M313="nio",0,IF(M313&gt;0,M313*K313/S313,0))*VLOOKUP(B313,'2-Kosten per locatie'!$A$14:$C$61,3,FALSE)</f>
        <v>#DIV/0!</v>
      </c>
      <c r="Q313" s="410">
        <f>IF(N313&gt;0,N313*K313/T313,0)*VLOOKUP(B313,'2-Kosten per locatie'!$A$14:$C$61,3,FALSE)</f>
        <v>0</v>
      </c>
      <c r="R313" s="410" t="e">
        <f>IF(O313&gt;0,O313*K313/U313,0)*VLOOKUP(B313,'2-Kosten per locatie'!$A$14:$C$61,3,FALSE)</f>
        <v>#DIV/0!</v>
      </c>
      <c r="S313" s="411">
        <f>IF(M313="nio",0,IF(M313&gt;0,VLOOKUP(I313,'3-Productie normen'!A:P,VLOOKUP(M313,'3-Productie normen'!$B$38:$C$48,2,FALSE),FALSE)))</f>
        <v>0</v>
      </c>
      <c r="T313" s="411">
        <f t="shared" si="23"/>
        <v>0</v>
      </c>
      <c r="U313" s="411">
        <f t="shared" si="26"/>
        <v>0</v>
      </c>
      <c r="V313" s="412"/>
      <c r="X313" s="413">
        <f t="shared" si="24"/>
        <v>4416</v>
      </c>
    </row>
    <row r="314" spans="1:24" ht="14.1" customHeight="1">
      <c r="A314" s="70">
        <f t="shared" si="25"/>
        <v>314</v>
      </c>
      <c r="B314" s="354" t="s">
        <v>50</v>
      </c>
      <c r="C314" s="354" t="s">
        <v>437</v>
      </c>
      <c r="D314" s="354" t="s">
        <v>165</v>
      </c>
      <c r="E314" s="404" t="s">
        <v>438</v>
      </c>
      <c r="F314" s="317" t="s">
        <v>167</v>
      </c>
      <c r="G314" s="208" t="s">
        <v>194</v>
      </c>
      <c r="H314" s="82" t="s">
        <v>443</v>
      </c>
      <c r="I314" s="82" t="s">
        <v>111</v>
      </c>
      <c r="J314" s="82" t="s">
        <v>179</v>
      </c>
      <c r="K314" s="414">
        <v>17</v>
      </c>
      <c r="L314" s="408">
        <f t="shared" si="27"/>
        <v>276</v>
      </c>
      <c r="M314" s="409">
        <v>230</v>
      </c>
      <c r="N314" s="409"/>
      <c r="O314" s="409">
        <v>46</v>
      </c>
      <c r="P314" s="410" t="e">
        <f>IF(M314="nio",0,IF(M314&gt;0,M314*K314/S314,0))*VLOOKUP(B314,'2-Kosten per locatie'!$A$14:$C$61,3,FALSE)</f>
        <v>#DIV/0!</v>
      </c>
      <c r="Q314" s="410">
        <f>IF(N314&gt;0,N314*K314/T314,0)*VLOOKUP(B314,'2-Kosten per locatie'!$A$14:$C$61,3,FALSE)</f>
        <v>0</v>
      </c>
      <c r="R314" s="410" t="e">
        <f>IF(O314&gt;0,O314*K314/U314,0)*VLOOKUP(B314,'2-Kosten per locatie'!$A$14:$C$61,3,FALSE)</f>
        <v>#DIV/0!</v>
      </c>
      <c r="S314" s="411">
        <f>IF(M314="nio",0,IF(M314&gt;0,VLOOKUP(I314,'3-Productie normen'!A:P,VLOOKUP(M314,'3-Productie normen'!$B$38:$C$48,2,FALSE),FALSE)))</f>
        <v>0</v>
      </c>
      <c r="T314" s="411">
        <f t="shared" si="23"/>
        <v>0</v>
      </c>
      <c r="U314" s="411">
        <f t="shared" si="26"/>
        <v>0</v>
      </c>
      <c r="V314" s="412"/>
      <c r="X314" s="413">
        <f t="shared" si="24"/>
        <v>4692</v>
      </c>
    </row>
    <row r="315" spans="1:24" ht="14.1" customHeight="1">
      <c r="A315" s="70">
        <f t="shared" si="25"/>
        <v>315</v>
      </c>
      <c r="B315" s="354" t="s">
        <v>50</v>
      </c>
      <c r="C315" s="354" t="s">
        <v>437</v>
      </c>
      <c r="D315" s="354" t="s">
        <v>165</v>
      </c>
      <c r="E315" s="404" t="s">
        <v>438</v>
      </c>
      <c r="F315" s="318" t="s">
        <v>167</v>
      </c>
      <c r="G315" s="307" t="s">
        <v>196</v>
      </c>
      <c r="H315" s="308" t="s">
        <v>450</v>
      </c>
      <c r="I315" s="308" t="s">
        <v>111</v>
      </c>
      <c r="J315" s="308" t="s">
        <v>179</v>
      </c>
      <c r="K315" s="414">
        <v>29</v>
      </c>
      <c r="L315" s="408">
        <f t="shared" si="27"/>
        <v>276</v>
      </c>
      <c r="M315" s="409">
        <v>230</v>
      </c>
      <c r="N315" s="409"/>
      <c r="O315" s="409">
        <v>46</v>
      </c>
      <c r="P315" s="410" t="e">
        <f>IF(M315="nio",0,IF(M315&gt;0,M315*K315/S315,0))*VLOOKUP(B315,'2-Kosten per locatie'!$A$14:$C$61,3,FALSE)</f>
        <v>#DIV/0!</v>
      </c>
      <c r="Q315" s="410">
        <f>IF(N315&gt;0,N315*K315/T315,0)*VLOOKUP(B315,'2-Kosten per locatie'!$A$14:$C$61,3,FALSE)</f>
        <v>0</v>
      </c>
      <c r="R315" s="410" t="e">
        <f>IF(O315&gt;0,O315*K315/U315,0)*VLOOKUP(B315,'2-Kosten per locatie'!$A$14:$C$61,3,FALSE)</f>
        <v>#DIV/0!</v>
      </c>
      <c r="S315" s="411">
        <f>IF(M315="nio",0,IF(M315&gt;0,VLOOKUP(I315,'3-Productie normen'!A:P,VLOOKUP(M315,'3-Productie normen'!$B$38:$C$48,2,FALSE),FALSE)))</f>
        <v>0</v>
      </c>
      <c r="T315" s="411">
        <f t="shared" si="23"/>
        <v>0</v>
      </c>
      <c r="U315" s="411">
        <f t="shared" si="26"/>
        <v>0</v>
      </c>
      <c r="V315" s="412"/>
      <c r="X315" s="413">
        <f t="shared" si="24"/>
        <v>8004</v>
      </c>
    </row>
    <row r="316" spans="1:24" ht="14.1" customHeight="1">
      <c r="A316" s="70">
        <f t="shared" si="25"/>
        <v>316</v>
      </c>
      <c r="B316" s="354" t="s">
        <v>50</v>
      </c>
      <c r="C316" s="354" t="s">
        <v>437</v>
      </c>
      <c r="D316" s="354" t="s">
        <v>165</v>
      </c>
      <c r="E316" s="404" t="s">
        <v>438</v>
      </c>
      <c r="F316" s="415" t="s">
        <v>167</v>
      </c>
      <c r="G316" s="416" t="s">
        <v>198</v>
      </c>
      <c r="H316" s="402" t="s">
        <v>443</v>
      </c>
      <c r="I316" s="402" t="s">
        <v>111</v>
      </c>
      <c r="J316" s="402" t="s">
        <v>179</v>
      </c>
      <c r="K316" s="414">
        <v>9</v>
      </c>
      <c r="L316" s="408">
        <f t="shared" si="27"/>
        <v>276</v>
      </c>
      <c r="M316" s="409">
        <v>230</v>
      </c>
      <c r="N316" s="306"/>
      <c r="O316" s="409">
        <v>46</v>
      </c>
      <c r="P316" s="410" t="e">
        <f>IF(M316="nio",0,IF(M316&gt;0,M316*K316/S316,0))*VLOOKUP(B316,'2-Kosten per locatie'!$A$14:$C$61,3,FALSE)</f>
        <v>#DIV/0!</v>
      </c>
      <c r="Q316" s="410">
        <f>IF(N316&gt;0,N316*K316/T316,0)*VLOOKUP(B316,'2-Kosten per locatie'!$A$14:$C$61,3,FALSE)</f>
        <v>0</v>
      </c>
      <c r="R316" s="410" t="e">
        <f>IF(O316&gt;0,O316*K316/U316,0)*VLOOKUP(B316,'2-Kosten per locatie'!$A$14:$C$61,3,FALSE)</f>
        <v>#DIV/0!</v>
      </c>
      <c r="S316" s="411">
        <f>IF(M316="nio",0,IF(M316&gt;0,VLOOKUP(I316,'3-Productie normen'!A:P,VLOOKUP(M316,'3-Productie normen'!$B$38:$C$48,2,FALSE),FALSE)))</f>
        <v>0</v>
      </c>
      <c r="T316" s="411">
        <f t="shared" si="23"/>
        <v>0</v>
      </c>
      <c r="U316" s="411">
        <f t="shared" si="26"/>
        <v>0</v>
      </c>
      <c r="V316" s="412"/>
      <c r="X316" s="413">
        <f t="shared" si="24"/>
        <v>2484</v>
      </c>
    </row>
    <row r="317" spans="1:24" ht="14.1" customHeight="1">
      <c r="A317" s="70">
        <f t="shared" si="25"/>
        <v>317</v>
      </c>
      <c r="B317" s="354" t="s">
        <v>50</v>
      </c>
      <c r="C317" s="354" t="s">
        <v>437</v>
      </c>
      <c r="D317" s="354" t="s">
        <v>165</v>
      </c>
      <c r="E317" s="404" t="s">
        <v>438</v>
      </c>
      <c r="F317" s="415" t="s">
        <v>167</v>
      </c>
      <c r="G317" s="416" t="s">
        <v>199</v>
      </c>
      <c r="H317" s="402" t="s">
        <v>444</v>
      </c>
      <c r="I317" s="402" t="s">
        <v>114</v>
      </c>
      <c r="J317" s="402" t="s">
        <v>451</v>
      </c>
      <c r="K317" s="414">
        <v>292</v>
      </c>
      <c r="L317" s="408">
        <f t="shared" si="27"/>
        <v>276</v>
      </c>
      <c r="M317" s="409">
        <v>230</v>
      </c>
      <c r="N317" s="306"/>
      <c r="O317" s="409">
        <v>46</v>
      </c>
      <c r="P317" s="410" t="e">
        <f>IF(M317="nio",0,IF(M317&gt;0,M317*K317/S317,0))*VLOOKUP(B317,'2-Kosten per locatie'!$A$14:$C$61,3,FALSE)</f>
        <v>#DIV/0!</v>
      </c>
      <c r="Q317" s="410">
        <f>IF(N317&gt;0,N317*K317/T317,0)*VLOOKUP(B317,'2-Kosten per locatie'!$A$14:$C$61,3,FALSE)</f>
        <v>0</v>
      </c>
      <c r="R317" s="410" t="e">
        <f>IF(O317&gt;0,O317*K317/U317,0)*VLOOKUP(B317,'2-Kosten per locatie'!$A$14:$C$61,3,FALSE)</f>
        <v>#DIV/0!</v>
      </c>
      <c r="S317" s="411">
        <f>IF(M317="nio",0,IF(M317&gt;0,VLOOKUP(I317,'3-Productie normen'!A:P,VLOOKUP(M317,'3-Productie normen'!$B$38:$C$48,2,FALSE),FALSE)))</f>
        <v>0</v>
      </c>
      <c r="T317" s="411">
        <f t="shared" si="23"/>
        <v>0</v>
      </c>
      <c r="U317" s="411">
        <f t="shared" si="26"/>
        <v>0</v>
      </c>
      <c r="V317" s="412"/>
      <c r="X317" s="413">
        <f t="shared" si="24"/>
        <v>80592</v>
      </c>
    </row>
    <row r="318" spans="1:24" ht="14.1" customHeight="1">
      <c r="A318" s="70">
        <f t="shared" si="25"/>
        <v>318</v>
      </c>
      <c r="B318" s="354" t="s">
        <v>50</v>
      </c>
      <c r="C318" s="354" t="s">
        <v>437</v>
      </c>
      <c r="D318" s="354" t="s">
        <v>165</v>
      </c>
      <c r="E318" s="404" t="s">
        <v>438</v>
      </c>
      <c r="F318" s="415" t="s">
        <v>167</v>
      </c>
      <c r="G318" s="416" t="s">
        <v>202</v>
      </c>
      <c r="H318" s="402" t="s">
        <v>183</v>
      </c>
      <c r="I318" s="402" t="s">
        <v>106</v>
      </c>
      <c r="J318" s="402" t="s">
        <v>179</v>
      </c>
      <c r="K318" s="414">
        <v>5</v>
      </c>
      <c r="L318" s="408">
        <f t="shared" si="27"/>
        <v>276</v>
      </c>
      <c r="M318" s="409">
        <v>230</v>
      </c>
      <c r="N318" s="306"/>
      <c r="O318" s="409">
        <v>46</v>
      </c>
      <c r="P318" s="410" t="e">
        <f>IF(M318="nio",0,IF(M318&gt;0,M318*K318/S318,0))*VLOOKUP(B318,'2-Kosten per locatie'!$A$14:$C$61,3,FALSE)</f>
        <v>#DIV/0!</v>
      </c>
      <c r="Q318" s="410">
        <f>IF(N318&gt;0,N318*K318/T318,0)*VLOOKUP(B318,'2-Kosten per locatie'!$A$14:$C$61,3,FALSE)</f>
        <v>0</v>
      </c>
      <c r="R318" s="410" t="e">
        <f>IF(O318&gt;0,O318*K318/U318,0)*VLOOKUP(B318,'2-Kosten per locatie'!$A$14:$C$61,3,FALSE)</f>
        <v>#DIV/0!</v>
      </c>
      <c r="S318" s="411">
        <f>IF(M318="nio",0,IF(M318&gt;0,VLOOKUP(I318,'3-Productie normen'!A:P,VLOOKUP(M318,'3-Productie normen'!$B$38:$C$48,2,FALSE),FALSE)))</f>
        <v>0</v>
      </c>
      <c r="T318" s="411">
        <f t="shared" si="23"/>
        <v>0</v>
      </c>
      <c r="U318" s="411">
        <f t="shared" si="26"/>
        <v>0</v>
      </c>
      <c r="V318" s="412"/>
      <c r="X318" s="413">
        <f t="shared" si="24"/>
        <v>1380</v>
      </c>
    </row>
    <row r="319" spans="1:24" ht="14.1" customHeight="1">
      <c r="A319" s="70">
        <f t="shared" si="25"/>
        <v>319</v>
      </c>
      <c r="B319" s="354" t="s">
        <v>51</v>
      </c>
      <c r="C319" s="354" t="s">
        <v>437</v>
      </c>
      <c r="D319" s="354" t="s">
        <v>165</v>
      </c>
      <c r="E319" s="404" t="s">
        <v>444</v>
      </c>
      <c r="F319" s="415" t="s">
        <v>167</v>
      </c>
      <c r="G319" s="416" t="s">
        <v>191</v>
      </c>
      <c r="H319" s="402" t="s">
        <v>452</v>
      </c>
      <c r="I319" s="402" t="s">
        <v>107</v>
      </c>
      <c r="J319" s="402" t="s">
        <v>453</v>
      </c>
      <c r="K319" s="414">
        <v>86</v>
      </c>
      <c r="L319" s="408">
        <f t="shared" si="27"/>
        <v>522</v>
      </c>
      <c r="M319" s="409">
        <v>230</v>
      </c>
      <c r="N319" s="306">
        <v>200</v>
      </c>
      <c r="O319" s="409">
        <v>92</v>
      </c>
      <c r="P319" s="410" t="e">
        <f>IF(M319="nio",0,IF(M319&gt;0,M319*K319/S319,0))*VLOOKUP(B319,'2-Kosten per locatie'!$A$14:$C$61,3,FALSE)</f>
        <v>#DIV/0!</v>
      </c>
      <c r="Q319" s="410" t="e">
        <f>IF(N319&gt;0,N319*K319/T319,0)*VLOOKUP(B319,'2-Kosten per locatie'!$A$14:$C$61,3,FALSE)</f>
        <v>#DIV/0!</v>
      </c>
      <c r="R319" s="410" t="e">
        <f>IF(O319&gt;0,O319*K319/U319,0)*VLOOKUP(B319,'2-Kosten per locatie'!$A$14:$C$61,3,FALSE)</f>
        <v>#DIV/0!</v>
      </c>
      <c r="S319" s="411">
        <f>IF(M319="nio",0,IF(M319&gt;0,VLOOKUP(I319,'3-Productie normen'!A:P,VLOOKUP(M319,'3-Productie normen'!$B$38:$C$48,2,FALSE),FALSE)))</f>
        <v>0</v>
      </c>
      <c r="T319" s="411">
        <f t="shared" si="23"/>
        <v>0</v>
      </c>
      <c r="U319" s="411">
        <f t="shared" si="26"/>
        <v>0</v>
      </c>
      <c r="V319" s="412"/>
      <c r="X319" s="413">
        <f t="shared" si="24"/>
        <v>44892</v>
      </c>
    </row>
    <row r="320" spans="1:24" ht="14.1" customHeight="1">
      <c r="A320" s="70">
        <f t="shared" si="25"/>
        <v>320</v>
      </c>
      <c r="B320" s="354" t="s">
        <v>51</v>
      </c>
      <c r="C320" s="354" t="s">
        <v>437</v>
      </c>
      <c r="D320" s="354" t="s">
        <v>165</v>
      </c>
      <c r="E320" s="404" t="s">
        <v>444</v>
      </c>
      <c r="F320" s="415" t="s">
        <v>167</v>
      </c>
      <c r="G320" s="416" t="s">
        <v>194</v>
      </c>
      <c r="H320" s="402" t="s">
        <v>443</v>
      </c>
      <c r="I320" s="402" t="s">
        <v>111</v>
      </c>
      <c r="J320" s="402" t="s">
        <v>179</v>
      </c>
      <c r="K320" s="414">
        <v>28</v>
      </c>
      <c r="L320" s="408">
        <f t="shared" si="27"/>
        <v>522</v>
      </c>
      <c r="M320" s="409">
        <v>230</v>
      </c>
      <c r="N320" s="306">
        <v>200</v>
      </c>
      <c r="O320" s="409">
        <v>92</v>
      </c>
      <c r="P320" s="410" t="e">
        <f>IF(M320="nio",0,IF(M320&gt;0,M320*K320/S320,0))*VLOOKUP(B320,'2-Kosten per locatie'!$A$14:$C$61,3,FALSE)</f>
        <v>#DIV/0!</v>
      </c>
      <c r="Q320" s="410" t="e">
        <f>IF(N320&gt;0,N320*K320/T320,0)*VLOOKUP(B320,'2-Kosten per locatie'!$A$14:$C$61,3,FALSE)</f>
        <v>#DIV/0!</v>
      </c>
      <c r="R320" s="410" t="e">
        <f>IF(O320&gt;0,O320*K320/U320,0)*VLOOKUP(B320,'2-Kosten per locatie'!$A$14:$C$61,3,FALSE)</f>
        <v>#DIV/0!</v>
      </c>
      <c r="S320" s="411">
        <f>IF(M320="nio",0,IF(M320&gt;0,VLOOKUP(I320,'3-Productie normen'!A:P,VLOOKUP(M320,'3-Productie normen'!$B$38:$C$48,2,FALSE),FALSE)))</f>
        <v>0</v>
      </c>
      <c r="T320" s="411">
        <f t="shared" si="23"/>
        <v>0</v>
      </c>
      <c r="U320" s="411">
        <f t="shared" si="26"/>
        <v>0</v>
      </c>
      <c r="V320" s="412"/>
      <c r="X320" s="413">
        <f t="shared" si="24"/>
        <v>14616</v>
      </c>
    </row>
    <row r="321" spans="1:24" ht="14.1" customHeight="1">
      <c r="A321" s="70">
        <f t="shared" si="25"/>
        <v>321</v>
      </c>
      <c r="B321" s="354" t="s">
        <v>51</v>
      </c>
      <c r="C321" s="354" t="s">
        <v>437</v>
      </c>
      <c r="D321" s="354" t="s">
        <v>165</v>
      </c>
      <c r="E321" s="404" t="s">
        <v>444</v>
      </c>
      <c r="F321" s="415" t="s">
        <v>167</v>
      </c>
      <c r="G321" s="416" t="s">
        <v>196</v>
      </c>
      <c r="H321" s="402" t="s">
        <v>183</v>
      </c>
      <c r="I321" s="402" t="s">
        <v>106</v>
      </c>
      <c r="J321" s="402" t="s">
        <v>179</v>
      </c>
      <c r="K321" s="414">
        <v>18</v>
      </c>
      <c r="L321" s="408">
        <f t="shared" si="27"/>
        <v>522</v>
      </c>
      <c r="M321" s="409">
        <v>230</v>
      </c>
      <c r="N321" s="306">
        <v>200</v>
      </c>
      <c r="O321" s="409">
        <v>92</v>
      </c>
      <c r="P321" s="410" t="e">
        <f>IF(M321="nio",0,IF(M321&gt;0,M321*K321/S321,0))*VLOOKUP(B321,'2-Kosten per locatie'!$A$14:$C$61,3,FALSE)</f>
        <v>#DIV/0!</v>
      </c>
      <c r="Q321" s="410" t="e">
        <f>IF(N321&gt;0,N321*K321/T321,0)*VLOOKUP(B321,'2-Kosten per locatie'!$A$14:$C$61,3,FALSE)</f>
        <v>#DIV/0!</v>
      </c>
      <c r="R321" s="410" t="e">
        <f>IF(O321&gt;0,O321*K321/U321,0)*VLOOKUP(B321,'2-Kosten per locatie'!$A$14:$C$61,3,FALSE)</f>
        <v>#DIV/0!</v>
      </c>
      <c r="S321" s="411">
        <f>IF(M321="nio",0,IF(M321&gt;0,VLOOKUP(I321,'3-Productie normen'!A:P,VLOOKUP(M321,'3-Productie normen'!$B$38:$C$48,2,FALSE),FALSE)))</f>
        <v>0</v>
      </c>
      <c r="T321" s="411">
        <f t="shared" si="23"/>
        <v>0</v>
      </c>
      <c r="U321" s="411">
        <f t="shared" si="26"/>
        <v>0</v>
      </c>
      <c r="V321" s="412"/>
      <c r="X321" s="413">
        <f t="shared" si="24"/>
        <v>9396</v>
      </c>
    </row>
    <row r="322" spans="1:24" ht="14.1" customHeight="1">
      <c r="A322" s="70">
        <f t="shared" si="25"/>
        <v>322</v>
      </c>
      <c r="B322" s="354" t="s">
        <v>51</v>
      </c>
      <c r="C322" s="354" t="s">
        <v>437</v>
      </c>
      <c r="D322" s="354" t="s">
        <v>165</v>
      </c>
      <c r="E322" s="404" t="s">
        <v>444</v>
      </c>
      <c r="F322" s="415" t="s">
        <v>167</v>
      </c>
      <c r="G322" s="416" t="s">
        <v>198</v>
      </c>
      <c r="H322" s="402" t="s">
        <v>454</v>
      </c>
      <c r="I322" s="402" t="s">
        <v>114</v>
      </c>
      <c r="J322" s="402" t="s">
        <v>442</v>
      </c>
      <c r="K322" s="414">
        <v>694</v>
      </c>
      <c r="L322" s="408">
        <f t="shared" si="27"/>
        <v>522</v>
      </c>
      <c r="M322" s="409">
        <v>230</v>
      </c>
      <c r="N322" s="306">
        <v>200</v>
      </c>
      <c r="O322" s="409">
        <v>92</v>
      </c>
      <c r="P322" s="410" t="e">
        <f>IF(M322="nio",0,IF(M322&gt;0,M322*K322/S322,0))*VLOOKUP(B322,'2-Kosten per locatie'!$A$14:$C$61,3,FALSE)</f>
        <v>#DIV/0!</v>
      </c>
      <c r="Q322" s="410" t="e">
        <f>IF(N322&gt;0,N322*K322/T322,0)*VLOOKUP(B322,'2-Kosten per locatie'!$A$14:$C$61,3,FALSE)</f>
        <v>#DIV/0!</v>
      </c>
      <c r="R322" s="410" t="e">
        <f>IF(O322&gt;0,O322*K322/U322,0)*VLOOKUP(B322,'2-Kosten per locatie'!$A$14:$C$61,3,FALSE)</f>
        <v>#DIV/0!</v>
      </c>
      <c r="S322" s="411">
        <f>IF(M322="nio",0,IF(M322&gt;0,VLOOKUP(I322,'3-Productie normen'!A:P,VLOOKUP(M322,'3-Productie normen'!$B$38:$C$48,2,FALSE),FALSE)))</f>
        <v>0</v>
      </c>
      <c r="T322" s="411">
        <f t="shared" si="23"/>
        <v>0</v>
      </c>
      <c r="U322" s="411">
        <f t="shared" si="26"/>
        <v>0</v>
      </c>
      <c r="V322" s="412"/>
      <c r="X322" s="413">
        <f t="shared" si="24"/>
        <v>362268</v>
      </c>
    </row>
    <row r="323" spans="1:24" ht="14.1" customHeight="1">
      <c r="A323" s="70">
        <f t="shared" si="25"/>
        <v>323</v>
      </c>
      <c r="B323" s="354" t="s">
        <v>51</v>
      </c>
      <c r="C323" s="354" t="s">
        <v>437</v>
      </c>
      <c r="D323" s="354" t="s">
        <v>165</v>
      </c>
      <c r="E323" s="404" t="s">
        <v>444</v>
      </c>
      <c r="F323" s="415" t="s">
        <v>167</v>
      </c>
      <c r="G323" s="416" t="s">
        <v>199</v>
      </c>
      <c r="H323" s="402" t="s">
        <v>443</v>
      </c>
      <c r="I323" s="402" t="s">
        <v>111</v>
      </c>
      <c r="J323" s="402" t="s">
        <v>179</v>
      </c>
      <c r="K323" s="414">
        <v>30</v>
      </c>
      <c r="L323" s="408">
        <f t="shared" si="27"/>
        <v>522</v>
      </c>
      <c r="M323" s="409">
        <v>230</v>
      </c>
      <c r="N323" s="306">
        <v>200</v>
      </c>
      <c r="O323" s="409">
        <v>92</v>
      </c>
      <c r="P323" s="410" t="e">
        <f>IF(M323="nio",0,IF(M323&gt;0,M323*K323/S323,0))*VLOOKUP(B323,'2-Kosten per locatie'!$A$14:$C$61,3,FALSE)</f>
        <v>#DIV/0!</v>
      </c>
      <c r="Q323" s="410" t="e">
        <f>IF(N323&gt;0,N323*K323/T323,0)*VLOOKUP(B323,'2-Kosten per locatie'!$A$14:$C$61,3,FALSE)</f>
        <v>#DIV/0!</v>
      </c>
      <c r="R323" s="410" t="e">
        <f>IF(O323&gt;0,O323*K323/U323,0)*VLOOKUP(B323,'2-Kosten per locatie'!$A$14:$C$61,3,FALSE)</f>
        <v>#DIV/0!</v>
      </c>
      <c r="S323" s="411">
        <f>IF(M323="nio",0,IF(M323&gt;0,VLOOKUP(I323,'3-Productie normen'!A:P,VLOOKUP(M323,'3-Productie normen'!$B$38:$C$48,2,FALSE),FALSE)))</f>
        <v>0</v>
      </c>
      <c r="T323" s="411">
        <f t="shared" si="23"/>
        <v>0</v>
      </c>
      <c r="U323" s="411">
        <f t="shared" si="26"/>
        <v>0</v>
      </c>
      <c r="V323" s="412"/>
      <c r="X323" s="413">
        <f t="shared" si="24"/>
        <v>15660</v>
      </c>
    </row>
    <row r="324" spans="1:24" ht="14.1" customHeight="1">
      <c r="A324" s="70">
        <f t="shared" si="25"/>
        <v>324</v>
      </c>
      <c r="B324" s="354" t="s">
        <v>51</v>
      </c>
      <c r="C324" s="354" t="s">
        <v>437</v>
      </c>
      <c r="D324" s="354" t="s">
        <v>165</v>
      </c>
      <c r="E324" s="404" t="s">
        <v>444</v>
      </c>
      <c r="F324" s="415" t="s">
        <v>167</v>
      </c>
      <c r="G324" s="416" t="s">
        <v>202</v>
      </c>
      <c r="H324" s="402" t="s">
        <v>183</v>
      </c>
      <c r="I324" s="402" t="s">
        <v>106</v>
      </c>
      <c r="J324" s="402" t="s">
        <v>179</v>
      </c>
      <c r="K324" s="414">
        <v>17</v>
      </c>
      <c r="L324" s="408">
        <f t="shared" si="27"/>
        <v>522</v>
      </c>
      <c r="M324" s="409">
        <v>230</v>
      </c>
      <c r="N324" s="306">
        <v>200</v>
      </c>
      <c r="O324" s="409">
        <v>92</v>
      </c>
      <c r="P324" s="410" t="e">
        <f>IF(M324="nio",0,IF(M324&gt;0,M324*K324/S324,0))*VLOOKUP(B324,'2-Kosten per locatie'!$A$14:$C$61,3,FALSE)</f>
        <v>#DIV/0!</v>
      </c>
      <c r="Q324" s="410" t="e">
        <f>IF(N324&gt;0,N324*K324/T324,0)*VLOOKUP(B324,'2-Kosten per locatie'!$A$14:$C$61,3,FALSE)</f>
        <v>#DIV/0!</v>
      </c>
      <c r="R324" s="410" t="e">
        <f>IF(O324&gt;0,O324*K324/U324,0)*VLOOKUP(B324,'2-Kosten per locatie'!$A$14:$C$61,3,FALSE)</f>
        <v>#DIV/0!</v>
      </c>
      <c r="S324" s="411">
        <f>IF(M324="nio",0,IF(M324&gt;0,VLOOKUP(I324,'3-Productie normen'!A:P,VLOOKUP(M324,'3-Productie normen'!$B$38:$C$48,2,FALSE),FALSE)))</f>
        <v>0</v>
      </c>
      <c r="T324" s="411">
        <f t="shared" si="23"/>
        <v>0</v>
      </c>
      <c r="U324" s="411">
        <f t="shared" si="26"/>
        <v>0</v>
      </c>
      <c r="V324" s="412"/>
      <c r="X324" s="413">
        <f t="shared" si="24"/>
        <v>8874</v>
      </c>
    </row>
    <row r="325" spans="1:24" ht="14.1" customHeight="1">
      <c r="A325" s="70">
        <f t="shared" si="25"/>
        <v>325</v>
      </c>
      <c r="B325" s="354" t="s">
        <v>51</v>
      </c>
      <c r="C325" s="354" t="s">
        <v>437</v>
      </c>
      <c r="D325" s="354" t="s">
        <v>165</v>
      </c>
      <c r="E325" s="404" t="s">
        <v>444</v>
      </c>
      <c r="F325" s="415" t="s">
        <v>167</v>
      </c>
      <c r="G325" s="416" t="s">
        <v>203</v>
      </c>
      <c r="H325" s="402" t="s">
        <v>443</v>
      </c>
      <c r="I325" s="402" t="s">
        <v>111</v>
      </c>
      <c r="J325" s="402" t="s">
        <v>179</v>
      </c>
      <c r="K325" s="414">
        <v>30</v>
      </c>
      <c r="L325" s="408">
        <f t="shared" si="27"/>
        <v>522</v>
      </c>
      <c r="M325" s="409">
        <v>230</v>
      </c>
      <c r="N325" s="306">
        <v>200</v>
      </c>
      <c r="O325" s="409">
        <v>92</v>
      </c>
      <c r="P325" s="410" t="e">
        <f>IF(M325="nio",0,IF(M325&gt;0,M325*K325/S325,0))*VLOOKUP(B325,'2-Kosten per locatie'!$A$14:$C$61,3,FALSE)</f>
        <v>#DIV/0!</v>
      </c>
      <c r="Q325" s="410" t="e">
        <f>IF(N325&gt;0,N325*K325/T325,0)*VLOOKUP(B325,'2-Kosten per locatie'!$A$14:$C$61,3,FALSE)</f>
        <v>#DIV/0!</v>
      </c>
      <c r="R325" s="410" t="e">
        <f>IF(O325&gt;0,O325*K325/U325,0)*VLOOKUP(B325,'2-Kosten per locatie'!$A$14:$C$61,3,FALSE)</f>
        <v>#DIV/0!</v>
      </c>
      <c r="S325" s="411">
        <f>IF(M325="nio",0,IF(M325&gt;0,VLOOKUP(I325,'3-Productie normen'!A:P,VLOOKUP(M325,'3-Productie normen'!$B$38:$C$48,2,FALSE),FALSE)))</f>
        <v>0</v>
      </c>
      <c r="T325" s="411">
        <f t="shared" si="23"/>
        <v>0</v>
      </c>
      <c r="U325" s="411">
        <f t="shared" si="26"/>
        <v>0</v>
      </c>
      <c r="V325" s="412"/>
      <c r="X325" s="413">
        <f t="shared" si="24"/>
        <v>15660</v>
      </c>
    </row>
    <row r="326" spans="1:24" ht="14.1" customHeight="1">
      <c r="A326" s="70">
        <f t="shared" si="25"/>
        <v>326</v>
      </c>
      <c r="B326" s="354" t="s">
        <v>51</v>
      </c>
      <c r="C326" s="354" t="s">
        <v>437</v>
      </c>
      <c r="D326" s="354" t="s">
        <v>165</v>
      </c>
      <c r="E326" s="404" t="s">
        <v>444</v>
      </c>
      <c r="F326" s="415" t="s">
        <v>167</v>
      </c>
      <c r="G326" s="416" t="s">
        <v>204</v>
      </c>
      <c r="H326" s="402" t="s">
        <v>183</v>
      </c>
      <c r="I326" s="402" t="s">
        <v>106</v>
      </c>
      <c r="J326" s="402" t="s">
        <v>179</v>
      </c>
      <c r="K326" s="414">
        <v>17</v>
      </c>
      <c r="L326" s="408">
        <f t="shared" si="27"/>
        <v>522</v>
      </c>
      <c r="M326" s="409">
        <v>230</v>
      </c>
      <c r="N326" s="306">
        <v>200</v>
      </c>
      <c r="O326" s="409">
        <v>92</v>
      </c>
      <c r="P326" s="410" t="e">
        <f>IF(M326="nio",0,IF(M326&gt;0,M326*K326/S326,0))*VLOOKUP(B326,'2-Kosten per locatie'!$A$14:$C$61,3,FALSE)</f>
        <v>#DIV/0!</v>
      </c>
      <c r="Q326" s="410" t="e">
        <f>IF(N326&gt;0,N326*K326/T326,0)*VLOOKUP(B326,'2-Kosten per locatie'!$A$14:$C$61,3,FALSE)</f>
        <v>#DIV/0!</v>
      </c>
      <c r="R326" s="410" t="e">
        <f>IF(O326&gt;0,O326*K326/U326,0)*VLOOKUP(B326,'2-Kosten per locatie'!$A$14:$C$61,3,FALSE)</f>
        <v>#DIV/0!</v>
      </c>
      <c r="S326" s="411">
        <f>IF(M326="nio",0,IF(M326&gt;0,VLOOKUP(I326,'3-Productie normen'!A:P,VLOOKUP(M326,'3-Productie normen'!$B$38:$C$48,2,FALSE),FALSE)))</f>
        <v>0</v>
      </c>
      <c r="T326" s="411">
        <f t="shared" si="23"/>
        <v>0</v>
      </c>
      <c r="U326" s="411">
        <f t="shared" si="26"/>
        <v>0</v>
      </c>
      <c r="V326" s="412"/>
      <c r="X326" s="413">
        <f t="shared" si="24"/>
        <v>8874</v>
      </c>
    </row>
    <row r="327" spans="1:24" ht="14.1" customHeight="1">
      <c r="A327" s="70">
        <f t="shared" si="25"/>
        <v>327</v>
      </c>
      <c r="B327" s="354" t="s">
        <v>51</v>
      </c>
      <c r="C327" s="354" t="s">
        <v>437</v>
      </c>
      <c r="D327" s="354" t="s">
        <v>165</v>
      </c>
      <c r="E327" s="404" t="s">
        <v>444</v>
      </c>
      <c r="F327" s="415" t="s">
        <v>167</v>
      </c>
      <c r="G327" s="416" t="s">
        <v>180</v>
      </c>
      <c r="H327" s="402" t="s">
        <v>443</v>
      </c>
      <c r="I327" s="402" t="s">
        <v>111</v>
      </c>
      <c r="J327" s="402" t="s">
        <v>179</v>
      </c>
      <c r="K327" s="414">
        <v>29</v>
      </c>
      <c r="L327" s="408">
        <f t="shared" si="27"/>
        <v>522</v>
      </c>
      <c r="M327" s="409">
        <v>230</v>
      </c>
      <c r="N327" s="306">
        <v>200</v>
      </c>
      <c r="O327" s="409">
        <v>92</v>
      </c>
      <c r="P327" s="410" t="e">
        <f>IF(M327="nio",0,IF(M327&gt;0,M327*K327/S327,0))*VLOOKUP(B327,'2-Kosten per locatie'!$A$14:$C$61,3,FALSE)</f>
        <v>#DIV/0!</v>
      </c>
      <c r="Q327" s="410" t="e">
        <f>IF(N327&gt;0,N327*K327/T327,0)*VLOOKUP(B327,'2-Kosten per locatie'!$A$14:$C$61,3,FALSE)</f>
        <v>#DIV/0!</v>
      </c>
      <c r="R327" s="410" t="e">
        <f>IF(O327&gt;0,O327*K327/U327,0)*VLOOKUP(B327,'2-Kosten per locatie'!$A$14:$C$61,3,FALSE)</f>
        <v>#DIV/0!</v>
      </c>
      <c r="S327" s="411">
        <f>IF(M327="nio",0,IF(M327&gt;0,VLOOKUP(I327,'3-Productie normen'!A:P,VLOOKUP(M327,'3-Productie normen'!$B$38:$C$48,2,FALSE),FALSE)))</f>
        <v>0</v>
      </c>
      <c r="T327" s="411">
        <f t="shared" si="23"/>
        <v>0</v>
      </c>
      <c r="U327" s="411">
        <f t="shared" si="26"/>
        <v>0</v>
      </c>
      <c r="V327" s="412"/>
      <c r="X327" s="413">
        <f t="shared" si="24"/>
        <v>15138</v>
      </c>
    </row>
    <row r="328" spans="1:24" ht="14.1" customHeight="1">
      <c r="A328" s="70">
        <f t="shared" si="25"/>
        <v>328</v>
      </c>
      <c r="B328" s="354" t="s">
        <v>51</v>
      </c>
      <c r="C328" s="354" t="s">
        <v>437</v>
      </c>
      <c r="D328" s="354" t="s">
        <v>165</v>
      </c>
      <c r="E328" s="404" t="s">
        <v>444</v>
      </c>
      <c r="F328" s="415" t="s">
        <v>167</v>
      </c>
      <c r="G328" s="416" t="s">
        <v>182</v>
      </c>
      <c r="H328" s="402" t="s">
        <v>183</v>
      </c>
      <c r="I328" s="402" t="s">
        <v>106</v>
      </c>
      <c r="J328" s="402" t="s">
        <v>179</v>
      </c>
      <c r="K328" s="414">
        <v>16</v>
      </c>
      <c r="L328" s="408">
        <f t="shared" si="27"/>
        <v>522</v>
      </c>
      <c r="M328" s="409">
        <v>230</v>
      </c>
      <c r="N328" s="306">
        <v>200</v>
      </c>
      <c r="O328" s="409">
        <v>92</v>
      </c>
      <c r="P328" s="410" t="e">
        <f>IF(M328="nio",0,IF(M328&gt;0,M328*K328/S328,0))*VLOOKUP(B328,'2-Kosten per locatie'!$A$14:$C$61,3,FALSE)</f>
        <v>#DIV/0!</v>
      </c>
      <c r="Q328" s="410" t="e">
        <f>IF(N328&gt;0,N328*K328/T328,0)*VLOOKUP(B328,'2-Kosten per locatie'!$A$14:$C$61,3,FALSE)</f>
        <v>#DIV/0!</v>
      </c>
      <c r="R328" s="410" t="e">
        <f>IF(O328&gt;0,O328*K328/U328,0)*VLOOKUP(B328,'2-Kosten per locatie'!$A$14:$C$61,3,FALSE)</f>
        <v>#DIV/0!</v>
      </c>
      <c r="S328" s="411">
        <f>IF(M328="nio",0,IF(M328&gt;0,VLOOKUP(I328,'3-Productie normen'!A:P,VLOOKUP(M328,'3-Productie normen'!$B$38:$C$48,2,FALSE),FALSE)))</f>
        <v>0</v>
      </c>
      <c r="T328" s="411">
        <f t="shared" si="23"/>
        <v>0</v>
      </c>
      <c r="U328" s="411">
        <f t="shared" si="26"/>
        <v>0</v>
      </c>
      <c r="V328" s="412"/>
      <c r="X328" s="413">
        <f t="shared" si="24"/>
        <v>8352</v>
      </c>
    </row>
    <row r="329" spans="1:24" ht="14.1" customHeight="1">
      <c r="A329" s="70">
        <f t="shared" si="25"/>
        <v>329</v>
      </c>
      <c r="B329" s="354" t="s">
        <v>51</v>
      </c>
      <c r="C329" s="354" t="s">
        <v>437</v>
      </c>
      <c r="D329" s="354" t="s">
        <v>165</v>
      </c>
      <c r="E329" s="404" t="s">
        <v>444</v>
      </c>
      <c r="F329" s="415" t="s">
        <v>167</v>
      </c>
      <c r="G329" s="416" t="s">
        <v>207</v>
      </c>
      <c r="H329" s="402" t="s">
        <v>183</v>
      </c>
      <c r="I329" s="402" t="s">
        <v>106</v>
      </c>
      <c r="J329" s="402" t="s">
        <v>179</v>
      </c>
      <c r="K329" s="414">
        <v>12</v>
      </c>
      <c r="L329" s="408">
        <f t="shared" si="27"/>
        <v>522</v>
      </c>
      <c r="M329" s="409">
        <v>230</v>
      </c>
      <c r="N329" s="306">
        <v>200</v>
      </c>
      <c r="O329" s="409">
        <v>92</v>
      </c>
      <c r="P329" s="410" t="e">
        <f>IF(M329="nio",0,IF(M329&gt;0,M329*K329/S329,0))*VLOOKUP(B329,'2-Kosten per locatie'!$A$14:$C$61,3,FALSE)</f>
        <v>#DIV/0!</v>
      </c>
      <c r="Q329" s="410" t="e">
        <f>IF(N329&gt;0,N329*K329/T329,0)*VLOOKUP(B329,'2-Kosten per locatie'!$A$14:$C$61,3,FALSE)</f>
        <v>#DIV/0!</v>
      </c>
      <c r="R329" s="410" t="e">
        <f>IF(O329&gt;0,O329*K329/U329,0)*VLOOKUP(B329,'2-Kosten per locatie'!$A$14:$C$61,3,FALSE)</f>
        <v>#DIV/0!</v>
      </c>
      <c r="S329" s="411">
        <f>IF(M329="nio",0,IF(M329&gt;0,VLOOKUP(I329,'3-Productie normen'!A:P,VLOOKUP(M329,'3-Productie normen'!$B$38:$C$48,2,FALSE),FALSE)))</f>
        <v>0</v>
      </c>
      <c r="T329" s="411">
        <f t="shared" si="23"/>
        <v>0</v>
      </c>
      <c r="U329" s="411">
        <f t="shared" si="26"/>
        <v>0</v>
      </c>
      <c r="V329" s="412"/>
      <c r="X329" s="413">
        <f t="shared" si="24"/>
        <v>6264</v>
      </c>
    </row>
    <row r="330" spans="1:24" ht="14.1" customHeight="1">
      <c r="A330" s="70">
        <f t="shared" si="25"/>
        <v>330</v>
      </c>
      <c r="B330" s="354" t="s">
        <v>51</v>
      </c>
      <c r="C330" s="354" t="s">
        <v>437</v>
      </c>
      <c r="D330" s="354" t="s">
        <v>165</v>
      </c>
      <c r="E330" s="404" t="s">
        <v>444</v>
      </c>
      <c r="F330" s="415" t="s">
        <v>167</v>
      </c>
      <c r="G330" s="416" t="s">
        <v>209</v>
      </c>
      <c r="H330" s="402" t="s">
        <v>455</v>
      </c>
      <c r="I330" s="402" t="s">
        <v>111</v>
      </c>
      <c r="J330" s="402" t="s">
        <v>179</v>
      </c>
      <c r="K330" s="414">
        <v>9</v>
      </c>
      <c r="L330" s="408">
        <f t="shared" si="27"/>
        <v>522</v>
      </c>
      <c r="M330" s="409">
        <v>230</v>
      </c>
      <c r="N330" s="306">
        <v>200</v>
      </c>
      <c r="O330" s="409">
        <v>92</v>
      </c>
      <c r="P330" s="410" t="e">
        <f>IF(M330="nio",0,IF(M330&gt;0,M330*K330/S330,0))*VLOOKUP(B330,'2-Kosten per locatie'!$A$14:$C$61,3,FALSE)</f>
        <v>#DIV/0!</v>
      </c>
      <c r="Q330" s="410" t="e">
        <f>IF(N330&gt;0,N330*K330/T330,0)*VLOOKUP(B330,'2-Kosten per locatie'!$A$14:$C$61,3,FALSE)</f>
        <v>#DIV/0!</v>
      </c>
      <c r="R330" s="410" t="e">
        <f>IF(O330&gt;0,O330*K330/U330,0)*VLOOKUP(B330,'2-Kosten per locatie'!$A$14:$C$61,3,FALSE)</f>
        <v>#DIV/0!</v>
      </c>
      <c r="S330" s="411">
        <f>IF(M330="nio",0,IF(M330&gt;0,VLOOKUP(I330,'3-Productie normen'!A:P,VLOOKUP(M330,'3-Productie normen'!$B$38:$C$48,2,FALSE),FALSE)))</f>
        <v>0</v>
      </c>
      <c r="T330" s="411">
        <f t="shared" ref="T330:T393" si="28">IF(N330&gt;0,S330*$T$8,0)</f>
        <v>0</v>
      </c>
      <c r="U330" s="411">
        <f t="shared" si="26"/>
        <v>0</v>
      </c>
      <c r="V330" s="412"/>
      <c r="X330" s="413">
        <f t="shared" ref="X330:X393" si="29">L330*K330</f>
        <v>4698</v>
      </c>
    </row>
    <row r="331" spans="1:24" ht="14.1" customHeight="1">
      <c r="A331" s="70">
        <f t="shared" ref="A331:A394" si="30">A330+1</f>
        <v>331</v>
      </c>
      <c r="B331" s="354" t="s">
        <v>52</v>
      </c>
      <c r="C331" s="354" t="s">
        <v>437</v>
      </c>
      <c r="D331" s="354" t="s">
        <v>165</v>
      </c>
      <c r="E331" s="404" t="s">
        <v>444</v>
      </c>
      <c r="F331" s="415" t="s">
        <v>167</v>
      </c>
      <c r="G331" s="416" t="s">
        <v>191</v>
      </c>
      <c r="H331" s="402" t="s">
        <v>187</v>
      </c>
      <c r="I331" s="402" t="s">
        <v>107</v>
      </c>
      <c r="J331" s="402" t="s">
        <v>179</v>
      </c>
      <c r="K331" s="414">
        <v>10</v>
      </c>
      <c r="L331" s="408">
        <f t="shared" si="27"/>
        <v>476</v>
      </c>
      <c r="M331" s="409">
        <v>230</v>
      </c>
      <c r="N331" s="306">
        <v>200</v>
      </c>
      <c r="O331" s="409">
        <v>46</v>
      </c>
      <c r="P331" s="410" t="e">
        <f>IF(M331="nio",0,IF(M331&gt;0,M331*K331/S331,0))*VLOOKUP(B331,'2-Kosten per locatie'!$A$14:$C$61,3,FALSE)</f>
        <v>#DIV/0!</v>
      </c>
      <c r="Q331" s="410" t="e">
        <f>IF(N331&gt;0,N331*K331/T331,0)*VLOOKUP(B331,'2-Kosten per locatie'!$A$14:$C$61,3,FALSE)</f>
        <v>#DIV/0!</v>
      </c>
      <c r="R331" s="410" t="e">
        <f>IF(O331&gt;0,O331*K331/U331,0)*VLOOKUP(B331,'2-Kosten per locatie'!$A$14:$C$61,3,FALSE)</f>
        <v>#DIV/0!</v>
      </c>
      <c r="S331" s="411">
        <f>IF(M331="nio",0,IF(M331&gt;0,VLOOKUP(I331,'3-Productie normen'!A:P,VLOOKUP(M331,'3-Productie normen'!$B$38:$C$48,2,FALSE),FALSE)))</f>
        <v>0</v>
      </c>
      <c r="T331" s="411">
        <f t="shared" si="28"/>
        <v>0</v>
      </c>
      <c r="U331" s="411">
        <f t="shared" si="26"/>
        <v>0</v>
      </c>
      <c r="V331" s="412"/>
      <c r="X331" s="413">
        <f t="shared" si="29"/>
        <v>4760</v>
      </c>
    </row>
    <row r="332" spans="1:24" ht="14.1" customHeight="1">
      <c r="A332" s="70">
        <f t="shared" si="30"/>
        <v>332</v>
      </c>
      <c r="B332" s="354" t="s">
        <v>52</v>
      </c>
      <c r="C332" s="354" t="s">
        <v>437</v>
      </c>
      <c r="D332" s="354" t="s">
        <v>165</v>
      </c>
      <c r="E332" s="404" t="s">
        <v>444</v>
      </c>
      <c r="F332" s="415" t="s">
        <v>167</v>
      </c>
      <c r="G332" s="416" t="s">
        <v>194</v>
      </c>
      <c r="H332" s="402" t="s">
        <v>220</v>
      </c>
      <c r="I332" s="402" t="s">
        <v>108</v>
      </c>
      <c r="J332" s="402" t="s">
        <v>179</v>
      </c>
      <c r="K332" s="414">
        <v>112</v>
      </c>
      <c r="L332" s="408">
        <f t="shared" si="27"/>
        <v>476</v>
      </c>
      <c r="M332" s="409">
        <v>230</v>
      </c>
      <c r="N332" s="306">
        <v>200</v>
      </c>
      <c r="O332" s="409">
        <v>46</v>
      </c>
      <c r="P332" s="410" t="e">
        <f>IF(M332="nio",0,IF(M332&gt;0,M332*K332/S332,0))*VLOOKUP(B332,'2-Kosten per locatie'!$A$14:$C$61,3,FALSE)</f>
        <v>#DIV/0!</v>
      </c>
      <c r="Q332" s="410" t="e">
        <f>IF(N332&gt;0,N332*K332/T332,0)*VLOOKUP(B332,'2-Kosten per locatie'!$A$14:$C$61,3,FALSE)</f>
        <v>#DIV/0!</v>
      </c>
      <c r="R332" s="410" t="e">
        <f>IF(O332&gt;0,O332*K332/U332,0)*VLOOKUP(B332,'2-Kosten per locatie'!$A$14:$C$61,3,FALSE)</f>
        <v>#DIV/0!</v>
      </c>
      <c r="S332" s="411">
        <f>IF(M332="nio",0,IF(M332&gt;0,VLOOKUP(I332,'3-Productie normen'!A:P,VLOOKUP(M332,'3-Productie normen'!$B$38:$C$48,2,FALSE),FALSE)))</f>
        <v>0</v>
      </c>
      <c r="T332" s="411">
        <f t="shared" si="28"/>
        <v>0</v>
      </c>
      <c r="U332" s="411">
        <f t="shared" si="26"/>
        <v>0</v>
      </c>
      <c r="V332" s="412"/>
      <c r="X332" s="413">
        <f t="shared" si="29"/>
        <v>53312</v>
      </c>
    </row>
    <row r="333" spans="1:24" ht="14.1" customHeight="1">
      <c r="A333" s="70">
        <f t="shared" si="30"/>
        <v>333</v>
      </c>
      <c r="B333" s="354" t="s">
        <v>52</v>
      </c>
      <c r="C333" s="354" t="s">
        <v>437</v>
      </c>
      <c r="D333" s="354" t="s">
        <v>165</v>
      </c>
      <c r="E333" s="404" t="s">
        <v>444</v>
      </c>
      <c r="F333" s="415" t="s">
        <v>167</v>
      </c>
      <c r="G333" s="416" t="s">
        <v>196</v>
      </c>
      <c r="H333" s="402" t="s">
        <v>183</v>
      </c>
      <c r="I333" s="402" t="s">
        <v>106</v>
      </c>
      <c r="J333" s="402" t="s">
        <v>179</v>
      </c>
      <c r="K333" s="414">
        <v>13</v>
      </c>
      <c r="L333" s="408">
        <f t="shared" si="27"/>
        <v>476</v>
      </c>
      <c r="M333" s="409">
        <v>230</v>
      </c>
      <c r="N333" s="306">
        <v>200</v>
      </c>
      <c r="O333" s="409">
        <v>46</v>
      </c>
      <c r="P333" s="410" t="e">
        <f>IF(M333="nio",0,IF(M333&gt;0,M333*K333/S333,0))*VLOOKUP(B333,'2-Kosten per locatie'!$A$14:$C$61,3,FALSE)</f>
        <v>#DIV/0!</v>
      </c>
      <c r="Q333" s="410" t="e">
        <f>IF(N333&gt;0,N333*K333/T333,0)*VLOOKUP(B333,'2-Kosten per locatie'!$A$14:$C$61,3,FALSE)</f>
        <v>#DIV/0!</v>
      </c>
      <c r="R333" s="410" t="e">
        <f>IF(O333&gt;0,O333*K333/U333,0)*VLOOKUP(B333,'2-Kosten per locatie'!$A$14:$C$61,3,FALSE)</f>
        <v>#DIV/0!</v>
      </c>
      <c r="S333" s="411">
        <f>IF(M333="nio",0,IF(M333&gt;0,VLOOKUP(I333,'3-Productie normen'!A:P,VLOOKUP(M333,'3-Productie normen'!$B$38:$C$48,2,FALSE),FALSE)))</f>
        <v>0</v>
      </c>
      <c r="T333" s="411">
        <f t="shared" si="28"/>
        <v>0</v>
      </c>
      <c r="U333" s="411">
        <f t="shared" si="26"/>
        <v>0</v>
      </c>
      <c r="V333" s="412"/>
      <c r="X333" s="413">
        <f t="shared" si="29"/>
        <v>6188</v>
      </c>
    </row>
    <row r="334" spans="1:24" ht="14.1" customHeight="1">
      <c r="A334" s="70">
        <f t="shared" si="30"/>
        <v>334</v>
      </c>
      <c r="B334" s="354" t="s">
        <v>52</v>
      </c>
      <c r="C334" s="354" t="s">
        <v>437</v>
      </c>
      <c r="D334" s="354" t="s">
        <v>165</v>
      </c>
      <c r="E334" s="404" t="s">
        <v>444</v>
      </c>
      <c r="F334" s="415" t="s">
        <v>167</v>
      </c>
      <c r="G334" s="416" t="s">
        <v>198</v>
      </c>
      <c r="H334" s="402" t="s">
        <v>439</v>
      </c>
      <c r="I334" s="402" t="s">
        <v>111</v>
      </c>
      <c r="J334" s="402" t="s">
        <v>179</v>
      </c>
      <c r="K334" s="414">
        <v>27</v>
      </c>
      <c r="L334" s="408">
        <f t="shared" si="27"/>
        <v>476</v>
      </c>
      <c r="M334" s="409">
        <v>230</v>
      </c>
      <c r="N334" s="306">
        <v>200</v>
      </c>
      <c r="O334" s="409">
        <v>46</v>
      </c>
      <c r="P334" s="410" t="e">
        <f>IF(M334="nio",0,IF(M334&gt;0,M334*K334/S334,0))*VLOOKUP(B334,'2-Kosten per locatie'!$A$14:$C$61,3,FALSE)</f>
        <v>#DIV/0!</v>
      </c>
      <c r="Q334" s="410" t="e">
        <f>IF(N334&gt;0,N334*K334/T334,0)*VLOOKUP(B334,'2-Kosten per locatie'!$A$14:$C$61,3,FALSE)</f>
        <v>#DIV/0!</v>
      </c>
      <c r="R334" s="410" t="e">
        <f>IF(O334&gt;0,O334*K334/U334,0)*VLOOKUP(B334,'2-Kosten per locatie'!$A$14:$C$61,3,FALSE)</f>
        <v>#DIV/0!</v>
      </c>
      <c r="S334" s="411">
        <f>IF(M334="nio",0,IF(M334&gt;0,VLOOKUP(I334,'3-Productie normen'!A:P,VLOOKUP(M334,'3-Productie normen'!$B$38:$C$48,2,FALSE),FALSE)))</f>
        <v>0</v>
      </c>
      <c r="T334" s="411">
        <f t="shared" si="28"/>
        <v>0</v>
      </c>
      <c r="U334" s="411">
        <f t="shared" ref="U334:U397" si="31">IF(OR(O334&gt;0),S334*$U$8,0)</f>
        <v>0</v>
      </c>
      <c r="V334" s="412"/>
      <c r="X334" s="413">
        <f t="shared" si="29"/>
        <v>12852</v>
      </c>
    </row>
    <row r="335" spans="1:24" ht="14.1" customHeight="1">
      <c r="A335" s="70">
        <f t="shared" si="30"/>
        <v>335</v>
      </c>
      <c r="B335" s="354" t="s">
        <v>52</v>
      </c>
      <c r="C335" s="354" t="s">
        <v>437</v>
      </c>
      <c r="D335" s="354" t="s">
        <v>165</v>
      </c>
      <c r="E335" s="404" t="s">
        <v>444</v>
      </c>
      <c r="F335" s="415" t="s">
        <v>167</v>
      </c>
      <c r="G335" s="416" t="s">
        <v>199</v>
      </c>
      <c r="H335" s="402" t="s">
        <v>183</v>
      </c>
      <c r="I335" s="402" t="s">
        <v>106</v>
      </c>
      <c r="J335" s="402" t="s">
        <v>179</v>
      </c>
      <c r="K335" s="414">
        <v>15</v>
      </c>
      <c r="L335" s="408">
        <f t="shared" si="27"/>
        <v>476</v>
      </c>
      <c r="M335" s="409">
        <v>230</v>
      </c>
      <c r="N335" s="306">
        <v>200</v>
      </c>
      <c r="O335" s="409">
        <v>46</v>
      </c>
      <c r="P335" s="410" t="e">
        <f>IF(M335="nio",0,IF(M335&gt;0,M335*K335/S335,0))*VLOOKUP(B335,'2-Kosten per locatie'!$A$14:$C$61,3,FALSE)</f>
        <v>#DIV/0!</v>
      </c>
      <c r="Q335" s="410" t="e">
        <f>IF(N335&gt;0,N335*K335/T335,0)*VLOOKUP(B335,'2-Kosten per locatie'!$A$14:$C$61,3,FALSE)</f>
        <v>#DIV/0!</v>
      </c>
      <c r="R335" s="410" t="e">
        <f>IF(O335&gt;0,O335*K335/U335,0)*VLOOKUP(B335,'2-Kosten per locatie'!$A$14:$C$61,3,FALSE)</f>
        <v>#DIV/0!</v>
      </c>
      <c r="S335" s="411">
        <f>IF(M335="nio",0,IF(M335&gt;0,VLOOKUP(I335,'3-Productie normen'!A:P,VLOOKUP(M335,'3-Productie normen'!$B$38:$C$48,2,FALSE),FALSE)))</f>
        <v>0</v>
      </c>
      <c r="T335" s="411">
        <f t="shared" si="28"/>
        <v>0</v>
      </c>
      <c r="U335" s="411">
        <f t="shared" si="31"/>
        <v>0</v>
      </c>
      <c r="V335" s="412"/>
      <c r="X335" s="413">
        <f t="shared" si="29"/>
        <v>7140</v>
      </c>
    </row>
    <row r="336" spans="1:24" ht="14.1" customHeight="1">
      <c r="A336" s="70">
        <f t="shared" si="30"/>
        <v>336</v>
      </c>
      <c r="B336" s="354" t="s">
        <v>52</v>
      </c>
      <c r="C336" s="354" t="s">
        <v>437</v>
      </c>
      <c r="D336" s="354" t="s">
        <v>165</v>
      </c>
      <c r="E336" s="404" t="s">
        <v>444</v>
      </c>
      <c r="F336" s="415" t="s">
        <v>167</v>
      </c>
      <c r="G336" s="416" t="s">
        <v>202</v>
      </c>
      <c r="H336" s="402" t="s">
        <v>454</v>
      </c>
      <c r="I336" s="402" t="s">
        <v>114</v>
      </c>
      <c r="J336" s="402" t="s">
        <v>451</v>
      </c>
      <c r="K336" s="414">
        <v>675</v>
      </c>
      <c r="L336" s="408">
        <f t="shared" si="27"/>
        <v>476</v>
      </c>
      <c r="M336" s="409">
        <v>230</v>
      </c>
      <c r="N336" s="306">
        <v>200</v>
      </c>
      <c r="O336" s="409">
        <v>46</v>
      </c>
      <c r="P336" s="410" t="e">
        <f>IF(M336="nio",0,IF(M336&gt;0,M336*K336/S336,0))*VLOOKUP(B336,'2-Kosten per locatie'!$A$14:$C$61,3,FALSE)</f>
        <v>#DIV/0!</v>
      </c>
      <c r="Q336" s="410" t="e">
        <f>IF(N336&gt;0,N336*K336/T336,0)*VLOOKUP(B336,'2-Kosten per locatie'!$A$14:$C$61,3,FALSE)</f>
        <v>#DIV/0!</v>
      </c>
      <c r="R336" s="410" t="e">
        <f>IF(O336&gt;0,O336*K336/U336,0)*VLOOKUP(B336,'2-Kosten per locatie'!$A$14:$C$61,3,FALSE)</f>
        <v>#DIV/0!</v>
      </c>
      <c r="S336" s="411">
        <f>IF(M336="nio",0,IF(M336&gt;0,VLOOKUP(I336,'3-Productie normen'!A:P,VLOOKUP(M336,'3-Productie normen'!$B$38:$C$48,2,FALSE),FALSE)))</f>
        <v>0</v>
      </c>
      <c r="T336" s="411">
        <f t="shared" si="28"/>
        <v>0</v>
      </c>
      <c r="U336" s="411">
        <f t="shared" si="31"/>
        <v>0</v>
      </c>
      <c r="V336" s="412"/>
      <c r="X336" s="413">
        <f t="shared" si="29"/>
        <v>321300</v>
      </c>
    </row>
    <row r="337" spans="1:24" ht="14.1" customHeight="1">
      <c r="A337" s="70">
        <f t="shared" si="30"/>
        <v>337</v>
      </c>
      <c r="B337" s="354" t="s">
        <v>52</v>
      </c>
      <c r="C337" s="354" t="s">
        <v>437</v>
      </c>
      <c r="D337" s="354" t="s">
        <v>165</v>
      </c>
      <c r="E337" s="404" t="s">
        <v>444</v>
      </c>
      <c r="F337" s="415" t="s">
        <v>167</v>
      </c>
      <c r="G337" s="416" t="s">
        <v>203</v>
      </c>
      <c r="H337" s="402" t="s">
        <v>443</v>
      </c>
      <c r="I337" s="402" t="s">
        <v>111</v>
      </c>
      <c r="J337" s="402" t="s">
        <v>179</v>
      </c>
      <c r="K337" s="414">
        <v>33</v>
      </c>
      <c r="L337" s="408">
        <f t="shared" si="27"/>
        <v>476</v>
      </c>
      <c r="M337" s="409">
        <v>230</v>
      </c>
      <c r="N337" s="306">
        <v>200</v>
      </c>
      <c r="O337" s="409">
        <v>46</v>
      </c>
      <c r="P337" s="410" t="e">
        <f>IF(M337="nio",0,IF(M337&gt;0,M337*K337/S337,0))*VLOOKUP(B337,'2-Kosten per locatie'!$A$14:$C$61,3,FALSE)</f>
        <v>#DIV/0!</v>
      </c>
      <c r="Q337" s="410" t="e">
        <f>IF(N337&gt;0,N337*K337/T337,0)*VLOOKUP(B337,'2-Kosten per locatie'!$A$14:$C$61,3,FALSE)</f>
        <v>#DIV/0!</v>
      </c>
      <c r="R337" s="410" t="e">
        <f>IF(O337&gt;0,O337*K337/U337,0)*VLOOKUP(B337,'2-Kosten per locatie'!$A$14:$C$61,3,FALSE)</f>
        <v>#DIV/0!</v>
      </c>
      <c r="S337" s="411">
        <f>IF(M337="nio",0,IF(M337&gt;0,VLOOKUP(I337,'3-Productie normen'!A:P,VLOOKUP(M337,'3-Productie normen'!$B$38:$C$48,2,FALSE),FALSE)))</f>
        <v>0</v>
      </c>
      <c r="T337" s="411">
        <f t="shared" si="28"/>
        <v>0</v>
      </c>
      <c r="U337" s="411">
        <f t="shared" si="31"/>
        <v>0</v>
      </c>
      <c r="V337" s="412"/>
      <c r="X337" s="413">
        <f t="shared" si="29"/>
        <v>15708</v>
      </c>
    </row>
    <row r="338" spans="1:24" ht="14.1" customHeight="1">
      <c r="A338" s="70">
        <f t="shared" si="30"/>
        <v>338</v>
      </c>
      <c r="B338" s="354" t="s">
        <v>52</v>
      </c>
      <c r="C338" s="354" t="s">
        <v>437</v>
      </c>
      <c r="D338" s="354" t="s">
        <v>165</v>
      </c>
      <c r="E338" s="404" t="s">
        <v>444</v>
      </c>
      <c r="F338" s="415" t="s">
        <v>167</v>
      </c>
      <c r="G338" s="416" t="s">
        <v>204</v>
      </c>
      <c r="H338" s="402" t="s">
        <v>183</v>
      </c>
      <c r="I338" s="402" t="s">
        <v>106</v>
      </c>
      <c r="J338" s="402" t="s">
        <v>179</v>
      </c>
      <c r="K338" s="414">
        <v>17</v>
      </c>
      <c r="L338" s="408">
        <f t="shared" si="27"/>
        <v>476</v>
      </c>
      <c r="M338" s="409">
        <v>230</v>
      </c>
      <c r="N338" s="306">
        <v>200</v>
      </c>
      <c r="O338" s="409">
        <v>46</v>
      </c>
      <c r="P338" s="410" t="e">
        <f>IF(M338="nio",0,IF(M338&gt;0,M338*K338/S338,0))*VLOOKUP(B338,'2-Kosten per locatie'!$A$14:$C$61,3,FALSE)</f>
        <v>#DIV/0!</v>
      </c>
      <c r="Q338" s="410" t="e">
        <f>IF(N338&gt;0,N338*K338/T338,0)*VLOOKUP(B338,'2-Kosten per locatie'!$A$14:$C$61,3,FALSE)</f>
        <v>#DIV/0!</v>
      </c>
      <c r="R338" s="410" t="e">
        <f>IF(O338&gt;0,O338*K338/U338,0)*VLOOKUP(B338,'2-Kosten per locatie'!$A$14:$C$61,3,FALSE)</f>
        <v>#DIV/0!</v>
      </c>
      <c r="S338" s="411">
        <f>IF(M338="nio",0,IF(M338&gt;0,VLOOKUP(I338,'3-Productie normen'!A:P,VLOOKUP(M338,'3-Productie normen'!$B$38:$C$48,2,FALSE),FALSE)))</f>
        <v>0</v>
      </c>
      <c r="T338" s="411">
        <f t="shared" si="28"/>
        <v>0</v>
      </c>
      <c r="U338" s="411">
        <f t="shared" si="31"/>
        <v>0</v>
      </c>
      <c r="V338" s="412"/>
      <c r="X338" s="413">
        <f t="shared" si="29"/>
        <v>8092</v>
      </c>
    </row>
    <row r="339" spans="1:24" ht="14.1" customHeight="1">
      <c r="A339" s="70">
        <f t="shared" si="30"/>
        <v>339</v>
      </c>
      <c r="B339" s="354" t="s">
        <v>52</v>
      </c>
      <c r="C339" s="354" t="s">
        <v>437</v>
      </c>
      <c r="D339" s="354" t="s">
        <v>165</v>
      </c>
      <c r="E339" s="404" t="s">
        <v>444</v>
      </c>
      <c r="F339" s="415" t="s">
        <v>167</v>
      </c>
      <c r="G339" s="416" t="s">
        <v>205</v>
      </c>
      <c r="H339" s="402" t="s">
        <v>455</v>
      </c>
      <c r="I339" s="402" t="s">
        <v>111</v>
      </c>
      <c r="J339" s="402" t="s">
        <v>179</v>
      </c>
      <c r="K339" s="414">
        <v>11</v>
      </c>
      <c r="L339" s="408">
        <f t="shared" si="27"/>
        <v>476</v>
      </c>
      <c r="M339" s="409">
        <v>230</v>
      </c>
      <c r="N339" s="306">
        <v>200</v>
      </c>
      <c r="O339" s="409">
        <v>46</v>
      </c>
      <c r="P339" s="410" t="e">
        <f>IF(M339="nio",0,IF(M339&gt;0,M339*K339/S339,0))*VLOOKUP(B339,'2-Kosten per locatie'!$A$14:$C$61,3,FALSE)</f>
        <v>#DIV/0!</v>
      </c>
      <c r="Q339" s="410" t="e">
        <f>IF(N339&gt;0,N339*K339/T339,0)*VLOOKUP(B339,'2-Kosten per locatie'!$A$14:$C$61,3,FALSE)</f>
        <v>#DIV/0!</v>
      </c>
      <c r="R339" s="410" t="e">
        <f>IF(O339&gt;0,O339*K339/U339,0)*VLOOKUP(B339,'2-Kosten per locatie'!$A$14:$C$61,3,FALSE)</f>
        <v>#DIV/0!</v>
      </c>
      <c r="S339" s="411">
        <f>IF(M339="nio",0,IF(M339&gt;0,VLOOKUP(I339,'3-Productie normen'!A:P,VLOOKUP(M339,'3-Productie normen'!$B$38:$C$48,2,FALSE),FALSE)))</f>
        <v>0</v>
      </c>
      <c r="T339" s="411">
        <f t="shared" si="28"/>
        <v>0</v>
      </c>
      <c r="U339" s="411">
        <f t="shared" si="31"/>
        <v>0</v>
      </c>
      <c r="V339" s="412"/>
      <c r="X339" s="413">
        <f t="shared" si="29"/>
        <v>5236</v>
      </c>
    </row>
    <row r="340" spans="1:24" ht="14.1" customHeight="1">
      <c r="A340" s="70">
        <f t="shared" si="30"/>
        <v>340</v>
      </c>
      <c r="B340" s="354" t="s">
        <v>52</v>
      </c>
      <c r="C340" s="354" t="s">
        <v>437</v>
      </c>
      <c r="D340" s="354" t="s">
        <v>165</v>
      </c>
      <c r="E340" s="404" t="s">
        <v>444</v>
      </c>
      <c r="F340" s="415" t="s">
        <v>167</v>
      </c>
      <c r="G340" s="416" t="s">
        <v>180</v>
      </c>
      <c r="H340" s="402" t="s">
        <v>455</v>
      </c>
      <c r="I340" s="402" t="s">
        <v>111</v>
      </c>
      <c r="J340" s="402" t="s">
        <v>179</v>
      </c>
      <c r="K340" s="414">
        <v>11</v>
      </c>
      <c r="L340" s="408">
        <f t="shared" si="27"/>
        <v>476</v>
      </c>
      <c r="M340" s="409">
        <v>230</v>
      </c>
      <c r="N340" s="306">
        <v>200</v>
      </c>
      <c r="O340" s="409">
        <v>46</v>
      </c>
      <c r="P340" s="410" t="e">
        <f>IF(M340="nio",0,IF(M340&gt;0,M340*K340/S340,0))*VLOOKUP(B340,'2-Kosten per locatie'!$A$14:$C$61,3,FALSE)</f>
        <v>#DIV/0!</v>
      </c>
      <c r="Q340" s="410" t="e">
        <f>IF(N340&gt;0,N340*K340/T340,0)*VLOOKUP(B340,'2-Kosten per locatie'!$A$14:$C$61,3,FALSE)</f>
        <v>#DIV/0!</v>
      </c>
      <c r="R340" s="410" t="e">
        <f>IF(O340&gt;0,O340*K340/U340,0)*VLOOKUP(B340,'2-Kosten per locatie'!$A$14:$C$61,3,FALSE)</f>
        <v>#DIV/0!</v>
      </c>
      <c r="S340" s="411">
        <f>IF(M340="nio",0,IF(M340&gt;0,VLOOKUP(I340,'3-Productie normen'!A:P,VLOOKUP(M340,'3-Productie normen'!$B$38:$C$48,2,FALSE),FALSE)))</f>
        <v>0</v>
      </c>
      <c r="T340" s="411">
        <f t="shared" si="28"/>
        <v>0</v>
      </c>
      <c r="U340" s="411">
        <f t="shared" si="31"/>
        <v>0</v>
      </c>
      <c r="V340" s="412"/>
      <c r="X340" s="413">
        <f t="shared" si="29"/>
        <v>5236</v>
      </c>
    </row>
    <row r="341" spans="1:24" ht="14.1" customHeight="1">
      <c r="A341" s="70">
        <f t="shared" si="30"/>
        <v>341</v>
      </c>
      <c r="B341" s="354" t="s">
        <v>52</v>
      </c>
      <c r="C341" s="354" t="s">
        <v>437</v>
      </c>
      <c r="D341" s="354" t="s">
        <v>165</v>
      </c>
      <c r="E341" s="404" t="s">
        <v>444</v>
      </c>
      <c r="F341" s="417" t="s">
        <v>167</v>
      </c>
      <c r="G341" s="418" t="s">
        <v>182</v>
      </c>
      <c r="H341" s="419" t="s">
        <v>443</v>
      </c>
      <c r="I341" s="419" t="s">
        <v>111</v>
      </c>
      <c r="J341" s="419" t="s">
        <v>179</v>
      </c>
      <c r="K341" s="414">
        <v>30</v>
      </c>
      <c r="L341" s="408">
        <f t="shared" si="27"/>
        <v>476</v>
      </c>
      <c r="M341" s="409">
        <v>230</v>
      </c>
      <c r="N341" s="306">
        <v>200</v>
      </c>
      <c r="O341" s="409">
        <v>46</v>
      </c>
      <c r="P341" s="410" t="e">
        <f>IF(M341="nio",0,IF(M341&gt;0,M341*K341/S341,0))*VLOOKUP(B341,'2-Kosten per locatie'!$A$14:$C$61,3,FALSE)</f>
        <v>#DIV/0!</v>
      </c>
      <c r="Q341" s="410" t="e">
        <f>IF(N341&gt;0,N341*K341/T341,0)*VLOOKUP(B341,'2-Kosten per locatie'!$A$14:$C$61,3,FALSE)</f>
        <v>#DIV/0!</v>
      </c>
      <c r="R341" s="410" t="e">
        <f>IF(O341&gt;0,O341*K341/U341,0)*VLOOKUP(B341,'2-Kosten per locatie'!$A$14:$C$61,3,FALSE)</f>
        <v>#DIV/0!</v>
      </c>
      <c r="S341" s="411">
        <f>IF(M341="nio",0,IF(M341&gt;0,VLOOKUP(I341,'3-Productie normen'!A:P,VLOOKUP(M341,'3-Productie normen'!$B$38:$C$48,2,FALSE),FALSE)))</f>
        <v>0</v>
      </c>
      <c r="T341" s="411">
        <f t="shared" si="28"/>
        <v>0</v>
      </c>
      <c r="U341" s="411">
        <f t="shared" si="31"/>
        <v>0</v>
      </c>
      <c r="V341" s="412"/>
      <c r="X341" s="413">
        <f t="shared" si="29"/>
        <v>14280</v>
      </c>
    </row>
    <row r="342" spans="1:24" ht="14.1" customHeight="1">
      <c r="A342" s="70">
        <f t="shared" si="30"/>
        <v>342</v>
      </c>
      <c r="B342" s="354" t="s">
        <v>52</v>
      </c>
      <c r="C342" s="354" t="s">
        <v>437</v>
      </c>
      <c r="D342" s="354" t="s">
        <v>165</v>
      </c>
      <c r="E342" s="404" t="s">
        <v>444</v>
      </c>
      <c r="F342" s="417" t="s">
        <v>167</v>
      </c>
      <c r="G342" s="418" t="s">
        <v>207</v>
      </c>
      <c r="H342" s="419" t="s">
        <v>183</v>
      </c>
      <c r="I342" s="419" t="s">
        <v>106</v>
      </c>
      <c r="J342" s="419" t="s">
        <v>179</v>
      </c>
      <c r="K342" s="414">
        <v>15</v>
      </c>
      <c r="L342" s="408">
        <f t="shared" si="27"/>
        <v>476</v>
      </c>
      <c r="M342" s="409">
        <v>230</v>
      </c>
      <c r="N342" s="306">
        <v>200</v>
      </c>
      <c r="O342" s="409">
        <v>46</v>
      </c>
      <c r="P342" s="410" t="e">
        <f>IF(M342="nio",0,IF(M342&gt;0,M342*K342/S342,0))*VLOOKUP(B342,'2-Kosten per locatie'!$A$14:$C$61,3,FALSE)</f>
        <v>#DIV/0!</v>
      </c>
      <c r="Q342" s="410" t="e">
        <f>IF(N342&gt;0,N342*K342/T342,0)*VLOOKUP(B342,'2-Kosten per locatie'!$A$14:$C$61,3,FALSE)</f>
        <v>#DIV/0!</v>
      </c>
      <c r="R342" s="410" t="e">
        <f>IF(O342&gt;0,O342*K342/U342,0)*VLOOKUP(B342,'2-Kosten per locatie'!$A$14:$C$61,3,FALSE)</f>
        <v>#DIV/0!</v>
      </c>
      <c r="S342" s="411">
        <f>IF(M342="nio",0,IF(M342&gt;0,VLOOKUP(I342,'3-Productie normen'!A:P,VLOOKUP(M342,'3-Productie normen'!$B$38:$C$48,2,FALSE),FALSE)))</f>
        <v>0</v>
      </c>
      <c r="T342" s="411">
        <f t="shared" si="28"/>
        <v>0</v>
      </c>
      <c r="U342" s="411">
        <f t="shared" si="31"/>
        <v>0</v>
      </c>
      <c r="V342" s="412"/>
      <c r="X342" s="413">
        <f t="shared" si="29"/>
        <v>7140</v>
      </c>
    </row>
    <row r="343" spans="1:24" ht="14.1" customHeight="1">
      <c r="A343" s="70">
        <f t="shared" si="30"/>
        <v>343</v>
      </c>
      <c r="B343" s="354" t="s">
        <v>52</v>
      </c>
      <c r="C343" s="354" t="s">
        <v>437</v>
      </c>
      <c r="D343" s="354" t="s">
        <v>165</v>
      </c>
      <c r="E343" s="404" t="s">
        <v>444</v>
      </c>
      <c r="F343" s="417" t="s">
        <v>167</v>
      </c>
      <c r="G343" s="418" t="s">
        <v>209</v>
      </c>
      <c r="H343" s="419" t="s">
        <v>443</v>
      </c>
      <c r="I343" s="419" t="s">
        <v>111</v>
      </c>
      <c r="J343" s="419" t="s">
        <v>179</v>
      </c>
      <c r="K343" s="414">
        <v>27</v>
      </c>
      <c r="L343" s="408">
        <f t="shared" si="27"/>
        <v>476</v>
      </c>
      <c r="M343" s="409">
        <v>230</v>
      </c>
      <c r="N343" s="306">
        <v>200</v>
      </c>
      <c r="O343" s="409">
        <v>46</v>
      </c>
      <c r="P343" s="410" t="e">
        <f>IF(M343="nio",0,IF(M343&gt;0,M343*K343/S343,0))*VLOOKUP(B343,'2-Kosten per locatie'!$A$14:$C$61,3,FALSE)</f>
        <v>#DIV/0!</v>
      </c>
      <c r="Q343" s="410" t="e">
        <f>IF(N343&gt;0,N343*K343/T343,0)*VLOOKUP(B343,'2-Kosten per locatie'!$A$14:$C$61,3,FALSE)</f>
        <v>#DIV/0!</v>
      </c>
      <c r="R343" s="410" t="e">
        <f>IF(O343&gt;0,O343*K343/U343,0)*VLOOKUP(B343,'2-Kosten per locatie'!$A$14:$C$61,3,FALSE)</f>
        <v>#DIV/0!</v>
      </c>
      <c r="S343" s="411">
        <f>IF(M343="nio",0,IF(M343&gt;0,VLOOKUP(I343,'3-Productie normen'!A:P,VLOOKUP(M343,'3-Productie normen'!$B$38:$C$48,2,FALSE),FALSE)))</f>
        <v>0</v>
      </c>
      <c r="T343" s="411">
        <f t="shared" si="28"/>
        <v>0</v>
      </c>
      <c r="U343" s="411">
        <f t="shared" si="31"/>
        <v>0</v>
      </c>
      <c r="V343" s="412"/>
      <c r="X343" s="413">
        <f t="shared" si="29"/>
        <v>12852</v>
      </c>
    </row>
    <row r="344" spans="1:24" ht="14.1" customHeight="1">
      <c r="A344" s="70">
        <f t="shared" si="30"/>
        <v>344</v>
      </c>
      <c r="B344" s="354" t="s">
        <v>52</v>
      </c>
      <c r="C344" s="354" t="s">
        <v>437</v>
      </c>
      <c r="D344" s="354" t="s">
        <v>165</v>
      </c>
      <c r="E344" s="404" t="s">
        <v>444</v>
      </c>
      <c r="F344" s="417" t="s">
        <v>167</v>
      </c>
      <c r="G344" s="418" t="s">
        <v>210</v>
      </c>
      <c r="H344" s="419" t="s">
        <v>183</v>
      </c>
      <c r="I344" s="419" t="s">
        <v>106</v>
      </c>
      <c r="J344" s="419" t="s">
        <v>179</v>
      </c>
      <c r="K344" s="414">
        <v>17</v>
      </c>
      <c r="L344" s="408">
        <f t="shared" si="27"/>
        <v>476</v>
      </c>
      <c r="M344" s="409">
        <v>230</v>
      </c>
      <c r="N344" s="306">
        <v>200</v>
      </c>
      <c r="O344" s="409">
        <v>46</v>
      </c>
      <c r="P344" s="410" t="e">
        <f>IF(M344="nio",0,IF(M344&gt;0,M344*K344/S344,0))*VLOOKUP(B344,'2-Kosten per locatie'!$A$14:$C$61,3,FALSE)</f>
        <v>#DIV/0!</v>
      </c>
      <c r="Q344" s="410" t="e">
        <f>IF(N344&gt;0,N344*K344/T344,0)*VLOOKUP(B344,'2-Kosten per locatie'!$A$14:$C$61,3,FALSE)</f>
        <v>#DIV/0!</v>
      </c>
      <c r="R344" s="410" t="e">
        <f>IF(O344&gt;0,O344*K344/U344,0)*VLOOKUP(B344,'2-Kosten per locatie'!$A$14:$C$61,3,FALSE)</f>
        <v>#DIV/0!</v>
      </c>
      <c r="S344" s="411">
        <f>IF(M344="nio",0,IF(M344&gt;0,VLOOKUP(I344,'3-Productie normen'!A:P,VLOOKUP(M344,'3-Productie normen'!$B$38:$C$48,2,FALSE),FALSE)))</f>
        <v>0</v>
      </c>
      <c r="T344" s="411">
        <f t="shared" si="28"/>
        <v>0</v>
      </c>
      <c r="U344" s="411">
        <f t="shared" si="31"/>
        <v>0</v>
      </c>
      <c r="V344" s="412"/>
      <c r="X344" s="413">
        <f t="shared" si="29"/>
        <v>8092</v>
      </c>
    </row>
    <row r="345" spans="1:24" ht="14.1" customHeight="1">
      <c r="A345" s="70">
        <f t="shared" si="30"/>
        <v>345</v>
      </c>
      <c r="B345" s="354" t="s">
        <v>52</v>
      </c>
      <c r="C345" s="354" t="s">
        <v>437</v>
      </c>
      <c r="D345" s="354" t="s">
        <v>165</v>
      </c>
      <c r="E345" s="404" t="s">
        <v>444</v>
      </c>
      <c r="F345" s="417" t="s">
        <v>167</v>
      </c>
      <c r="G345" s="418" t="s">
        <v>212</v>
      </c>
      <c r="H345" s="419" t="s">
        <v>456</v>
      </c>
      <c r="I345" s="419" t="s">
        <v>121</v>
      </c>
      <c r="J345" s="419" t="s">
        <v>179</v>
      </c>
      <c r="K345" s="414">
        <v>18</v>
      </c>
      <c r="L345" s="408">
        <f t="shared" si="27"/>
        <v>46</v>
      </c>
      <c r="M345" s="409">
        <v>46</v>
      </c>
      <c r="N345" s="306"/>
      <c r="O345" s="409"/>
      <c r="P345" s="410" t="e">
        <f>IF(M345="nio",0,IF(M345&gt;0,M345*K345/S345,0))*VLOOKUP(B345,'2-Kosten per locatie'!$A$14:$C$61,3,FALSE)</f>
        <v>#DIV/0!</v>
      </c>
      <c r="Q345" s="410">
        <f>IF(N345&gt;0,N345*K345/T345,0)*VLOOKUP(B345,'2-Kosten per locatie'!$A$14:$C$61,3,FALSE)</f>
        <v>0</v>
      </c>
      <c r="R345" s="410">
        <f>IF(O345&gt;0,O345*K345/U345,0)*VLOOKUP(B345,'2-Kosten per locatie'!$A$14:$C$61,3,FALSE)</f>
        <v>0</v>
      </c>
      <c r="S345" s="411">
        <f>IF(M345="nio",0,IF(M345&gt;0,VLOOKUP(I345,'3-Productie normen'!A:P,VLOOKUP(M345,'3-Productie normen'!$B$38:$C$48,2,FALSE),FALSE)))</f>
        <v>0</v>
      </c>
      <c r="T345" s="411">
        <f t="shared" si="28"/>
        <v>0</v>
      </c>
      <c r="U345" s="411">
        <f t="shared" si="31"/>
        <v>0</v>
      </c>
      <c r="V345" s="412"/>
      <c r="X345" s="413">
        <f t="shared" si="29"/>
        <v>828</v>
      </c>
    </row>
    <row r="346" spans="1:24" ht="14.1" customHeight="1">
      <c r="A346" s="70">
        <f t="shared" si="30"/>
        <v>346</v>
      </c>
      <c r="B346" s="354" t="s">
        <v>53</v>
      </c>
      <c r="C346" s="354" t="s">
        <v>437</v>
      </c>
      <c r="D346" s="354" t="s">
        <v>165</v>
      </c>
      <c r="E346" s="404" t="s">
        <v>444</v>
      </c>
      <c r="F346" s="417" t="s">
        <v>273</v>
      </c>
      <c r="G346" s="418" t="s">
        <v>257</v>
      </c>
      <c r="H346" s="419" t="s">
        <v>252</v>
      </c>
      <c r="I346" s="419" t="s">
        <v>108</v>
      </c>
      <c r="J346" s="419" t="s">
        <v>218</v>
      </c>
      <c r="K346" s="414">
        <v>22</v>
      </c>
      <c r="L346" s="408">
        <f t="shared" si="27"/>
        <v>476</v>
      </c>
      <c r="M346" s="409">
        <v>230</v>
      </c>
      <c r="N346" s="306">
        <v>200</v>
      </c>
      <c r="O346" s="409">
        <v>46</v>
      </c>
      <c r="P346" s="410" t="e">
        <f>IF(M346="nio",0,IF(M346&gt;0,M346*K346/S346,0))*VLOOKUP(B346,'2-Kosten per locatie'!$A$14:$C$61,3,FALSE)</f>
        <v>#DIV/0!</v>
      </c>
      <c r="Q346" s="410" t="e">
        <f>IF(N346&gt;0,N346*K346/T346,0)*VLOOKUP(B346,'2-Kosten per locatie'!$A$14:$C$61,3,FALSE)</f>
        <v>#DIV/0!</v>
      </c>
      <c r="R346" s="410" t="e">
        <f>IF(O346&gt;0,O346*K346/U346,0)*VLOOKUP(B346,'2-Kosten per locatie'!$A$14:$C$61,3,FALSE)</f>
        <v>#DIV/0!</v>
      </c>
      <c r="S346" s="411">
        <f>IF(M346="nio",0,IF(M346&gt;0,VLOOKUP(I346,'3-Productie normen'!A:P,VLOOKUP(M346,'3-Productie normen'!$B$38:$C$48,2,FALSE),FALSE)))</f>
        <v>0</v>
      </c>
      <c r="T346" s="411">
        <f t="shared" si="28"/>
        <v>0</v>
      </c>
      <c r="U346" s="411">
        <f t="shared" si="31"/>
        <v>0</v>
      </c>
      <c r="V346" s="412"/>
      <c r="X346" s="413">
        <f t="shared" si="29"/>
        <v>10472</v>
      </c>
    </row>
    <row r="347" spans="1:24" ht="14.1" customHeight="1">
      <c r="A347" s="70">
        <f t="shared" si="30"/>
        <v>347</v>
      </c>
      <c r="B347" s="354" t="s">
        <v>53</v>
      </c>
      <c r="C347" s="354" t="s">
        <v>437</v>
      </c>
      <c r="D347" s="354" t="s">
        <v>165</v>
      </c>
      <c r="E347" s="404" t="s">
        <v>444</v>
      </c>
      <c r="F347" s="417" t="s">
        <v>273</v>
      </c>
      <c r="G347" s="418" t="s">
        <v>258</v>
      </c>
      <c r="H347" s="419" t="s">
        <v>206</v>
      </c>
      <c r="I347" s="419" t="s">
        <v>108</v>
      </c>
      <c r="J347" s="419" t="s">
        <v>218</v>
      </c>
      <c r="K347" s="414">
        <v>11</v>
      </c>
      <c r="L347" s="408">
        <f t="shared" si="27"/>
        <v>476</v>
      </c>
      <c r="M347" s="409">
        <v>230</v>
      </c>
      <c r="N347" s="306">
        <v>200</v>
      </c>
      <c r="O347" s="409">
        <v>46</v>
      </c>
      <c r="P347" s="410" t="e">
        <f>IF(M347="nio",0,IF(M347&gt;0,M347*K347/S347,0))*VLOOKUP(B347,'2-Kosten per locatie'!$A$14:$C$61,3,FALSE)</f>
        <v>#DIV/0!</v>
      </c>
      <c r="Q347" s="410" t="e">
        <f>IF(N347&gt;0,N347*K347/T347,0)*VLOOKUP(B347,'2-Kosten per locatie'!$A$14:$C$61,3,FALSE)</f>
        <v>#DIV/0!</v>
      </c>
      <c r="R347" s="410" t="e">
        <f>IF(O347&gt;0,O347*K347/U347,0)*VLOOKUP(B347,'2-Kosten per locatie'!$A$14:$C$61,3,FALSE)</f>
        <v>#DIV/0!</v>
      </c>
      <c r="S347" s="411">
        <f>IF(M347="nio",0,IF(M347&gt;0,VLOOKUP(I347,'3-Productie normen'!A:P,VLOOKUP(M347,'3-Productie normen'!$B$38:$C$48,2,FALSE),FALSE)))</f>
        <v>0</v>
      </c>
      <c r="T347" s="411">
        <f t="shared" si="28"/>
        <v>0</v>
      </c>
      <c r="U347" s="411">
        <f t="shared" si="31"/>
        <v>0</v>
      </c>
      <c r="V347" s="412"/>
      <c r="X347" s="413">
        <f t="shared" si="29"/>
        <v>5236</v>
      </c>
    </row>
    <row r="348" spans="1:24" ht="14.1" customHeight="1">
      <c r="A348" s="70">
        <f t="shared" si="30"/>
        <v>348</v>
      </c>
      <c r="B348" s="354" t="s">
        <v>53</v>
      </c>
      <c r="C348" s="354" t="s">
        <v>437</v>
      </c>
      <c r="D348" s="354" t="s">
        <v>165</v>
      </c>
      <c r="E348" s="404" t="s">
        <v>444</v>
      </c>
      <c r="F348" s="417" t="s">
        <v>273</v>
      </c>
      <c r="G348" s="418" t="s">
        <v>259</v>
      </c>
      <c r="H348" s="419" t="s">
        <v>443</v>
      </c>
      <c r="I348" s="419" t="s">
        <v>111</v>
      </c>
      <c r="J348" s="419" t="s">
        <v>179</v>
      </c>
      <c r="K348" s="414">
        <v>31</v>
      </c>
      <c r="L348" s="408">
        <f t="shared" si="27"/>
        <v>476</v>
      </c>
      <c r="M348" s="409">
        <v>230</v>
      </c>
      <c r="N348" s="306">
        <v>200</v>
      </c>
      <c r="O348" s="409">
        <v>46</v>
      </c>
      <c r="P348" s="410" t="e">
        <f>IF(M348="nio",0,IF(M348&gt;0,M348*K348/S348,0))*VLOOKUP(B348,'2-Kosten per locatie'!$A$14:$C$61,3,FALSE)</f>
        <v>#DIV/0!</v>
      </c>
      <c r="Q348" s="410" t="e">
        <f>IF(N348&gt;0,N348*K348/T348,0)*VLOOKUP(B348,'2-Kosten per locatie'!$A$14:$C$61,3,FALSE)</f>
        <v>#DIV/0!</v>
      </c>
      <c r="R348" s="410" t="e">
        <f>IF(O348&gt;0,O348*K348/U348,0)*VLOOKUP(B348,'2-Kosten per locatie'!$A$14:$C$61,3,FALSE)</f>
        <v>#DIV/0!</v>
      </c>
      <c r="S348" s="411">
        <f>IF(M348="nio",0,IF(M348&gt;0,VLOOKUP(I348,'3-Productie normen'!A:P,VLOOKUP(M348,'3-Productie normen'!$B$38:$C$48,2,FALSE),FALSE)))</f>
        <v>0</v>
      </c>
      <c r="T348" s="411">
        <f t="shared" si="28"/>
        <v>0</v>
      </c>
      <c r="U348" s="411">
        <f t="shared" si="31"/>
        <v>0</v>
      </c>
      <c r="V348" s="412"/>
      <c r="X348" s="413">
        <f t="shared" si="29"/>
        <v>14756</v>
      </c>
    </row>
    <row r="349" spans="1:24" ht="14.1" customHeight="1">
      <c r="A349" s="70">
        <f t="shared" si="30"/>
        <v>349</v>
      </c>
      <c r="B349" s="354" t="s">
        <v>53</v>
      </c>
      <c r="C349" s="354" t="s">
        <v>437</v>
      </c>
      <c r="D349" s="354" t="s">
        <v>165</v>
      </c>
      <c r="E349" s="404" t="s">
        <v>444</v>
      </c>
      <c r="F349" s="417" t="s">
        <v>273</v>
      </c>
      <c r="G349" s="418" t="s">
        <v>260</v>
      </c>
      <c r="H349" s="419" t="s">
        <v>183</v>
      </c>
      <c r="I349" s="419" t="s">
        <v>106</v>
      </c>
      <c r="J349" s="419" t="s">
        <v>179</v>
      </c>
      <c r="K349" s="414">
        <v>11</v>
      </c>
      <c r="L349" s="408">
        <f t="shared" si="27"/>
        <v>476</v>
      </c>
      <c r="M349" s="409">
        <v>230</v>
      </c>
      <c r="N349" s="306">
        <v>200</v>
      </c>
      <c r="O349" s="409">
        <v>46</v>
      </c>
      <c r="P349" s="410" t="e">
        <f>IF(M349="nio",0,IF(M349&gt;0,M349*K349/S349,0))*VLOOKUP(B349,'2-Kosten per locatie'!$A$14:$C$61,3,FALSE)</f>
        <v>#DIV/0!</v>
      </c>
      <c r="Q349" s="410" t="e">
        <f>IF(N349&gt;0,N349*K349/T349,0)*VLOOKUP(B349,'2-Kosten per locatie'!$A$14:$C$61,3,FALSE)</f>
        <v>#DIV/0!</v>
      </c>
      <c r="R349" s="410" t="e">
        <f>IF(O349&gt;0,O349*K349/U349,0)*VLOOKUP(B349,'2-Kosten per locatie'!$A$14:$C$61,3,FALSE)</f>
        <v>#DIV/0!</v>
      </c>
      <c r="S349" s="411">
        <f>IF(M349="nio",0,IF(M349&gt;0,VLOOKUP(I349,'3-Productie normen'!A:P,VLOOKUP(M349,'3-Productie normen'!$B$38:$C$48,2,FALSE),FALSE)))</f>
        <v>0</v>
      </c>
      <c r="T349" s="411">
        <f t="shared" si="28"/>
        <v>0</v>
      </c>
      <c r="U349" s="411">
        <f t="shared" si="31"/>
        <v>0</v>
      </c>
      <c r="V349" s="412"/>
      <c r="X349" s="413">
        <f t="shared" si="29"/>
        <v>5236</v>
      </c>
    </row>
    <row r="350" spans="1:24" ht="14.1" customHeight="1">
      <c r="A350" s="70">
        <f t="shared" si="30"/>
        <v>350</v>
      </c>
      <c r="B350" s="354" t="s">
        <v>53</v>
      </c>
      <c r="C350" s="354" t="s">
        <v>437</v>
      </c>
      <c r="D350" s="354" t="s">
        <v>165</v>
      </c>
      <c r="E350" s="404" t="s">
        <v>444</v>
      </c>
      <c r="F350" s="417" t="s">
        <v>273</v>
      </c>
      <c r="G350" s="418" t="s">
        <v>261</v>
      </c>
      <c r="H350" s="419" t="s">
        <v>183</v>
      </c>
      <c r="I350" s="419" t="s">
        <v>106</v>
      </c>
      <c r="J350" s="419" t="s">
        <v>179</v>
      </c>
      <c r="K350" s="414">
        <v>11</v>
      </c>
      <c r="L350" s="408">
        <f t="shared" si="27"/>
        <v>476</v>
      </c>
      <c r="M350" s="409">
        <v>230</v>
      </c>
      <c r="N350" s="306">
        <v>200</v>
      </c>
      <c r="O350" s="409">
        <v>46</v>
      </c>
      <c r="P350" s="410" t="e">
        <f>IF(M350="nio",0,IF(M350&gt;0,M350*K350/S350,0))*VLOOKUP(B350,'2-Kosten per locatie'!$A$14:$C$61,3,FALSE)</f>
        <v>#DIV/0!</v>
      </c>
      <c r="Q350" s="410" t="e">
        <f>IF(N350&gt;0,N350*K350/T350,0)*VLOOKUP(B350,'2-Kosten per locatie'!$A$14:$C$61,3,FALSE)</f>
        <v>#DIV/0!</v>
      </c>
      <c r="R350" s="410" t="e">
        <f>IF(O350&gt;0,O350*K350/U350,0)*VLOOKUP(B350,'2-Kosten per locatie'!$A$14:$C$61,3,FALSE)</f>
        <v>#DIV/0!</v>
      </c>
      <c r="S350" s="411">
        <f>IF(M350="nio",0,IF(M350&gt;0,VLOOKUP(I350,'3-Productie normen'!A:P,VLOOKUP(M350,'3-Productie normen'!$B$38:$C$48,2,FALSE),FALSE)))</f>
        <v>0</v>
      </c>
      <c r="T350" s="411">
        <f t="shared" si="28"/>
        <v>0</v>
      </c>
      <c r="U350" s="411">
        <f t="shared" si="31"/>
        <v>0</v>
      </c>
      <c r="V350" s="412"/>
      <c r="X350" s="413">
        <f t="shared" si="29"/>
        <v>5236</v>
      </c>
    </row>
    <row r="351" spans="1:24" ht="14.1" customHeight="1">
      <c r="A351" s="70">
        <f t="shared" si="30"/>
        <v>351</v>
      </c>
      <c r="B351" s="354" t="s">
        <v>53</v>
      </c>
      <c r="C351" s="354" t="s">
        <v>437</v>
      </c>
      <c r="D351" s="354" t="s">
        <v>165</v>
      </c>
      <c r="E351" s="404" t="s">
        <v>444</v>
      </c>
      <c r="F351" s="417" t="s">
        <v>273</v>
      </c>
      <c r="G351" s="418" t="s">
        <v>262</v>
      </c>
      <c r="H351" s="419" t="s">
        <v>443</v>
      </c>
      <c r="I351" s="419" t="s">
        <v>111</v>
      </c>
      <c r="J351" s="419" t="s">
        <v>179</v>
      </c>
      <c r="K351" s="414">
        <v>31</v>
      </c>
      <c r="L351" s="408">
        <f t="shared" si="27"/>
        <v>476</v>
      </c>
      <c r="M351" s="409">
        <v>230</v>
      </c>
      <c r="N351" s="306">
        <v>200</v>
      </c>
      <c r="O351" s="409">
        <v>46</v>
      </c>
      <c r="P351" s="410" t="e">
        <f>IF(M351="nio",0,IF(M351&gt;0,M351*K351/S351,0))*VLOOKUP(B351,'2-Kosten per locatie'!$A$14:$C$61,3,FALSE)</f>
        <v>#DIV/0!</v>
      </c>
      <c r="Q351" s="410" t="e">
        <f>IF(N351&gt;0,N351*K351/T351,0)*VLOOKUP(B351,'2-Kosten per locatie'!$A$14:$C$61,3,FALSE)</f>
        <v>#DIV/0!</v>
      </c>
      <c r="R351" s="410" t="e">
        <f>IF(O351&gt;0,O351*K351/U351,0)*VLOOKUP(B351,'2-Kosten per locatie'!$A$14:$C$61,3,FALSE)</f>
        <v>#DIV/0!</v>
      </c>
      <c r="S351" s="411">
        <f>IF(M351="nio",0,IF(M351&gt;0,VLOOKUP(I351,'3-Productie normen'!A:P,VLOOKUP(M351,'3-Productie normen'!$B$38:$C$48,2,FALSE),FALSE)))</f>
        <v>0</v>
      </c>
      <c r="T351" s="411">
        <f t="shared" si="28"/>
        <v>0</v>
      </c>
      <c r="U351" s="411">
        <f t="shared" si="31"/>
        <v>0</v>
      </c>
      <c r="V351" s="412"/>
      <c r="X351" s="413">
        <f t="shared" si="29"/>
        <v>14756</v>
      </c>
    </row>
    <row r="352" spans="1:24" ht="14.1" customHeight="1">
      <c r="A352" s="70">
        <f t="shared" si="30"/>
        <v>352</v>
      </c>
      <c r="B352" s="354" t="s">
        <v>53</v>
      </c>
      <c r="C352" s="354" t="s">
        <v>437</v>
      </c>
      <c r="D352" s="354" t="s">
        <v>165</v>
      </c>
      <c r="E352" s="404" t="s">
        <v>444</v>
      </c>
      <c r="F352" s="417" t="s">
        <v>273</v>
      </c>
      <c r="G352" s="418" t="s">
        <v>263</v>
      </c>
      <c r="H352" s="419" t="s">
        <v>206</v>
      </c>
      <c r="I352" s="419" t="s">
        <v>108</v>
      </c>
      <c r="J352" s="419" t="s">
        <v>218</v>
      </c>
      <c r="K352" s="414">
        <v>7</v>
      </c>
      <c r="L352" s="408">
        <f t="shared" si="27"/>
        <v>476</v>
      </c>
      <c r="M352" s="409">
        <v>230</v>
      </c>
      <c r="N352" s="306">
        <v>200</v>
      </c>
      <c r="O352" s="409">
        <v>46</v>
      </c>
      <c r="P352" s="410" t="e">
        <f>IF(M352="nio",0,IF(M352&gt;0,M352*K352/S352,0))*VLOOKUP(B352,'2-Kosten per locatie'!$A$14:$C$61,3,FALSE)</f>
        <v>#DIV/0!</v>
      </c>
      <c r="Q352" s="410" t="e">
        <f>IF(N352&gt;0,N352*K352/T352,0)*VLOOKUP(B352,'2-Kosten per locatie'!$A$14:$C$61,3,FALSE)</f>
        <v>#DIV/0!</v>
      </c>
      <c r="R352" s="410" t="e">
        <f>IF(O352&gt;0,O352*K352/U352,0)*VLOOKUP(B352,'2-Kosten per locatie'!$A$14:$C$61,3,FALSE)</f>
        <v>#DIV/0!</v>
      </c>
      <c r="S352" s="411">
        <f>IF(M352="nio",0,IF(M352&gt;0,VLOOKUP(I352,'3-Productie normen'!A:P,VLOOKUP(M352,'3-Productie normen'!$B$38:$C$48,2,FALSE),FALSE)))</f>
        <v>0</v>
      </c>
      <c r="T352" s="411">
        <f t="shared" si="28"/>
        <v>0</v>
      </c>
      <c r="U352" s="411">
        <f t="shared" si="31"/>
        <v>0</v>
      </c>
      <c r="V352" s="412"/>
      <c r="X352" s="413">
        <f t="shared" si="29"/>
        <v>3332</v>
      </c>
    </row>
    <row r="353" spans="1:24" ht="14.1" customHeight="1">
      <c r="A353" s="70">
        <f t="shared" si="30"/>
        <v>353</v>
      </c>
      <c r="B353" s="354" t="s">
        <v>53</v>
      </c>
      <c r="C353" s="354" t="s">
        <v>437</v>
      </c>
      <c r="D353" s="354" t="s">
        <v>165</v>
      </c>
      <c r="E353" s="404" t="s">
        <v>444</v>
      </c>
      <c r="F353" s="417" t="s">
        <v>273</v>
      </c>
      <c r="G353" s="418" t="s">
        <v>264</v>
      </c>
      <c r="H353" s="419" t="s">
        <v>440</v>
      </c>
      <c r="I353" s="419" t="s">
        <v>123</v>
      </c>
      <c r="J353" s="419" t="s">
        <v>445</v>
      </c>
      <c r="K353" s="414">
        <v>43</v>
      </c>
      <c r="L353" s="408">
        <f t="shared" si="27"/>
        <v>46</v>
      </c>
      <c r="M353" s="409">
        <v>46</v>
      </c>
      <c r="N353" s="306"/>
      <c r="O353" s="409"/>
      <c r="P353" s="410" t="e">
        <f>IF(M353="nio",0,IF(M353&gt;0,M353*K353/S353,0))*VLOOKUP(B353,'2-Kosten per locatie'!$A$14:$C$61,3,FALSE)</f>
        <v>#DIV/0!</v>
      </c>
      <c r="Q353" s="410">
        <f>IF(N353&gt;0,N353*K353/T353,0)*VLOOKUP(B353,'2-Kosten per locatie'!$A$14:$C$61,3,FALSE)</f>
        <v>0</v>
      </c>
      <c r="R353" s="410">
        <f>IF(O353&gt;0,O353*K353/U353,0)*VLOOKUP(B353,'2-Kosten per locatie'!$A$14:$C$61,3,FALSE)</f>
        <v>0</v>
      </c>
      <c r="S353" s="411">
        <f>IF(M353="nio",0,IF(M353&gt;0,VLOOKUP(I353,'3-Productie normen'!A:P,VLOOKUP(M353,'3-Productie normen'!$B$38:$C$48,2,FALSE),FALSE)))</f>
        <v>0</v>
      </c>
      <c r="T353" s="411">
        <f t="shared" si="28"/>
        <v>0</v>
      </c>
      <c r="U353" s="411">
        <f t="shared" si="31"/>
        <v>0</v>
      </c>
      <c r="V353" s="412"/>
      <c r="X353" s="413">
        <f t="shared" si="29"/>
        <v>1978</v>
      </c>
    </row>
    <row r="354" spans="1:24" ht="14.1" customHeight="1">
      <c r="A354" s="70">
        <f t="shared" si="30"/>
        <v>354</v>
      </c>
      <c r="B354" s="354" t="s">
        <v>53</v>
      </c>
      <c r="C354" s="354" t="s">
        <v>437</v>
      </c>
      <c r="D354" s="354" t="s">
        <v>165</v>
      </c>
      <c r="E354" s="404" t="s">
        <v>444</v>
      </c>
      <c r="F354" s="417" t="s">
        <v>273</v>
      </c>
      <c r="G354" s="418" t="s">
        <v>265</v>
      </c>
      <c r="H354" s="419" t="s">
        <v>441</v>
      </c>
      <c r="I354" s="419" t="s">
        <v>114</v>
      </c>
      <c r="J354" s="419" t="s">
        <v>457</v>
      </c>
      <c r="K354" s="414">
        <v>692</v>
      </c>
      <c r="L354" s="408">
        <f t="shared" si="27"/>
        <v>476</v>
      </c>
      <c r="M354" s="409">
        <v>230</v>
      </c>
      <c r="N354" s="306">
        <v>200</v>
      </c>
      <c r="O354" s="409">
        <v>46</v>
      </c>
      <c r="P354" s="410" t="e">
        <f>IF(M354="nio",0,IF(M354&gt;0,M354*K354/S354,0))*VLOOKUP(B354,'2-Kosten per locatie'!$A$14:$C$61,3,FALSE)</f>
        <v>#DIV/0!</v>
      </c>
      <c r="Q354" s="410" t="e">
        <f>IF(N354&gt;0,N354*K354/T354,0)*VLOOKUP(B354,'2-Kosten per locatie'!$A$14:$C$61,3,FALSE)</f>
        <v>#DIV/0!</v>
      </c>
      <c r="R354" s="410" t="e">
        <f>IF(O354&gt;0,O354*K354/U354,0)*VLOOKUP(B354,'2-Kosten per locatie'!$A$14:$C$61,3,FALSE)</f>
        <v>#DIV/0!</v>
      </c>
      <c r="S354" s="411">
        <f>IF(M354="nio",0,IF(M354&gt;0,VLOOKUP(I354,'3-Productie normen'!A:P,VLOOKUP(M354,'3-Productie normen'!$B$38:$C$48,2,FALSE),FALSE)))</f>
        <v>0</v>
      </c>
      <c r="T354" s="411">
        <f t="shared" si="28"/>
        <v>0</v>
      </c>
      <c r="U354" s="411">
        <f t="shared" si="31"/>
        <v>0</v>
      </c>
      <c r="V354" s="412"/>
      <c r="X354" s="413">
        <f t="shared" si="29"/>
        <v>329392</v>
      </c>
    </row>
    <row r="355" spans="1:24" ht="14.1" customHeight="1">
      <c r="A355" s="70">
        <f t="shared" si="30"/>
        <v>355</v>
      </c>
      <c r="B355" s="354" t="s">
        <v>53</v>
      </c>
      <c r="C355" s="354" t="s">
        <v>437</v>
      </c>
      <c r="D355" s="354" t="s">
        <v>165</v>
      </c>
      <c r="E355" s="404" t="s">
        <v>444</v>
      </c>
      <c r="F355" s="417" t="s">
        <v>273</v>
      </c>
      <c r="G355" s="418" t="s">
        <v>266</v>
      </c>
      <c r="H355" s="419" t="s">
        <v>206</v>
      </c>
      <c r="I355" s="419" t="s">
        <v>108</v>
      </c>
      <c r="J355" s="419" t="s">
        <v>218</v>
      </c>
      <c r="K355" s="414">
        <v>5</v>
      </c>
      <c r="L355" s="408">
        <f t="shared" si="27"/>
        <v>476</v>
      </c>
      <c r="M355" s="409">
        <v>230</v>
      </c>
      <c r="N355" s="306">
        <v>200</v>
      </c>
      <c r="O355" s="409">
        <v>46</v>
      </c>
      <c r="P355" s="410" t="e">
        <f>IF(M355="nio",0,IF(M355&gt;0,M355*K355/S355,0))*VLOOKUP(B355,'2-Kosten per locatie'!$A$14:$C$61,3,FALSE)</f>
        <v>#DIV/0!</v>
      </c>
      <c r="Q355" s="410" t="e">
        <f>IF(N355&gt;0,N355*K355/T355,0)*VLOOKUP(B355,'2-Kosten per locatie'!$A$14:$C$61,3,FALSE)</f>
        <v>#DIV/0!</v>
      </c>
      <c r="R355" s="410" t="e">
        <f>IF(O355&gt;0,O355*K355/U355,0)*VLOOKUP(B355,'2-Kosten per locatie'!$A$14:$C$61,3,FALSE)</f>
        <v>#DIV/0!</v>
      </c>
      <c r="S355" s="411">
        <f>IF(M355="nio",0,IF(M355&gt;0,VLOOKUP(I355,'3-Productie normen'!A:P,VLOOKUP(M355,'3-Productie normen'!$B$38:$C$48,2,FALSE),FALSE)))</f>
        <v>0</v>
      </c>
      <c r="T355" s="411">
        <f t="shared" si="28"/>
        <v>0</v>
      </c>
      <c r="U355" s="411">
        <f t="shared" si="31"/>
        <v>0</v>
      </c>
      <c r="V355" s="412"/>
      <c r="X355" s="413">
        <f t="shared" si="29"/>
        <v>2380</v>
      </c>
    </row>
    <row r="356" spans="1:24" ht="14.1" customHeight="1">
      <c r="A356" s="70">
        <f t="shared" si="30"/>
        <v>356</v>
      </c>
      <c r="B356" s="354" t="s">
        <v>53</v>
      </c>
      <c r="C356" s="354" t="s">
        <v>437</v>
      </c>
      <c r="D356" s="354" t="s">
        <v>165</v>
      </c>
      <c r="E356" s="404" t="s">
        <v>444</v>
      </c>
      <c r="F356" s="417" t="s">
        <v>273</v>
      </c>
      <c r="G356" s="418" t="s">
        <v>268</v>
      </c>
      <c r="H356" s="419" t="s">
        <v>443</v>
      </c>
      <c r="I356" s="419" t="s">
        <v>111</v>
      </c>
      <c r="J356" s="419" t="s">
        <v>179</v>
      </c>
      <c r="K356" s="414">
        <v>30</v>
      </c>
      <c r="L356" s="408">
        <f t="shared" si="27"/>
        <v>476</v>
      </c>
      <c r="M356" s="409">
        <v>230</v>
      </c>
      <c r="N356" s="306">
        <v>200</v>
      </c>
      <c r="O356" s="409">
        <v>46</v>
      </c>
      <c r="P356" s="410" t="e">
        <f>IF(M356="nio",0,IF(M356&gt;0,M356*K356/S356,0))*VLOOKUP(B356,'2-Kosten per locatie'!$A$14:$C$61,3,FALSE)</f>
        <v>#DIV/0!</v>
      </c>
      <c r="Q356" s="410" t="e">
        <f>IF(N356&gt;0,N356*K356/T356,0)*VLOOKUP(B356,'2-Kosten per locatie'!$A$14:$C$61,3,FALSE)</f>
        <v>#DIV/0!</v>
      </c>
      <c r="R356" s="410" t="e">
        <f>IF(O356&gt;0,O356*K356/U356,0)*VLOOKUP(B356,'2-Kosten per locatie'!$A$14:$C$61,3,FALSE)</f>
        <v>#DIV/0!</v>
      </c>
      <c r="S356" s="411">
        <f>IF(M356="nio",0,IF(M356&gt;0,VLOOKUP(I356,'3-Productie normen'!A:P,VLOOKUP(M356,'3-Productie normen'!$B$38:$C$48,2,FALSE),FALSE)))</f>
        <v>0</v>
      </c>
      <c r="T356" s="411">
        <f t="shared" si="28"/>
        <v>0</v>
      </c>
      <c r="U356" s="411">
        <f t="shared" si="31"/>
        <v>0</v>
      </c>
      <c r="V356" s="412"/>
      <c r="X356" s="413">
        <f t="shared" si="29"/>
        <v>14280</v>
      </c>
    </row>
    <row r="357" spans="1:24" ht="14.1" customHeight="1">
      <c r="A357" s="70">
        <f t="shared" si="30"/>
        <v>357</v>
      </c>
      <c r="B357" s="354" t="s">
        <v>53</v>
      </c>
      <c r="C357" s="354" t="s">
        <v>437</v>
      </c>
      <c r="D357" s="354" t="s">
        <v>165</v>
      </c>
      <c r="E357" s="404" t="s">
        <v>444</v>
      </c>
      <c r="F357" s="417" t="s">
        <v>273</v>
      </c>
      <c r="G357" s="418" t="s">
        <v>269</v>
      </c>
      <c r="H357" s="419" t="s">
        <v>206</v>
      </c>
      <c r="I357" s="419" t="s">
        <v>108</v>
      </c>
      <c r="J357" s="419" t="s">
        <v>218</v>
      </c>
      <c r="K357" s="414">
        <v>17</v>
      </c>
      <c r="L357" s="408">
        <f t="shared" si="27"/>
        <v>476</v>
      </c>
      <c r="M357" s="409">
        <v>230</v>
      </c>
      <c r="N357" s="306">
        <v>200</v>
      </c>
      <c r="O357" s="409">
        <v>46</v>
      </c>
      <c r="P357" s="410" t="e">
        <f>IF(M357="nio",0,IF(M357&gt;0,M357*K357/S357,0))*VLOOKUP(B357,'2-Kosten per locatie'!$A$14:$C$61,3,FALSE)</f>
        <v>#DIV/0!</v>
      </c>
      <c r="Q357" s="410" t="e">
        <f>IF(N357&gt;0,N357*K357/T357,0)*VLOOKUP(B357,'2-Kosten per locatie'!$A$14:$C$61,3,FALSE)</f>
        <v>#DIV/0!</v>
      </c>
      <c r="R357" s="410" t="e">
        <f>IF(O357&gt;0,O357*K357/U357,0)*VLOOKUP(B357,'2-Kosten per locatie'!$A$14:$C$61,3,FALSE)</f>
        <v>#DIV/0!</v>
      </c>
      <c r="S357" s="411">
        <f>IF(M357="nio",0,IF(M357&gt;0,VLOOKUP(I357,'3-Productie normen'!A:P,VLOOKUP(M357,'3-Productie normen'!$B$38:$C$48,2,FALSE),FALSE)))</f>
        <v>0</v>
      </c>
      <c r="T357" s="411">
        <f t="shared" si="28"/>
        <v>0</v>
      </c>
      <c r="U357" s="411">
        <f t="shared" si="31"/>
        <v>0</v>
      </c>
      <c r="V357" s="412"/>
      <c r="X357" s="413">
        <f t="shared" si="29"/>
        <v>8092</v>
      </c>
    </row>
    <row r="358" spans="1:24" ht="14.1" customHeight="1">
      <c r="A358" s="70">
        <f t="shared" si="30"/>
        <v>358</v>
      </c>
      <c r="B358" s="354" t="s">
        <v>53</v>
      </c>
      <c r="C358" s="354" t="s">
        <v>437</v>
      </c>
      <c r="D358" s="354" t="s">
        <v>165</v>
      </c>
      <c r="E358" s="404" t="s">
        <v>444</v>
      </c>
      <c r="F358" s="417" t="s">
        <v>273</v>
      </c>
      <c r="G358" s="418" t="s">
        <v>270</v>
      </c>
      <c r="H358" s="419" t="s">
        <v>183</v>
      </c>
      <c r="I358" s="419" t="s">
        <v>106</v>
      </c>
      <c r="J358" s="419" t="s">
        <v>179</v>
      </c>
      <c r="K358" s="414">
        <v>11</v>
      </c>
      <c r="L358" s="408">
        <f t="shared" si="27"/>
        <v>476</v>
      </c>
      <c r="M358" s="409">
        <v>230</v>
      </c>
      <c r="N358" s="306">
        <v>200</v>
      </c>
      <c r="O358" s="409">
        <v>46</v>
      </c>
      <c r="P358" s="410" t="e">
        <f>IF(M358="nio",0,IF(M358&gt;0,M358*K358/S358,0))*VLOOKUP(B358,'2-Kosten per locatie'!$A$14:$C$61,3,FALSE)</f>
        <v>#DIV/0!</v>
      </c>
      <c r="Q358" s="410" t="e">
        <f>IF(N358&gt;0,N358*K358/T358,0)*VLOOKUP(B358,'2-Kosten per locatie'!$A$14:$C$61,3,FALSE)</f>
        <v>#DIV/0!</v>
      </c>
      <c r="R358" s="410" t="e">
        <f>IF(O358&gt;0,O358*K358/U358,0)*VLOOKUP(B358,'2-Kosten per locatie'!$A$14:$C$61,3,FALSE)</f>
        <v>#DIV/0!</v>
      </c>
      <c r="S358" s="411">
        <f>IF(M358="nio",0,IF(M358&gt;0,VLOOKUP(I358,'3-Productie normen'!A:P,VLOOKUP(M358,'3-Productie normen'!$B$38:$C$48,2,FALSE),FALSE)))</f>
        <v>0</v>
      </c>
      <c r="T358" s="411">
        <f t="shared" si="28"/>
        <v>0</v>
      </c>
      <c r="U358" s="411">
        <f t="shared" si="31"/>
        <v>0</v>
      </c>
      <c r="V358" s="412"/>
      <c r="X358" s="413">
        <f t="shared" si="29"/>
        <v>5236</v>
      </c>
    </row>
    <row r="359" spans="1:24" ht="14.1" customHeight="1">
      <c r="A359" s="70">
        <f t="shared" si="30"/>
        <v>359</v>
      </c>
      <c r="B359" s="354" t="s">
        <v>53</v>
      </c>
      <c r="C359" s="354" t="s">
        <v>437</v>
      </c>
      <c r="D359" s="354" t="s">
        <v>165</v>
      </c>
      <c r="E359" s="404" t="s">
        <v>444</v>
      </c>
      <c r="F359" s="417" t="s">
        <v>273</v>
      </c>
      <c r="G359" s="418" t="s">
        <v>271</v>
      </c>
      <c r="H359" s="419" t="s">
        <v>183</v>
      </c>
      <c r="I359" s="419" t="s">
        <v>106</v>
      </c>
      <c r="J359" s="419" t="s">
        <v>179</v>
      </c>
      <c r="K359" s="414">
        <v>11</v>
      </c>
      <c r="L359" s="408">
        <f t="shared" si="27"/>
        <v>476</v>
      </c>
      <c r="M359" s="409">
        <v>230</v>
      </c>
      <c r="N359" s="306">
        <v>200</v>
      </c>
      <c r="O359" s="409">
        <v>46</v>
      </c>
      <c r="P359" s="410" t="e">
        <f>IF(M359="nio",0,IF(M359&gt;0,M359*K359/S359,0))*VLOOKUP(B359,'2-Kosten per locatie'!$A$14:$C$61,3,FALSE)</f>
        <v>#DIV/0!</v>
      </c>
      <c r="Q359" s="410" t="e">
        <f>IF(N359&gt;0,N359*K359/T359,0)*VLOOKUP(B359,'2-Kosten per locatie'!$A$14:$C$61,3,FALSE)</f>
        <v>#DIV/0!</v>
      </c>
      <c r="R359" s="410" t="e">
        <f>IF(O359&gt;0,O359*K359/U359,0)*VLOOKUP(B359,'2-Kosten per locatie'!$A$14:$C$61,3,FALSE)</f>
        <v>#DIV/0!</v>
      </c>
      <c r="S359" s="411">
        <f>IF(M359="nio",0,IF(M359&gt;0,VLOOKUP(I359,'3-Productie normen'!A:P,VLOOKUP(M359,'3-Productie normen'!$B$38:$C$48,2,FALSE),FALSE)))</f>
        <v>0</v>
      </c>
      <c r="T359" s="411">
        <f t="shared" si="28"/>
        <v>0</v>
      </c>
      <c r="U359" s="411">
        <f t="shared" si="31"/>
        <v>0</v>
      </c>
      <c r="V359" s="412"/>
      <c r="X359" s="413">
        <f t="shared" si="29"/>
        <v>5236</v>
      </c>
    </row>
    <row r="360" spans="1:24" ht="14.1" customHeight="1">
      <c r="A360" s="70">
        <f t="shared" si="30"/>
        <v>360</v>
      </c>
      <c r="B360" s="354" t="s">
        <v>53</v>
      </c>
      <c r="C360" s="354" t="s">
        <v>437</v>
      </c>
      <c r="D360" s="354" t="s">
        <v>165</v>
      </c>
      <c r="E360" s="404" t="s">
        <v>444</v>
      </c>
      <c r="F360" s="417" t="s">
        <v>273</v>
      </c>
      <c r="G360" s="418" t="s">
        <v>272</v>
      </c>
      <c r="H360" s="419" t="s">
        <v>443</v>
      </c>
      <c r="I360" s="419" t="s">
        <v>111</v>
      </c>
      <c r="J360" s="419" t="s">
        <v>179</v>
      </c>
      <c r="K360" s="414">
        <v>30</v>
      </c>
      <c r="L360" s="408">
        <f t="shared" si="27"/>
        <v>476</v>
      </c>
      <c r="M360" s="409">
        <v>230</v>
      </c>
      <c r="N360" s="306">
        <v>200</v>
      </c>
      <c r="O360" s="409">
        <v>46</v>
      </c>
      <c r="P360" s="410" t="e">
        <f>IF(M360="nio",0,IF(M360&gt;0,M360*K360/S360,0))*VLOOKUP(B360,'2-Kosten per locatie'!$A$14:$C$61,3,FALSE)</f>
        <v>#DIV/0!</v>
      </c>
      <c r="Q360" s="410" t="e">
        <f>IF(N360&gt;0,N360*K360/T360,0)*VLOOKUP(B360,'2-Kosten per locatie'!$A$14:$C$61,3,FALSE)</f>
        <v>#DIV/0!</v>
      </c>
      <c r="R360" s="410" t="e">
        <f>IF(O360&gt;0,O360*K360/U360,0)*VLOOKUP(B360,'2-Kosten per locatie'!$A$14:$C$61,3,FALSE)</f>
        <v>#DIV/0!</v>
      </c>
      <c r="S360" s="411">
        <f>IF(M360="nio",0,IF(M360&gt;0,VLOOKUP(I360,'3-Productie normen'!A:P,VLOOKUP(M360,'3-Productie normen'!$B$38:$C$48,2,FALSE),FALSE)))</f>
        <v>0</v>
      </c>
      <c r="T360" s="411">
        <f t="shared" si="28"/>
        <v>0</v>
      </c>
      <c r="U360" s="411">
        <f t="shared" si="31"/>
        <v>0</v>
      </c>
      <c r="V360" s="412"/>
      <c r="X360" s="413">
        <f t="shared" si="29"/>
        <v>14280</v>
      </c>
    </row>
    <row r="361" spans="1:24" ht="14.1" customHeight="1">
      <c r="A361" s="70">
        <f t="shared" si="30"/>
        <v>361</v>
      </c>
      <c r="B361" s="354" t="s">
        <v>53</v>
      </c>
      <c r="C361" s="354" t="s">
        <v>437</v>
      </c>
      <c r="D361" s="354" t="s">
        <v>165</v>
      </c>
      <c r="E361" s="404" t="s">
        <v>444</v>
      </c>
      <c r="F361" s="417" t="s">
        <v>273</v>
      </c>
      <c r="G361" s="418" t="s">
        <v>274</v>
      </c>
      <c r="H361" s="419" t="s">
        <v>443</v>
      </c>
      <c r="I361" s="419" t="s">
        <v>111</v>
      </c>
      <c r="J361" s="419" t="s">
        <v>179</v>
      </c>
      <c r="K361" s="414">
        <v>11</v>
      </c>
      <c r="L361" s="408">
        <f t="shared" si="27"/>
        <v>476</v>
      </c>
      <c r="M361" s="409">
        <v>230</v>
      </c>
      <c r="N361" s="306">
        <v>200</v>
      </c>
      <c r="O361" s="409">
        <v>46</v>
      </c>
      <c r="P361" s="410" t="e">
        <f>IF(M361="nio",0,IF(M361&gt;0,M361*K361/S361,0))*VLOOKUP(B361,'2-Kosten per locatie'!$A$14:$C$61,3,FALSE)</f>
        <v>#DIV/0!</v>
      </c>
      <c r="Q361" s="410" t="e">
        <f>IF(N361&gt;0,N361*K361/T361,0)*VLOOKUP(B361,'2-Kosten per locatie'!$A$14:$C$61,3,FALSE)</f>
        <v>#DIV/0!</v>
      </c>
      <c r="R361" s="410" t="e">
        <f>IF(O361&gt;0,O361*K361/U361,0)*VLOOKUP(B361,'2-Kosten per locatie'!$A$14:$C$61,3,FALSE)</f>
        <v>#DIV/0!</v>
      </c>
      <c r="S361" s="411">
        <f>IF(M361="nio",0,IF(M361&gt;0,VLOOKUP(I361,'3-Productie normen'!A:P,VLOOKUP(M361,'3-Productie normen'!$B$38:$C$48,2,FALSE),FALSE)))</f>
        <v>0</v>
      </c>
      <c r="T361" s="411">
        <f t="shared" si="28"/>
        <v>0</v>
      </c>
      <c r="U361" s="411">
        <f t="shared" si="31"/>
        <v>0</v>
      </c>
      <c r="V361" s="412"/>
      <c r="X361" s="413">
        <f t="shared" si="29"/>
        <v>5236</v>
      </c>
    </row>
    <row r="362" spans="1:24" ht="14.1" customHeight="1">
      <c r="A362" s="70">
        <f t="shared" si="30"/>
        <v>362</v>
      </c>
      <c r="B362" s="354" t="s">
        <v>53</v>
      </c>
      <c r="C362" s="354" t="s">
        <v>437</v>
      </c>
      <c r="D362" s="354" t="s">
        <v>165</v>
      </c>
      <c r="E362" s="404" t="s">
        <v>444</v>
      </c>
      <c r="F362" s="417" t="s">
        <v>273</v>
      </c>
      <c r="G362" s="418" t="s">
        <v>275</v>
      </c>
      <c r="H362" s="419" t="s">
        <v>206</v>
      </c>
      <c r="I362" s="419" t="s">
        <v>108</v>
      </c>
      <c r="J362" s="419" t="s">
        <v>218</v>
      </c>
      <c r="K362" s="414">
        <v>6</v>
      </c>
      <c r="L362" s="408">
        <f t="shared" si="27"/>
        <v>476</v>
      </c>
      <c r="M362" s="409">
        <v>230</v>
      </c>
      <c r="N362" s="306">
        <v>200</v>
      </c>
      <c r="O362" s="409">
        <v>46</v>
      </c>
      <c r="P362" s="410" t="e">
        <f>IF(M362="nio",0,IF(M362&gt;0,M362*K362/S362,0))*VLOOKUP(B362,'2-Kosten per locatie'!$A$14:$C$61,3,FALSE)</f>
        <v>#DIV/0!</v>
      </c>
      <c r="Q362" s="410" t="e">
        <f>IF(N362&gt;0,N362*K362/T362,0)*VLOOKUP(B362,'2-Kosten per locatie'!$A$14:$C$61,3,FALSE)</f>
        <v>#DIV/0!</v>
      </c>
      <c r="R362" s="410" t="e">
        <f>IF(O362&gt;0,O362*K362/U362,0)*VLOOKUP(B362,'2-Kosten per locatie'!$A$14:$C$61,3,FALSE)</f>
        <v>#DIV/0!</v>
      </c>
      <c r="S362" s="411">
        <f>IF(M362="nio",0,IF(M362&gt;0,VLOOKUP(I362,'3-Productie normen'!A:P,VLOOKUP(M362,'3-Productie normen'!$B$38:$C$48,2,FALSE),FALSE)))</f>
        <v>0</v>
      </c>
      <c r="T362" s="411">
        <f t="shared" si="28"/>
        <v>0</v>
      </c>
      <c r="U362" s="411">
        <f t="shared" si="31"/>
        <v>0</v>
      </c>
      <c r="V362" s="412"/>
      <c r="X362" s="413">
        <f t="shared" si="29"/>
        <v>2856</v>
      </c>
    </row>
    <row r="363" spans="1:24" ht="14.1" customHeight="1">
      <c r="A363" s="70">
        <f t="shared" si="30"/>
        <v>363</v>
      </c>
      <c r="B363" s="354" t="s">
        <v>53</v>
      </c>
      <c r="C363" s="354" t="s">
        <v>437</v>
      </c>
      <c r="D363" s="354" t="s">
        <v>165</v>
      </c>
      <c r="E363" s="404" t="s">
        <v>444</v>
      </c>
      <c r="F363" s="415" t="s">
        <v>273</v>
      </c>
      <c r="G363" s="416" t="s">
        <v>277</v>
      </c>
      <c r="H363" s="402" t="s">
        <v>443</v>
      </c>
      <c r="I363" s="402" t="s">
        <v>111</v>
      </c>
      <c r="J363" s="402" t="s">
        <v>179</v>
      </c>
      <c r="K363" s="414">
        <v>13</v>
      </c>
      <c r="L363" s="408">
        <f t="shared" si="27"/>
        <v>476</v>
      </c>
      <c r="M363" s="409">
        <v>230</v>
      </c>
      <c r="N363" s="306">
        <v>200</v>
      </c>
      <c r="O363" s="409">
        <v>46</v>
      </c>
      <c r="P363" s="410" t="e">
        <f>IF(M363="nio",0,IF(M363&gt;0,M363*K363/S363,0))*VLOOKUP(B363,'2-Kosten per locatie'!$A$14:$C$61,3,FALSE)</f>
        <v>#DIV/0!</v>
      </c>
      <c r="Q363" s="410" t="e">
        <f>IF(N363&gt;0,N363*K363/T363,0)*VLOOKUP(B363,'2-Kosten per locatie'!$A$14:$C$61,3,FALSE)</f>
        <v>#DIV/0!</v>
      </c>
      <c r="R363" s="410" t="e">
        <f>IF(O363&gt;0,O363*K363/U363,0)*VLOOKUP(B363,'2-Kosten per locatie'!$A$14:$C$61,3,FALSE)</f>
        <v>#DIV/0!</v>
      </c>
      <c r="S363" s="411">
        <f>IF(M363="nio",0,IF(M363&gt;0,VLOOKUP(I363,'3-Productie normen'!A:P,VLOOKUP(M363,'3-Productie normen'!$B$38:$C$48,2,FALSE),FALSE)))</f>
        <v>0</v>
      </c>
      <c r="T363" s="411">
        <f t="shared" si="28"/>
        <v>0</v>
      </c>
      <c r="U363" s="411">
        <f t="shared" si="31"/>
        <v>0</v>
      </c>
      <c r="V363" s="412"/>
      <c r="X363" s="413">
        <f t="shared" si="29"/>
        <v>6188</v>
      </c>
    </row>
    <row r="364" spans="1:24" ht="14.1" customHeight="1">
      <c r="A364" s="70">
        <f t="shared" si="30"/>
        <v>364</v>
      </c>
      <c r="B364" s="354" t="s">
        <v>53</v>
      </c>
      <c r="C364" s="354" t="s">
        <v>437</v>
      </c>
      <c r="D364" s="354" t="s">
        <v>165</v>
      </c>
      <c r="E364" s="404" t="s">
        <v>444</v>
      </c>
      <c r="F364" s="415" t="s">
        <v>273</v>
      </c>
      <c r="G364" s="416" t="s">
        <v>278</v>
      </c>
      <c r="H364" s="402" t="s">
        <v>206</v>
      </c>
      <c r="I364" s="402" t="s">
        <v>108</v>
      </c>
      <c r="J364" s="402" t="s">
        <v>218</v>
      </c>
      <c r="K364" s="414">
        <v>5</v>
      </c>
      <c r="L364" s="408">
        <f t="shared" ref="L364:L427" si="32">SUM(M364:O364)</f>
        <v>476</v>
      </c>
      <c r="M364" s="409">
        <v>230</v>
      </c>
      <c r="N364" s="306">
        <v>200</v>
      </c>
      <c r="O364" s="409">
        <v>46</v>
      </c>
      <c r="P364" s="410" t="e">
        <f>IF(M364="nio",0,IF(M364&gt;0,M364*K364/S364,0))*VLOOKUP(B364,'2-Kosten per locatie'!$A$14:$C$61,3,FALSE)</f>
        <v>#DIV/0!</v>
      </c>
      <c r="Q364" s="410" t="e">
        <f>IF(N364&gt;0,N364*K364/T364,0)*VLOOKUP(B364,'2-Kosten per locatie'!$A$14:$C$61,3,FALSE)</f>
        <v>#DIV/0!</v>
      </c>
      <c r="R364" s="410" t="e">
        <f>IF(O364&gt;0,O364*K364/U364,0)*VLOOKUP(B364,'2-Kosten per locatie'!$A$14:$C$61,3,FALSE)</f>
        <v>#DIV/0!</v>
      </c>
      <c r="S364" s="411">
        <f>IF(M364="nio",0,IF(M364&gt;0,VLOOKUP(I364,'3-Productie normen'!A:P,VLOOKUP(M364,'3-Productie normen'!$B$38:$C$48,2,FALSE),FALSE)))</f>
        <v>0</v>
      </c>
      <c r="T364" s="411">
        <f t="shared" si="28"/>
        <v>0</v>
      </c>
      <c r="U364" s="411">
        <f t="shared" si="31"/>
        <v>0</v>
      </c>
      <c r="V364" s="412"/>
      <c r="X364" s="413">
        <f t="shared" si="29"/>
        <v>2380</v>
      </c>
    </row>
    <row r="365" spans="1:24" ht="14.1" customHeight="1">
      <c r="A365" s="70">
        <f t="shared" si="30"/>
        <v>365</v>
      </c>
      <c r="B365" s="354" t="s">
        <v>53</v>
      </c>
      <c r="C365" s="354" t="s">
        <v>437</v>
      </c>
      <c r="D365" s="354" t="s">
        <v>165</v>
      </c>
      <c r="E365" s="404" t="s">
        <v>444</v>
      </c>
      <c r="F365" s="415" t="s">
        <v>273</v>
      </c>
      <c r="G365" s="416" t="s">
        <v>279</v>
      </c>
      <c r="H365" s="402" t="s">
        <v>458</v>
      </c>
      <c r="I365" s="402" t="s">
        <v>123</v>
      </c>
      <c r="J365" s="402" t="s">
        <v>445</v>
      </c>
      <c r="K365" s="414">
        <v>43</v>
      </c>
      <c r="L365" s="408">
        <f t="shared" si="32"/>
        <v>46</v>
      </c>
      <c r="M365" s="409">
        <v>46</v>
      </c>
      <c r="N365" s="306"/>
      <c r="O365" s="409"/>
      <c r="P365" s="410" t="e">
        <f>IF(M365="nio",0,IF(M365&gt;0,M365*K365/S365,0))*VLOOKUP(B365,'2-Kosten per locatie'!$A$14:$C$61,3,FALSE)</f>
        <v>#DIV/0!</v>
      </c>
      <c r="Q365" s="410">
        <f>IF(N365&gt;0,N365*K365/T365,0)*VLOOKUP(B365,'2-Kosten per locatie'!$A$14:$C$61,3,FALSE)</f>
        <v>0</v>
      </c>
      <c r="R365" s="410">
        <f>IF(O365&gt;0,O365*K365/U365,0)*VLOOKUP(B365,'2-Kosten per locatie'!$A$14:$C$61,3,FALSE)</f>
        <v>0</v>
      </c>
      <c r="S365" s="411">
        <f>IF(M365="nio",0,IF(M365&gt;0,VLOOKUP(I365,'3-Productie normen'!A:P,VLOOKUP(M365,'3-Productie normen'!$B$38:$C$48,2,FALSE),FALSE)))</f>
        <v>0</v>
      </c>
      <c r="T365" s="411">
        <f t="shared" si="28"/>
        <v>0</v>
      </c>
      <c r="U365" s="411">
        <f t="shared" si="31"/>
        <v>0</v>
      </c>
      <c r="V365" s="412"/>
      <c r="X365" s="413">
        <f t="shared" si="29"/>
        <v>1978</v>
      </c>
    </row>
    <row r="366" spans="1:24" ht="14.1" customHeight="1">
      <c r="A366" s="70">
        <f t="shared" si="30"/>
        <v>366</v>
      </c>
      <c r="B366" s="354" t="s">
        <v>54</v>
      </c>
      <c r="C366" s="354" t="s">
        <v>437</v>
      </c>
      <c r="D366" s="354" t="s">
        <v>165</v>
      </c>
      <c r="E366" s="404" t="s">
        <v>438</v>
      </c>
      <c r="F366" s="415" t="s">
        <v>167</v>
      </c>
      <c r="G366" s="416" t="s">
        <v>191</v>
      </c>
      <c r="H366" s="402" t="s">
        <v>452</v>
      </c>
      <c r="I366" s="402" t="s">
        <v>107</v>
      </c>
      <c r="J366" s="402" t="s">
        <v>218</v>
      </c>
      <c r="K366" s="414">
        <v>47</v>
      </c>
      <c r="L366" s="408">
        <f t="shared" si="32"/>
        <v>276</v>
      </c>
      <c r="M366" s="409">
        <v>230</v>
      </c>
      <c r="N366" s="306"/>
      <c r="O366" s="409">
        <v>46</v>
      </c>
      <c r="P366" s="410" t="e">
        <f>IF(M366="nio",0,IF(M366&gt;0,M366*K366/S366,0))*VLOOKUP(B366,'2-Kosten per locatie'!$A$14:$C$61,3,FALSE)</f>
        <v>#DIV/0!</v>
      </c>
      <c r="Q366" s="410">
        <f>IF(N366&gt;0,N366*K366/T366,0)*VLOOKUP(B366,'2-Kosten per locatie'!$A$14:$C$61,3,FALSE)</f>
        <v>0</v>
      </c>
      <c r="R366" s="410" t="e">
        <f>IF(O366&gt;0,O366*K366/U366,0)*VLOOKUP(B366,'2-Kosten per locatie'!$A$14:$C$61,3,FALSE)</f>
        <v>#DIV/0!</v>
      </c>
      <c r="S366" s="411">
        <f>IF(M366="nio",0,IF(M366&gt;0,VLOOKUP(I366,'3-Productie normen'!A:P,VLOOKUP(M366,'3-Productie normen'!$B$38:$C$48,2,FALSE),FALSE)))</f>
        <v>0</v>
      </c>
      <c r="T366" s="411">
        <f t="shared" si="28"/>
        <v>0</v>
      </c>
      <c r="U366" s="411">
        <f t="shared" si="31"/>
        <v>0</v>
      </c>
      <c r="V366" s="412"/>
      <c r="X366" s="413">
        <f t="shared" si="29"/>
        <v>12972</v>
      </c>
    </row>
    <row r="367" spans="1:24" ht="14.1" customHeight="1">
      <c r="A367" s="70">
        <f t="shared" si="30"/>
        <v>367</v>
      </c>
      <c r="B367" s="354" t="s">
        <v>54</v>
      </c>
      <c r="C367" s="354" t="s">
        <v>437</v>
      </c>
      <c r="D367" s="354" t="s">
        <v>165</v>
      </c>
      <c r="E367" s="404" t="s">
        <v>438</v>
      </c>
      <c r="F367" s="415" t="s">
        <v>167</v>
      </c>
      <c r="G367" s="416" t="s">
        <v>194</v>
      </c>
      <c r="H367" s="402" t="s">
        <v>443</v>
      </c>
      <c r="I367" s="402" t="s">
        <v>111</v>
      </c>
      <c r="J367" s="402" t="s">
        <v>218</v>
      </c>
      <c r="K367" s="414">
        <v>32</v>
      </c>
      <c r="L367" s="408">
        <f t="shared" si="32"/>
        <v>276</v>
      </c>
      <c r="M367" s="409">
        <v>230</v>
      </c>
      <c r="N367" s="306"/>
      <c r="O367" s="409">
        <v>46</v>
      </c>
      <c r="P367" s="410" t="e">
        <f>IF(M367="nio",0,IF(M367&gt;0,M367*K367/S367,0))*VLOOKUP(B367,'2-Kosten per locatie'!$A$14:$C$61,3,FALSE)</f>
        <v>#DIV/0!</v>
      </c>
      <c r="Q367" s="410">
        <f>IF(N367&gt;0,N367*K367/T367,0)*VLOOKUP(B367,'2-Kosten per locatie'!$A$14:$C$61,3,FALSE)</f>
        <v>0</v>
      </c>
      <c r="R367" s="410" t="e">
        <f>IF(O367&gt;0,O367*K367/U367,0)*VLOOKUP(B367,'2-Kosten per locatie'!$A$14:$C$61,3,FALSE)</f>
        <v>#DIV/0!</v>
      </c>
      <c r="S367" s="411">
        <f>IF(M367="nio",0,IF(M367&gt;0,VLOOKUP(I367,'3-Productie normen'!A:P,VLOOKUP(M367,'3-Productie normen'!$B$38:$C$48,2,FALSE),FALSE)))</f>
        <v>0</v>
      </c>
      <c r="T367" s="411">
        <f t="shared" si="28"/>
        <v>0</v>
      </c>
      <c r="U367" s="411">
        <f t="shared" si="31"/>
        <v>0</v>
      </c>
      <c r="V367" s="412"/>
      <c r="X367" s="413">
        <f t="shared" si="29"/>
        <v>8832</v>
      </c>
    </row>
    <row r="368" spans="1:24" ht="14.1" customHeight="1">
      <c r="A368" s="70">
        <f t="shared" si="30"/>
        <v>368</v>
      </c>
      <c r="B368" s="354" t="s">
        <v>54</v>
      </c>
      <c r="C368" s="354" t="s">
        <v>437</v>
      </c>
      <c r="D368" s="354" t="s">
        <v>165</v>
      </c>
      <c r="E368" s="404" t="s">
        <v>438</v>
      </c>
      <c r="F368" s="415" t="s">
        <v>167</v>
      </c>
      <c r="G368" s="416" t="s">
        <v>196</v>
      </c>
      <c r="H368" s="402" t="s">
        <v>183</v>
      </c>
      <c r="I368" s="402" t="s">
        <v>106</v>
      </c>
      <c r="J368" s="402" t="s">
        <v>184</v>
      </c>
      <c r="K368" s="414">
        <v>14.5</v>
      </c>
      <c r="L368" s="408">
        <f t="shared" si="32"/>
        <v>276</v>
      </c>
      <c r="M368" s="409">
        <v>230</v>
      </c>
      <c r="N368" s="306"/>
      <c r="O368" s="409">
        <v>46</v>
      </c>
      <c r="P368" s="410" t="e">
        <f>IF(M368="nio",0,IF(M368&gt;0,M368*K368/S368,0))*VLOOKUP(B368,'2-Kosten per locatie'!$A$14:$C$61,3,FALSE)</f>
        <v>#DIV/0!</v>
      </c>
      <c r="Q368" s="410">
        <f>IF(N368&gt;0,N368*K368/T368,0)*VLOOKUP(B368,'2-Kosten per locatie'!$A$14:$C$61,3,FALSE)</f>
        <v>0</v>
      </c>
      <c r="R368" s="410" t="e">
        <f>IF(O368&gt;0,O368*K368/U368,0)*VLOOKUP(B368,'2-Kosten per locatie'!$A$14:$C$61,3,FALSE)</f>
        <v>#DIV/0!</v>
      </c>
      <c r="S368" s="411">
        <f>IF(M368="nio",0,IF(M368&gt;0,VLOOKUP(I368,'3-Productie normen'!A:P,VLOOKUP(M368,'3-Productie normen'!$B$38:$C$48,2,FALSE),FALSE)))</f>
        <v>0</v>
      </c>
      <c r="T368" s="411">
        <f t="shared" si="28"/>
        <v>0</v>
      </c>
      <c r="U368" s="411">
        <f t="shared" si="31"/>
        <v>0</v>
      </c>
      <c r="V368" s="412"/>
      <c r="X368" s="413">
        <f t="shared" si="29"/>
        <v>4002</v>
      </c>
    </row>
    <row r="369" spans="1:24" ht="14.1" customHeight="1">
      <c r="A369" s="70">
        <f t="shared" si="30"/>
        <v>369</v>
      </c>
      <c r="B369" s="354" t="s">
        <v>54</v>
      </c>
      <c r="C369" s="354" t="s">
        <v>437</v>
      </c>
      <c r="D369" s="354" t="s">
        <v>165</v>
      </c>
      <c r="E369" s="404" t="s">
        <v>438</v>
      </c>
      <c r="F369" s="415" t="s">
        <v>167</v>
      </c>
      <c r="G369" s="416" t="s">
        <v>198</v>
      </c>
      <c r="H369" s="402" t="s">
        <v>441</v>
      </c>
      <c r="I369" s="402" t="s">
        <v>114</v>
      </c>
      <c r="J369" s="402" t="s">
        <v>445</v>
      </c>
      <c r="K369" s="414">
        <v>292</v>
      </c>
      <c r="L369" s="408">
        <f t="shared" si="32"/>
        <v>276</v>
      </c>
      <c r="M369" s="409">
        <v>230</v>
      </c>
      <c r="N369" s="306"/>
      <c r="O369" s="409">
        <v>46</v>
      </c>
      <c r="P369" s="410" t="e">
        <f>IF(M369="nio",0,IF(M369&gt;0,M369*K369/S369,0))*VLOOKUP(B369,'2-Kosten per locatie'!$A$14:$C$61,3,FALSE)</f>
        <v>#DIV/0!</v>
      </c>
      <c r="Q369" s="410">
        <f>IF(N369&gt;0,N369*K369/T369,0)*VLOOKUP(B369,'2-Kosten per locatie'!$A$14:$C$61,3,FALSE)</f>
        <v>0</v>
      </c>
      <c r="R369" s="410" t="e">
        <f>IF(O369&gt;0,O369*K369/U369,0)*VLOOKUP(B369,'2-Kosten per locatie'!$A$14:$C$61,3,FALSE)</f>
        <v>#DIV/0!</v>
      </c>
      <c r="S369" s="411">
        <f>IF(M369="nio",0,IF(M369&gt;0,VLOOKUP(I369,'3-Productie normen'!A:P,VLOOKUP(M369,'3-Productie normen'!$B$38:$C$48,2,FALSE),FALSE)))</f>
        <v>0</v>
      </c>
      <c r="T369" s="411">
        <f t="shared" si="28"/>
        <v>0</v>
      </c>
      <c r="U369" s="411">
        <f t="shared" si="31"/>
        <v>0</v>
      </c>
      <c r="V369" s="412"/>
      <c r="X369" s="413">
        <f t="shared" si="29"/>
        <v>80592</v>
      </c>
    </row>
    <row r="370" spans="1:24" ht="14.1" customHeight="1">
      <c r="A370" s="70">
        <f t="shared" si="30"/>
        <v>370</v>
      </c>
      <c r="B370" s="354" t="s">
        <v>54</v>
      </c>
      <c r="C370" s="354" t="s">
        <v>437</v>
      </c>
      <c r="D370" s="354" t="s">
        <v>165</v>
      </c>
      <c r="E370" s="404" t="s">
        <v>438</v>
      </c>
      <c r="F370" s="415" t="s">
        <v>167</v>
      </c>
      <c r="G370" s="416" t="s">
        <v>199</v>
      </c>
      <c r="H370" s="402" t="s">
        <v>443</v>
      </c>
      <c r="I370" s="402" t="s">
        <v>111</v>
      </c>
      <c r="J370" s="402" t="s">
        <v>218</v>
      </c>
      <c r="K370" s="414">
        <v>31</v>
      </c>
      <c r="L370" s="408">
        <f t="shared" si="32"/>
        <v>276</v>
      </c>
      <c r="M370" s="409">
        <v>230</v>
      </c>
      <c r="N370" s="306"/>
      <c r="O370" s="409">
        <v>46</v>
      </c>
      <c r="P370" s="410" t="e">
        <f>IF(M370="nio",0,IF(M370&gt;0,M370*K370/S370,0))*VLOOKUP(B370,'2-Kosten per locatie'!$A$14:$C$61,3,FALSE)</f>
        <v>#DIV/0!</v>
      </c>
      <c r="Q370" s="410">
        <f>IF(N370&gt;0,N370*K370/T370,0)*VLOOKUP(B370,'2-Kosten per locatie'!$A$14:$C$61,3,FALSE)</f>
        <v>0</v>
      </c>
      <c r="R370" s="410" t="e">
        <f>IF(O370&gt;0,O370*K370/U370,0)*VLOOKUP(B370,'2-Kosten per locatie'!$A$14:$C$61,3,FALSE)</f>
        <v>#DIV/0!</v>
      </c>
      <c r="S370" s="411">
        <f>IF(M370="nio",0,IF(M370&gt;0,VLOOKUP(I370,'3-Productie normen'!A:P,VLOOKUP(M370,'3-Productie normen'!$B$38:$C$48,2,FALSE),FALSE)))</f>
        <v>0</v>
      </c>
      <c r="T370" s="411">
        <f t="shared" si="28"/>
        <v>0</v>
      </c>
      <c r="U370" s="411">
        <f t="shared" si="31"/>
        <v>0</v>
      </c>
      <c r="V370" s="412"/>
      <c r="X370" s="413">
        <f t="shared" si="29"/>
        <v>8556</v>
      </c>
    </row>
    <row r="371" spans="1:24" ht="14.1" customHeight="1">
      <c r="A371" s="70">
        <f t="shared" si="30"/>
        <v>371</v>
      </c>
      <c r="B371" s="354" t="s">
        <v>54</v>
      </c>
      <c r="C371" s="354" t="s">
        <v>437</v>
      </c>
      <c r="D371" s="354" t="s">
        <v>165</v>
      </c>
      <c r="E371" s="404" t="s">
        <v>438</v>
      </c>
      <c r="F371" s="415" t="s">
        <v>167</v>
      </c>
      <c r="G371" s="416" t="s">
        <v>202</v>
      </c>
      <c r="H371" s="402" t="s">
        <v>183</v>
      </c>
      <c r="I371" s="402" t="s">
        <v>106</v>
      </c>
      <c r="J371" s="402" t="s">
        <v>184</v>
      </c>
      <c r="K371" s="414">
        <v>14.5</v>
      </c>
      <c r="L371" s="408">
        <f t="shared" si="32"/>
        <v>276</v>
      </c>
      <c r="M371" s="409">
        <v>230</v>
      </c>
      <c r="N371" s="306"/>
      <c r="O371" s="409">
        <v>46</v>
      </c>
      <c r="P371" s="410" t="e">
        <f>IF(M371="nio",0,IF(M371&gt;0,M371*K371/S371,0))*VLOOKUP(B371,'2-Kosten per locatie'!$A$14:$C$61,3,FALSE)</f>
        <v>#DIV/0!</v>
      </c>
      <c r="Q371" s="410">
        <f>IF(N371&gt;0,N371*K371/T371,0)*VLOOKUP(B371,'2-Kosten per locatie'!$A$14:$C$61,3,FALSE)</f>
        <v>0</v>
      </c>
      <c r="R371" s="410" t="e">
        <f>IF(O371&gt;0,O371*K371/U371,0)*VLOOKUP(B371,'2-Kosten per locatie'!$A$14:$C$61,3,FALSE)</f>
        <v>#DIV/0!</v>
      </c>
      <c r="S371" s="411">
        <f>IF(M371="nio",0,IF(M371&gt;0,VLOOKUP(I371,'3-Productie normen'!A:P,VLOOKUP(M371,'3-Productie normen'!$B$38:$C$48,2,FALSE),FALSE)))</f>
        <v>0</v>
      </c>
      <c r="T371" s="411">
        <f t="shared" si="28"/>
        <v>0</v>
      </c>
      <c r="U371" s="411">
        <f t="shared" si="31"/>
        <v>0</v>
      </c>
      <c r="V371" s="412"/>
      <c r="X371" s="413">
        <f t="shared" si="29"/>
        <v>4002</v>
      </c>
    </row>
    <row r="372" spans="1:24" ht="14.1" customHeight="1">
      <c r="A372" s="70">
        <f t="shared" si="30"/>
        <v>372</v>
      </c>
      <c r="B372" s="354" t="s">
        <v>54</v>
      </c>
      <c r="C372" s="354" t="s">
        <v>437</v>
      </c>
      <c r="D372" s="354" t="s">
        <v>165</v>
      </c>
      <c r="E372" s="404" t="s">
        <v>438</v>
      </c>
      <c r="F372" s="415" t="s">
        <v>167</v>
      </c>
      <c r="G372" s="416" t="s">
        <v>203</v>
      </c>
      <c r="H372" s="402" t="s">
        <v>443</v>
      </c>
      <c r="I372" s="402" t="s">
        <v>111</v>
      </c>
      <c r="J372" s="402" t="s">
        <v>218</v>
      </c>
      <c r="K372" s="414">
        <v>8</v>
      </c>
      <c r="L372" s="408">
        <f t="shared" si="32"/>
        <v>276</v>
      </c>
      <c r="M372" s="409">
        <v>230</v>
      </c>
      <c r="N372" s="306"/>
      <c r="O372" s="409">
        <v>46</v>
      </c>
      <c r="P372" s="410" t="e">
        <f>IF(M372="nio",0,IF(M372&gt;0,M372*K372/S372,0))*VLOOKUP(B372,'2-Kosten per locatie'!$A$14:$C$61,3,FALSE)</f>
        <v>#DIV/0!</v>
      </c>
      <c r="Q372" s="410">
        <f>IF(N372&gt;0,N372*K372/T372,0)*VLOOKUP(B372,'2-Kosten per locatie'!$A$14:$C$61,3,FALSE)</f>
        <v>0</v>
      </c>
      <c r="R372" s="410" t="e">
        <f>IF(O372&gt;0,O372*K372/U372,0)*VLOOKUP(B372,'2-Kosten per locatie'!$A$14:$C$61,3,FALSE)</f>
        <v>#DIV/0!</v>
      </c>
      <c r="S372" s="411">
        <f>IF(M372="nio",0,IF(M372&gt;0,VLOOKUP(I372,'3-Productie normen'!A:P,VLOOKUP(M372,'3-Productie normen'!$B$38:$C$48,2,FALSE),FALSE)))</f>
        <v>0</v>
      </c>
      <c r="T372" s="411">
        <f t="shared" si="28"/>
        <v>0</v>
      </c>
      <c r="U372" s="411">
        <f t="shared" si="31"/>
        <v>0</v>
      </c>
      <c r="V372" s="412"/>
      <c r="X372" s="413">
        <f t="shared" si="29"/>
        <v>2208</v>
      </c>
    </row>
    <row r="373" spans="1:24" ht="14.1" customHeight="1">
      <c r="A373" s="70">
        <f t="shared" si="30"/>
        <v>373</v>
      </c>
      <c r="B373" s="354" t="s">
        <v>54</v>
      </c>
      <c r="C373" s="354" t="s">
        <v>437</v>
      </c>
      <c r="D373" s="354" t="s">
        <v>165</v>
      </c>
      <c r="E373" s="404" t="s">
        <v>438</v>
      </c>
      <c r="F373" s="415" t="s">
        <v>167</v>
      </c>
      <c r="G373" s="416" t="s">
        <v>204</v>
      </c>
      <c r="H373" s="402" t="s">
        <v>183</v>
      </c>
      <c r="I373" s="402" t="s">
        <v>106</v>
      </c>
      <c r="J373" s="402" t="s">
        <v>184</v>
      </c>
      <c r="K373" s="414">
        <v>2</v>
      </c>
      <c r="L373" s="408">
        <f t="shared" si="32"/>
        <v>276</v>
      </c>
      <c r="M373" s="409">
        <v>230</v>
      </c>
      <c r="N373" s="306"/>
      <c r="O373" s="409">
        <v>46</v>
      </c>
      <c r="P373" s="410" t="e">
        <f>IF(M373="nio",0,IF(M373&gt;0,M373*K373/S373,0))*VLOOKUP(B373,'2-Kosten per locatie'!$A$14:$C$61,3,FALSE)</f>
        <v>#DIV/0!</v>
      </c>
      <c r="Q373" s="410">
        <f>IF(N373&gt;0,N373*K373/T373,0)*VLOOKUP(B373,'2-Kosten per locatie'!$A$14:$C$61,3,FALSE)</f>
        <v>0</v>
      </c>
      <c r="R373" s="410" t="e">
        <f>IF(O373&gt;0,O373*K373/U373,0)*VLOOKUP(B373,'2-Kosten per locatie'!$A$14:$C$61,3,FALSE)</f>
        <v>#DIV/0!</v>
      </c>
      <c r="S373" s="411">
        <f>IF(M373="nio",0,IF(M373&gt;0,VLOOKUP(I373,'3-Productie normen'!A:P,VLOOKUP(M373,'3-Productie normen'!$B$38:$C$48,2,FALSE),FALSE)))</f>
        <v>0</v>
      </c>
      <c r="T373" s="411">
        <f t="shared" si="28"/>
        <v>0</v>
      </c>
      <c r="U373" s="411">
        <f t="shared" si="31"/>
        <v>0</v>
      </c>
      <c r="V373" s="412"/>
      <c r="X373" s="413">
        <f t="shared" si="29"/>
        <v>552</v>
      </c>
    </row>
    <row r="374" spans="1:24" ht="14.1" customHeight="1">
      <c r="A374" s="70">
        <f t="shared" si="30"/>
        <v>374</v>
      </c>
      <c r="B374" s="354" t="s">
        <v>55</v>
      </c>
      <c r="C374" s="354" t="s">
        <v>437</v>
      </c>
      <c r="D374" s="354" t="s">
        <v>165</v>
      </c>
      <c r="E374" s="404" t="s">
        <v>438</v>
      </c>
      <c r="F374" s="415" t="s">
        <v>167</v>
      </c>
      <c r="G374" s="416" t="s">
        <v>191</v>
      </c>
      <c r="H374" s="402" t="s">
        <v>187</v>
      </c>
      <c r="I374" s="402" t="s">
        <v>107</v>
      </c>
      <c r="J374" s="402" t="s">
        <v>179</v>
      </c>
      <c r="K374" s="414">
        <v>9</v>
      </c>
      <c r="L374" s="408">
        <f t="shared" si="32"/>
        <v>230</v>
      </c>
      <c r="M374" s="409">
        <v>230</v>
      </c>
      <c r="N374" s="306"/>
      <c r="O374" s="409"/>
      <c r="P374" s="410" t="e">
        <f>IF(M374="nio",0,IF(M374&gt;0,M374*K374/S374,0))*VLOOKUP(B374,'2-Kosten per locatie'!$A$14:$C$61,3,FALSE)</f>
        <v>#DIV/0!</v>
      </c>
      <c r="Q374" s="410">
        <f>IF(N374&gt;0,N374*K374/T374,0)*VLOOKUP(B374,'2-Kosten per locatie'!$A$14:$C$61,3,FALSE)</f>
        <v>0</v>
      </c>
      <c r="R374" s="410">
        <f>IF(O374&gt;0,O374*K374/U374,0)*VLOOKUP(B374,'2-Kosten per locatie'!$A$14:$C$61,3,FALSE)</f>
        <v>0</v>
      </c>
      <c r="S374" s="411">
        <f>IF(M374="nio",0,IF(M374&gt;0,VLOOKUP(I374,'3-Productie normen'!A:P,VLOOKUP(M374,'3-Productie normen'!$B$38:$C$48,2,FALSE),FALSE)))</f>
        <v>0</v>
      </c>
      <c r="T374" s="411">
        <f t="shared" si="28"/>
        <v>0</v>
      </c>
      <c r="U374" s="411">
        <f t="shared" si="31"/>
        <v>0</v>
      </c>
      <c r="V374" s="412"/>
      <c r="X374" s="413">
        <f t="shared" si="29"/>
        <v>2070</v>
      </c>
    </row>
    <row r="375" spans="1:24" ht="14.1" customHeight="1">
      <c r="A375" s="70">
        <f t="shared" si="30"/>
        <v>375</v>
      </c>
      <c r="B375" s="354" t="s">
        <v>55</v>
      </c>
      <c r="C375" s="354" t="s">
        <v>437</v>
      </c>
      <c r="D375" s="354" t="s">
        <v>165</v>
      </c>
      <c r="E375" s="404" t="s">
        <v>438</v>
      </c>
      <c r="F375" s="415" t="s">
        <v>167</v>
      </c>
      <c r="G375" s="416" t="s">
        <v>194</v>
      </c>
      <c r="H375" s="402" t="s">
        <v>443</v>
      </c>
      <c r="I375" s="402" t="s">
        <v>111</v>
      </c>
      <c r="J375" s="402" t="s">
        <v>179</v>
      </c>
      <c r="K375" s="414">
        <v>35</v>
      </c>
      <c r="L375" s="408">
        <f t="shared" si="32"/>
        <v>230</v>
      </c>
      <c r="M375" s="409">
        <v>230</v>
      </c>
      <c r="N375" s="306"/>
      <c r="O375" s="409"/>
      <c r="P375" s="410" t="e">
        <f>IF(M375="nio",0,IF(M375&gt;0,M375*K375/S375,0))*VLOOKUP(B375,'2-Kosten per locatie'!$A$14:$C$61,3,FALSE)</f>
        <v>#DIV/0!</v>
      </c>
      <c r="Q375" s="410">
        <f>IF(N375&gt;0,N375*K375/T375,0)*VLOOKUP(B375,'2-Kosten per locatie'!$A$14:$C$61,3,FALSE)</f>
        <v>0</v>
      </c>
      <c r="R375" s="410">
        <f>IF(O375&gt;0,O375*K375/U375,0)*VLOOKUP(B375,'2-Kosten per locatie'!$A$14:$C$61,3,FALSE)</f>
        <v>0</v>
      </c>
      <c r="S375" s="411">
        <f>IF(M375="nio",0,IF(M375&gt;0,VLOOKUP(I375,'3-Productie normen'!A:P,VLOOKUP(M375,'3-Productie normen'!$B$38:$C$48,2,FALSE),FALSE)))</f>
        <v>0</v>
      </c>
      <c r="T375" s="411">
        <f t="shared" si="28"/>
        <v>0</v>
      </c>
      <c r="U375" s="411">
        <f t="shared" si="31"/>
        <v>0</v>
      </c>
      <c r="V375" s="412"/>
      <c r="X375" s="413">
        <f t="shared" si="29"/>
        <v>8050</v>
      </c>
    </row>
    <row r="376" spans="1:24" ht="14.1" customHeight="1">
      <c r="A376" s="70">
        <f t="shared" si="30"/>
        <v>376</v>
      </c>
      <c r="B376" s="354" t="s">
        <v>55</v>
      </c>
      <c r="C376" s="354" t="s">
        <v>437</v>
      </c>
      <c r="D376" s="354" t="s">
        <v>165</v>
      </c>
      <c r="E376" s="404" t="s">
        <v>438</v>
      </c>
      <c r="F376" s="415" t="s">
        <v>167</v>
      </c>
      <c r="G376" s="416" t="s">
        <v>196</v>
      </c>
      <c r="H376" s="402" t="s">
        <v>183</v>
      </c>
      <c r="I376" s="402" t="s">
        <v>106</v>
      </c>
      <c r="J376" s="402" t="s">
        <v>179</v>
      </c>
      <c r="K376" s="414">
        <v>20</v>
      </c>
      <c r="L376" s="408">
        <f t="shared" si="32"/>
        <v>230</v>
      </c>
      <c r="M376" s="409">
        <v>230</v>
      </c>
      <c r="N376" s="306"/>
      <c r="O376" s="409"/>
      <c r="P376" s="410" t="e">
        <f>IF(M376="nio",0,IF(M376&gt;0,M376*K376/S376,0))*VLOOKUP(B376,'2-Kosten per locatie'!$A$14:$C$61,3,FALSE)</f>
        <v>#DIV/0!</v>
      </c>
      <c r="Q376" s="410">
        <f>IF(N376&gt;0,N376*K376/T376,0)*VLOOKUP(B376,'2-Kosten per locatie'!$A$14:$C$61,3,FALSE)</f>
        <v>0</v>
      </c>
      <c r="R376" s="410">
        <f>IF(O376&gt;0,O376*K376/U376,0)*VLOOKUP(B376,'2-Kosten per locatie'!$A$14:$C$61,3,FALSE)</f>
        <v>0</v>
      </c>
      <c r="S376" s="411">
        <f>IF(M376="nio",0,IF(M376&gt;0,VLOOKUP(I376,'3-Productie normen'!A:P,VLOOKUP(M376,'3-Productie normen'!$B$38:$C$48,2,FALSE),FALSE)))</f>
        <v>0</v>
      </c>
      <c r="T376" s="411">
        <f t="shared" si="28"/>
        <v>0</v>
      </c>
      <c r="U376" s="411">
        <f t="shared" si="31"/>
        <v>0</v>
      </c>
      <c r="V376" s="412"/>
      <c r="X376" s="413">
        <f t="shared" si="29"/>
        <v>4600</v>
      </c>
    </row>
    <row r="377" spans="1:24" ht="14.1" customHeight="1">
      <c r="A377" s="70">
        <f t="shared" si="30"/>
        <v>377</v>
      </c>
      <c r="B377" s="354" t="s">
        <v>55</v>
      </c>
      <c r="C377" s="354" t="s">
        <v>437</v>
      </c>
      <c r="D377" s="354" t="s">
        <v>165</v>
      </c>
      <c r="E377" s="404" t="s">
        <v>438</v>
      </c>
      <c r="F377" s="415" t="s">
        <v>167</v>
      </c>
      <c r="G377" s="416" t="s">
        <v>198</v>
      </c>
      <c r="H377" s="402" t="s">
        <v>444</v>
      </c>
      <c r="I377" s="402" t="s">
        <v>114</v>
      </c>
      <c r="J377" s="402" t="s">
        <v>451</v>
      </c>
      <c r="K377" s="414">
        <v>240</v>
      </c>
      <c r="L377" s="408">
        <f t="shared" si="32"/>
        <v>230</v>
      </c>
      <c r="M377" s="409">
        <v>230</v>
      </c>
      <c r="N377" s="306"/>
      <c r="O377" s="409"/>
      <c r="P377" s="410" t="e">
        <f>IF(M377="nio",0,IF(M377&gt;0,M377*K377/S377,0))*VLOOKUP(B377,'2-Kosten per locatie'!$A$14:$C$61,3,FALSE)</f>
        <v>#DIV/0!</v>
      </c>
      <c r="Q377" s="410">
        <f>IF(N377&gt;0,N377*K377/T377,0)*VLOOKUP(B377,'2-Kosten per locatie'!$A$14:$C$61,3,FALSE)</f>
        <v>0</v>
      </c>
      <c r="R377" s="410">
        <f>IF(O377&gt;0,O377*K377/U377,0)*VLOOKUP(B377,'2-Kosten per locatie'!$A$14:$C$61,3,FALSE)</f>
        <v>0</v>
      </c>
      <c r="S377" s="411">
        <f>IF(M377="nio",0,IF(M377&gt;0,VLOOKUP(I377,'3-Productie normen'!A:P,VLOOKUP(M377,'3-Productie normen'!$B$38:$C$48,2,FALSE),FALSE)))</f>
        <v>0</v>
      </c>
      <c r="T377" s="411">
        <f t="shared" si="28"/>
        <v>0</v>
      </c>
      <c r="U377" s="411">
        <f t="shared" si="31"/>
        <v>0</v>
      </c>
      <c r="V377" s="412"/>
      <c r="X377" s="413">
        <f t="shared" si="29"/>
        <v>55200</v>
      </c>
    </row>
    <row r="378" spans="1:24" ht="14.1" customHeight="1">
      <c r="A378" s="70">
        <f t="shared" si="30"/>
        <v>378</v>
      </c>
      <c r="B378" s="354" t="s">
        <v>55</v>
      </c>
      <c r="C378" s="354" t="s">
        <v>437</v>
      </c>
      <c r="D378" s="354" t="s">
        <v>165</v>
      </c>
      <c r="E378" s="404" t="s">
        <v>438</v>
      </c>
      <c r="F378" s="415" t="s">
        <v>167</v>
      </c>
      <c r="G378" s="416" t="s">
        <v>199</v>
      </c>
      <c r="H378" s="402" t="s">
        <v>443</v>
      </c>
      <c r="I378" s="402" t="s">
        <v>111</v>
      </c>
      <c r="J378" s="402" t="s">
        <v>179</v>
      </c>
      <c r="K378" s="414">
        <v>32</v>
      </c>
      <c r="L378" s="408">
        <f t="shared" si="32"/>
        <v>230</v>
      </c>
      <c r="M378" s="409">
        <v>230</v>
      </c>
      <c r="N378" s="306"/>
      <c r="O378" s="409"/>
      <c r="P378" s="410" t="e">
        <f>IF(M378="nio",0,IF(M378&gt;0,M378*K378/S378,0))*VLOOKUP(B378,'2-Kosten per locatie'!$A$14:$C$61,3,FALSE)</f>
        <v>#DIV/0!</v>
      </c>
      <c r="Q378" s="410">
        <f>IF(N378&gt;0,N378*K378/T378,0)*VLOOKUP(B378,'2-Kosten per locatie'!$A$14:$C$61,3,FALSE)</f>
        <v>0</v>
      </c>
      <c r="R378" s="410">
        <f>IF(O378&gt;0,O378*K378/U378,0)*VLOOKUP(B378,'2-Kosten per locatie'!$A$14:$C$61,3,FALSE)</f>
        <v>0</v>
      </c>
      <c r="S378" s="411">
        <f>IF(M378="nio",0,IF(M378&gt;0,VLOOKUP(I378,'3-Productie normen'!A:P,VLOOKUP(M378,'3-Productie normen'!$B$38:$C$48,2,FALSE),FALSE)))</f>
        <v>0</v>
      </c>
      <c r="T378" s="411">
        <f t="shared" si="28"/>
        <v>0</v>
      </c>
      <c r="U378" s="411">
        <f t="shared" si="31"/>
        <v>0</v>
      </c>
      <c r="V378" s="412"/>
      <c r="X378" s="413">
        <f t="shared" si="29"/>
        <v>7360</v>
      </c>
    </row>
    <row r="379" spans="1:24" ht="14.1" customHeight="1">
      <c r="A379" s="70">
        <f t="shared" si="30"/>
        <v>379</v>
      </c>
      <c r="B379" s="354" t="s">
        <v>55</v>
      </c>
      <c r="C379" s="354" t="s">
        <v>437</v>
      </c>
      <c r="D379" s="354" t="s">
        <v>165</v>
      </c>
      <c r="E379" s="404" t="s">
        <v>438</v>
      </c>
      <c r="F379" s="415" t="s">
        <v>167</v>
      </c>
      <c r="G379" s="416" t="s">
        <v>202</v>
      </c>
      <c r="H379" s="402" t="s">
        <v>183</v>
      </c>
      <c r="I379" s="402" t="s">
        <v>106</v>
      </c>
      <c r="J379" s="402" t="s">
        <v>179</v>
      </c>
      <c r="K379" s="414">
        <v>20</v>
      </c>
      <c r="L379" s="408">
        <f t="shared" si="32"/>
        <v>230</v>
      </c>
      <c r="M379" s="409">
        <v>230</v>
      </c>
      <c r="N379" s="306"/>
      <c r="O379" s="409"/>
      <c r="P379" s="410" t="e">
        <f>IF(M379="nio",0,IF(M379&gt;0,M379*K379/S379,0))*VLOOKUP(B379,'2-Kosten per locatie'!$A$14:$C$61,3,FALSE)</f>
        <v>#DIV/0!</v>
      </c>
      <c r="Q379" s="410">
        <f>IF(N379&gt;0,N379*K379/T379,0)*VLOOKUP(B379,'2-Kosten per locatie'!$A$14:$C$61,3,FALSE)</f>
        <v>0</v>
      </c>
      <c r="R379" s="410">
        <f>IF(O379&gt;0,O379*K379/U379,0)*VLOOKUP(B379,'2-Kosten per locatie'!$A$14:$C$61,3,FALSE)</f>
        <v>0</v>
      </c>
      <c r="S379" s="411">
        <f>IF(M379="nio",0,IF(M379&gt;0,VLOOKUP(I379,'3-Productie normen'!A:P,VLOOKUP(M379,'3-Productie normen'!$B$38:$C$48,2,FALSE),FALSE)))</f>
        <v>0</v>
      </c>
      <c r="T379" s="411">
        <f t="shared" si="28"/>
        <v>0</v>
      </c>
      <c r="U379" s="411">
        <f t="shared" si="31"/>
        <v>0</v>
      </c>
      <c r="V379" s="412"/>
      <c r="X379" s="413">
        <f t="shared" si="29"/>
        <v>4600</v>
      </c>
    </row>
    <row r="380" spans="1:24" ht="14.1" customHeight="1">
      <c r="A380" s="70">
        <f t="shared" si="30"/>
        <v>380</v>
      </c>
      <c r="B380" s="354" t="s">
        <v>56</v>
      </c>
      <c r="C380" s="354" t="s">
        <v>437</v>
      </c>
      <c r="D380" s="354" t="s">
        <v>165</v>
      </c>
      <c r="E380" s="404" t="s">
        <v>438</v>
      </c>
      <c r="F380" s="415" t="s">
        <v>167</v>
      </c>
      <c r="G380" s="416" t="s">
        <v>191</v>
      </c>
      <c r="H380" s="402" t="s">
        <v>452</v>
      </c>
      <c r="I380" s="402" t="s">
        <v>107</v>
      </c>
      <c r="J380" s="402" t="s">
        <v>218</v>
      </c>
      <c r="K380" s="414">
        <v>48</v>
      </c>
      <c r="L380" s="408">
        <f t="shared" si="32"/>
        <v>276</v>
      </c>
      <c r="M380" s="409">
        <v>230</v>
      </c>
      <c r="N380" s="306"/>
      <c r="O380" s="409">
        <v>46</v>
      </c>
      <c r="P380" s="410" t="e">
        <f>IF(M380="nio",0,IF(M380&gt;0,M380*K380/S380,0))*VLOOKUP(B380,'2-Kosten per locatie'!$A$14:$C$61,3,FALSE)</f>
        <v>#DIV/0!</v>
      </c>
      <c r="Q380" s="410">
        <f>IF(N380&gt;0,N380*K380/T380,0)*VLOOKUP(B380,'2-Kosten per locatie'!$A$14:$C$61,3,FALSE)</f>
        <v>0</v>
      </c>
      <c r="R380" s="410" t="e">
        <f>IF(O380&gt;0,O380*K380/U380,0)*VLOOKUP(B380,'2-Kosten per locatie'!$A$14:$C$61,3,FALSE)</f>
        <v>#DIV/0!</v>
      </c>
      <c r="S380" s="411">
        <f>IF(M380="nio",0,IF(M380&gt;0,VLOOKUP(I380,'3-Productie normen'!A:P,VLOOKUP(M380,'3-Productie normen'!$B$38:$C$48,2,FALSE),FALSE)))</f>
        <v>0</v>
      </c>
      <c r="T380" s="411">
        <f t="shared" si="28"/>
        <v>0</v>
      </c>
      <c r="U380" s="411">
        <f t="shared" si="31"/>
        <v>0</v>
      </c>
      <c r="V380" s="412"/>
      <c r="X380" s="413">
        <f t="shared" si="29"/>
        <v>13248</v>
      </c>
    </row>
    <row r="381" spans="1:24" ht="14.1" customHeight="1">
      <c r="A381" s="70">
        <f t="shared" si="30"/>
        <v>381</v>
      </c>
      <c r="B381" s="354" t="s">
        <v>56</v>
      </c>
      <c r="C381" s="354" t="s">
        <v>437</v>
      </c>
      <c r="D381" s="354" t="s">
        <v>165</v>
      </c>
      <c r="E381" s="404" t="s">
        <v>438</v>
      </c>
      <c r="F381" s="415" t="s">
        <v>167</v>
      </c>
      <c r="G381" s="416" t="s">
        <v>194</v>
      </c>
      <c r="H381" s="402" t="s">
        <v>443</v>
      </c>
      <c r="I381" s="402" t="s">
        <v>111</v>
      </c>
      <c r="J381" s="402" t="s">
        <v>218</v>
      </c>
      <c r="K381" s="414">
        <v>35</v>
      </c>
      <c r="L381" s="408">
        <f t="shared" si="32"/>
        <v>276</v>
      </c>
      <c r="M381" s="409">
        <v>230</v>
      </c>
      <c r="N381" s="306"/>
      <c r="O381" s="409">
        <v>46</v>
      </c>
      <c r="P381" s="410" t="e">
        <f>IF(M381="nio",0,IF(M381&gt;0,M381*K381/S381,0))*VLOOKUP(B381,'2-Kosten per locatie'!$A$14:$C$61,3,FALSE)</f>
        <v>#DIV/0!</v>
      </c>
      <c r="Q381" s="410">
        <f>IF(N381&gt;0,N381*K381/T381,0)*VLOOKUP(B381,'2-Kosten per locatie'!$A$14:$C$61,3,FALSE)</f>
        <v>0</v>
      </c>
      <c r="R381" s="410" t="e">
        <f>IF(O381&gt;0,O381*K381/U381,0)*VLOOKUP(B381,'2-Kosten per locatie'!$A$14:$C$61,3,FALSE)</f>
        <v>#DIV/0!</v>
      </c>
      <c r="S381" s="411">
        <f>IF(M381="nio",0,IF(M381&gt;0,VLOOKUP(I381,'3-Productie normen'!A:P,VLOOKUP(M381,'3-Productie normen'!$B$38:$C$48,2,FALSE),FALSE)))</f>
        <v>0</v>
      </c>
      <c r="T381" s="411">
        <f t="shared" si="28"/>
        <v>0</v>
      </c>
      <c r="U381" s="411">
        <f t="shared" si="31"/>
        <v>0</v>
      </c>
      <c r="V381" s="412"/>
      <c r="X381" s="413">
        <f t="shared" si="29"/>
        <v>9660</v>
      </c>
    </row>
    <row r="382" spans="1:24" ht="14.1" customHeight="1">
      <c r="A382" s="70">
        <f t="shared" si="30"/>
        <v>382</v>
      </c>
      <c r="B382" s="354" t="s">
        <v>56</v>
      </c>
      <c r="C382" s="354" t="s">
        <v>437</v>
      </c>
      <c r="D382" s="354" t="s">
        <v>165</v>
      </c>
      <c r="E382" s="404" t="s">
        <v>438</v>
      </c>
      <c r="F382" s="415" t="s">
        <v>167</v>
      </c>
      <c r="G382" s="416" t="s">
        <v>196</v>
      </c>
      <c r="H382" s="402" t="s">
        <v>183</v>
      </c>
      <c r="I382" s="402" t="s">
        <v>106</v>
      </c>
      <c r="J382" s="402" t="s">
        <v>179</v>
      </c>
      <c r="K382" s="414">
        <v>21</v>
      </c>
      <c r="L382" s="408">
        <f t="shared" si="32"/>
        <v>276</v>
      </c>
      <c r="M382" s="409">
        <v>230</v>
      </c>
      <c r="N382" s="306"/>
      <c r="O382" s="409">
        <v>46</v>
      </c>
      <c r="P382" s="410" t="e">
        <f>IF(M382="nio",0,IF(M382&gt;0,M382*K382/S382,0))*VLOOKUP(B382,'2-Kosten per locatie'!$A$14:$C$61,3,FALSE)</f>
        <v>#DIV/0!</v>
      </c>
      <c r="Q382" s="410">
        <f>IF(N382&gt;0,N382*K382/T382,0)*VLOOKUP(B382,'2-Kosten per locatie'!$A$14:$C$61,3,FALSE)</f>
        <v>0</v>
      </c>
      <c r="R382" s="410" t="e">
        <f>IF(O382&gt;0,O382*K382/U382,0)*VLOOKUP(B382,'2-Kosten per locatie'!$A$14:$C$61,3,FALSE)</f>
        <v>#DIV/0!</v>
      </c>
      <c r="S382" s="411">
        <f>IF(M382="nio",0,IF(M382&gt;0,VLOOKUP(I382,'3-Productie normen'!A:P,VLOOKUP(M382,'3-Productie normen'!$B$38:$C$48,2,FALSE),FALSE)))</f>
        <v>0</v>
      </c>
      <c r="T382" s="411">
        <f t="shared" si="28"/>
        <v>0</v>
      </c>
      <c r="U382" s="411">
        <f t="shared" si="31"/>
        <v>0</v>
      </c>
      <c r="V382" s="412"/>
      <c r="X382" s="413">
        <f t="shared" si="29"/>
        <v>5796</v>
      </c>
    </row>
    <row r="383" spans="1:24" ht="14.1" customHeight="1">
      <c r="A383" s="70">
        <f t="shared" si="30"/>
        <v>383</v>
      </c>
      <c r="B383" s="354" t="s">
        <v>56</v>
      </c>
      <c r="C383" s="354" t="s">
        <v>437</v>
      </c>
      <c r="D383" s="354" t="s">
        <v>165</v>
      </c>
      <c r="E383" s="404" t="s">
        <v>438</v>
      </c>
      <c r="F383" s="415" t="s">
        <v>167</v>
      </c>
      <c r="G383" s="416" t="s">
        <v>198</v>
      </c>
      <c r="H383" s="402" t="s">
        <v>183</v>
      </c>
      <c r="I383" s="402" t="s">
        <v>106</v>
      </c>
      <c r="J383" s="402" t="s">
        <v>179</v>
      </c>
      <c r="K383" s="414">
        <v>10</v>
      </c>
      <c r="L383" s="408">
        <f t="shared" si="32"/>
        <v>276</v>
      </c>
      <c r="M383" s="409">
        <v>230</v>
      </c>
      <c r="N383" s="306"/>
      <c r="O383" s="409">
        <v>46</v>
      </c>
      <c r="P383" s="410" t="e">
        <f>IF(M383="nio",0,IF(M383&gt;0,M383*K383/S383,0))*VLOOKUP(B383,'2-Kosten per locatie'!$A$14:$C$61,3,FALSE)</f>
        <v>#DIV/0!</v>
      </c>
      <c r="Q383" s="410">
        <f>IF(N383&gt;0,N383*K383/T383,0)*VLOOKUP(B383,'2-Kosten per locatie'!$A$14:$C$61,3,FALSE)</f>
        <v>0</v>
      </c>
      <c r="R383" s="410" t="e">
        <f>IF(O383&gt;0,O383*K383/U383,0)*VLOOKUP(B383,'2-Kosten per locatie'!$A$14:$C$61,3,FALSE)</f>
        <v>#DIV/0!</v>
      </c>
      <c r="S383" s="411">
        <f>IF(M383="nio",0,IF(M383&gt;0,VLOOKUP(I383,'3-Productie normen'!A:P,VLOOKUP(M383,'3-Productie normen'!$B$38:$C$48,2,FALSE),FALSE)))</f>
        <v>0</v>
      </c>
      <c r="T383" s="411">
        <f t="shared" si="28"/>
        <v>0</v>
      </c>
      <c r="U383" s="411">
        <f t="shared" si="31"/>
        <v>0</v>
      </c>
      <c r="V383" s="412"/>
      <c r="X383" s="413">
        <f t="shared" si="29"/>
        <v>2760</v>
      </c>
    </row>
    <row r="384" spans="1:24" ht="14.1" customHeight="1">
      <c r="A384" s="70">
        <f t="shared" si="30"/>
        <v>384</v>
      </c>
      <c r="B384" s="354" t="s">
        <v>56</v>
      </c>
      <c r="C384" s="354" t="s">
        <v>437</v>
      </c>
      <c r="D384" s="354" t="s">
        <v>165</v>
      </c>
      <c r="E384" s="404" t="s">
        <v>438</v>
      </c>
      <c r="F384" s="415" t="s">
        <v>167</v>
      </c>
      <c r="G384" s="416" t="s">
        <v>199</v>
      </c>
      <c r="H384" s="402" t="s">
        <v>183</v>
      </c>
      <c r="I384" s="402" t="s">
        <v>106</v>
      </c>
      <c r="J384" s="402" t="s">
        <v>179</v>
      </c>
      <c r="K384" s="414">
        <v>8</v>
      </c>
      <c r="L384" s="408">
        <f t="shared" si="32"/>
        <v>276</v>
      </c>
      <c r="M384" s="409">
        <v>230</v>
      </c>
      <c r="N384" s="306"/>
      <c r="O384" s="409">
        <v>46</v>
      </c>
      <c r="P384" s="410" t="e">
        <f>IF(M384="nio",0,IF(M384&gt;0,M384*K384/S384,0))*VLOOKUP(B384,'2-Kosten per locatie'!$A$14:$C$61,3,FALSE)</f>
        <v>#DIV/0!</v>
      </c>
      <c r="Q384" s="410">
        <f>IF(N384&gt;0,N384*K384/T384,0)*VLOOKUP(B384,'2-Kosten per locatie'!$A$14:$C$61,3,FALSE)</f>
        <v>0</v>
      </c>
      <c r="R384" s="410" t="e">
        <f>IF(O384&gt;0,O384*K384/U384,0)*VLOOKUP(B384,'2-Kosten per locatie'!$A$14:$C$61,3,FALSE)</f>
        <v>#DIV/0!</v>
      </c>
      <c r="S384" s="411">
        <f>IF(M384="nio",0,IF(M384&gt;0,VLOOKUP(I384,'3-Productie normen'!A:P,VLOOKUP(M384,'3-Productie normen'!$B$38:$C$48,2,FALSE),FALSE)))</f>
        <v>0</v>
      </c>
      <c r="T384" s="411">
        <f t="shared" si="28"/>
        <v>0</v>
      </c>
      <c r="U384" s="411">
        <f t="shared" si="31"/>
        <v>0</v>
      </c>
      <c r="V384" s="412"/>
      <c r="X384" s="413">
        <f t="shared" si="29"/>
        <v>2208</v>
      </c>
    </row>
    <row r="385" spans="1:24" ht="14.1" customHeight="1">
      <c r="A385" s="70">
        <f t="shared" si="30"/>
        <v>385</v>
      </c>
      <c r="B385" s="354" t="s">
        <v>56</v>
      </c>
      <c r="C385" s="354" t="s">
        <v>437</v>
      </c>
      <c r="D385" s="354" t="s">
        <v>165</v>
      </c>
      <c r="E385" s="404" t="s">
        <v>438</v>
      </c>
      <c r="F385" s="415" t="s">
        <v>167</v>
      </c>
      <c r="G385" s="416" t="s">
        <v>202</v>
      </c>
      <c r="H385" s="402" t="s">
        <v>183</v>
      </c>
      <c r="I385" s="402" t="s">
        <v>106</v>
      </c>
      <c r="J385" s="402" t="s">
        <v>179</v>
      </c>
      <c r="K385" s="414">
        <v>2</v>
      </c>
      <c r="L385" s="408">
        <f t="shared" si="32"/>
        <v>276</v>
      </c>
      <c r="M385" s="409">
        <v>230</v>
      </c>
      <c r="N385" s="306"/>
      <c r="O385" s="409">
        <v>46</v>
      </c>
      <c r="P385" s="410" t="e">
        <f>IF(M385="nio",0,IF(M385&gt;0,M385*K385/S385,0))*VLOOKUP(B385,'2-Kosten per locatie'!$A$14:$C$61,3,FALSE)</f>
        <v>#DIV/0!</v>
      </c>
      <c r="Q385" s="410">
        <f>IF(N385&gt;0,N385*K385/T385,0)*VLOOKUP(B385,'2-Kosten per locatie'!$A$14:$C$61,3,FALSE)</f>
        <v>0</v>
      </c>
      <c r="R385" s="410" t="e">
        <f>IF(O385&gt;0,O385*K385/U385,0)*VLOOKUP(B385,'2-Kosten per locatie'!$A$14:$C$61,3,FALSE)</f>
        <v>#DIV/0!</v>
      </c>
      <c r="S385" s="411">
        <f>IF(M385="nio",0,IF(M385&gt;0,VLOOKUP(I385,'3-Productie normen'!A:P,VLOOKUP(M385,'3-Productie normen'!$B$38:$C$48,2,FALSE),FALSE)))</f>
        <v>0</v>
      </c>
      <c r="T385" s="411">
        <f t="shared" si="28"/>
        <v>0</v>
      </c>
      <c r="U385" s="411">
        <f t="shared" si="31"/>
        <v>0</v>
      </c>
      <c r="V385" s="412"/>
      <c r="X385" s="413">
        <f t="shared" si="29"/>
        <v>552</v>
      </c>
    </row>
    <row r="386" spans="1:24" ht="14.1" customHeight="1">
      <c r="A386" s="70">
        <f t="shared" si="30"/>
        <v>386</v>
      </c>
      <c r="B386" s="354" t="s">
        <v>56</v>
      </c>
      <c r="C386" s="354" t="s">
        <v>437</v>
      </c>
      <c r="D386" s="354" t="s">
        <v>165</v>
      </c>
      <c r="E386" s="404" t="s">
        <v>438</v>
      </c>
      <c r="F386" s="415" t="s">
        <v>167</v>
      </c>
      <c r="G386" s="416" t="s">
        <v>203</v>
      </c>
      <c r="H386" s="402" t="s">
        <v>443</v>
      </c>
      <c r="I386" s="402" t="s">
        <v>111</v>
      </c>
      <c r="J386" s="402" t="s">
        <v>218</v>
      </c>
      <c r="K386" s="414">
        <v>35</v>
      </c>
      <c r="L386" s="408">
        <f t="shared" si="32"/>
        <v>276</v>
      </c>
      <c r="M386" s="409">
        <v>230</v>
      </c>
      <c r="N386" s="306"/>
      <c r="O386" s="409">
        <v>46</v>
      </c>
      <c r="P386" s="410" t="e">
        <f>IF(M386="nio",0,IF(M386&gt;0,M386*K386/S386,0))*VLOOKUP(B386,'2-Kosten per locatie'!$A$14:$C$61,3,FALSE)</f>
        <v>#DIV/0!</v>
      </c>
      <c r="Q386" s="410">
        <f>IF(N386&gt;0,N386*K386/T386,0)*VLOOKUP(B386,'2-Kosten per locatie'!$A$14:$C$61,3,FALSE)</f>
        <v>0</v>
      </c>
      <c r="R386" s="410" t="e">
        <f>IF(O386&gt;0,O386*K386/U386,0)*VLOOKUP(B386,'2-Kosten per locatie'!$A$14:$C$61,3,FALSE)</f>
        <v>#DIV/0!</v>
      </c>
      <c r="S386" s="411">
        <f>IF(M386="nio",0,IF(M386&gt;0,VLOOKUP(I386,'3-Productie normen'!A:P,VLOOKUP(M386,'3-Productie normen'!$B$38:$C$48,2,FALSE),FALSE)))</f>
        <v>0</v>
      </c>
      <c r="T386" s="411">
        <f t="shared" si="28"/>
        <v>0</v>
      </c>
      <c r="U386" s="411">
        <f t="shared" si="31"/>
        <v>0</v>
      </c>
      <c r="V386" s="412"/>
      <c r="X386" s="413">
        <f t="shared" si="29"/>
        <v>9660</v>
      </c>
    </row>
    <row r="387" spans="1:24" ht="14.1" customHeight="1">
      <c r="A387" s="70">
        <f t="shared" si="30"/>
        <v>387</v>
      </c>
      <c r="B387" s="354" t="s">
        <v>56</v>
      </c>
      <c r="C387" s="354" t="s">
        <v>437</v>
      </c>
      <c r="D387" s="354" t="s">
        <v>165</v>
      </c>
      <c r="E387" s="404" t="s">
        <v>438</v>
      </c>
      <c r="F387" s="415" t="s">
        <v>167</v>
      </c>
      <c r="G387" s="416" t="s">
        <v>204</v>
      </c>
      <c r="H387" s="402" t="s">
        <v>183</v>
      </c>
      <c r="I387" s="402" t="s">
        <v>106</v>
      </c>
      <c r="J387" s="402" t="s">
        <v>179</v>
      </c>
      <c r="K387" s="414">
        <v>8</v>
      </c>
      <c r="L387" s="408">
        <f t="shared" si="32"/>
        <v>276</v>
      </c>
      <c r="M387" s="409">
        <v>230</v>
      </c>
      <c r="N387" s="306"/>
      <c r="O387" s="409">
        <v>46</v>
      </c>
      <c r="P387" s="410" t="e">
        <f>IF(M387="nio",0,IF(M387&gt;0,M387*K387/S387,0))*VLOOKUP(B387,'2-Kosten per locatie'!$A$14:$C$61,3,FALSE)</f>
        <v>#DIV/0!</v>
      </c>
      <c r="Q387" s="410">
        <f>IF(N387&gt;0,N387*K387/T387,0)*VLOOKUP(B387,'2-Kosten per locatie'!$A$14:$C$61,3,FALSE)</f>
        <v>0</v>
      </c>
      <c r="R387" s="410" t="e">
        <f>IF(O387&gt;0,O387*K387/U387,0)*VLOOKUP(B387,'2-Kosten per locatie'!$A$14:$C$61,3,FALSE)</f>
        <v>#DIV/0!</v>
      </c>
      <c r="S387" s="411">
        <f>IF(M387="nio",0,IF(M387&gt;0,VLOOKUP(I387,'3-Productie normen'!A:P,VLOOKUP(M387,'3-Productie normen'!$B$38:$C$48,2,FALSE),FALSE)))</f>
        <v>0</v>
      </c>
      <c r="T387" s="411">
        <f t="shared" si="28"/>
        <v>0</v>
      </c>
      <c r="U387" s="411">
        <f t="shared" si="31"/>
        <v>0</v>
      </c>
      <c r="V387" s="412"/>
      <c r="X387" s="413">
        <f t="shared" si="29"/>
        <v>2208</v>
      </c>
    </row>
    <row r="388" spans="1:24" ht="14.1" customHeight="1">
      <c r="A388" s="70">
        <f t="shared" si="30"/>
        <v>388</v>
      </c>
      <c r="B388" s="354" t="s">
        <v>56</v>
      </c>
      <c r="C388" s="354" t="s">
        <v>437</v>
      </c>
      <c r="D388" s="354" t="s">
        <v>165</v>
      </c>
      <c r="E388" s="404" t="s">
        <v>438</v>
      </c>
      <c r="F388" s="415" t="s">
        <v>167</v>
      </c>
      <c r="G388" s="416" t="s">
        <v>205</v>
      </c>
      <c r="H388" s="402" t="s">
        <v>183</v>
      </c>
      <c r="I388" s="402" t="s">
        <v>106</v>
      </c>
      <c r="J388" s="402" t="s">
        <v>179</v>
      </c>
      <c r="K388" s="414">
        <v>21</v>
      </c>
      <c r="L388" s="408">
        <f t="shared" si="32"/>
        <v>276</v>
      </c>
      <c r="M388" s="409">
        <v>230</v>
      </c>
      <c r="N388" s="306"/>
      <c r="O388" s="409">
        <v>46</v>
      </c>
      <c r="P388" s="410" t="e">
        <f>IF(M388="nio",0,IF(M388&gt;0,M388*K388/S388,0))*VLOOKUP(B388,'2-Kosten per locatie'!$A$14:$C$61,3,FALSE)</f>
        <v>#DIV/0!</v>
      </c>
      <c r="Q388" s="410">
        <f>IF(N388&gt;0,N388*K388/T388,0)*VLOOKUP(B388,'2-Kosten per locatie'!$A$14:$C$61,3,FALSE)</f>
        <v>0</v>
      </c>
      <c r="R388" s="410" t="e">
        <f>IF(O388&gt;0,O388*K388/U388,0)*VLOOKUP(B388,'2-Kosten per locatie'!$A$14:$C$61,3,FALSE)</f>
        <v>#DIV/0!</v>
      </c>
      <c r="S388" s="411">
        <f>IF(M388="nio",0,IF(M388&gt;0,VLOOKUP(I388,'3-Productie normen'!A:P,VLOOKUP(M388,'3-Productie normen'!$B$38:$C$48,2,FALSE),FALSE)))</f>
        <v>0</v>
      </c>
      <c r="T388" s="411">
        <f t="shared" si="28"/>
        <v>0</v>
      </c>
      <c r="U388" s="411">
        <f t="shared" si="31"/>
        <v>0</v>
      </c>
      <c r="V388" s="412"/>
      <c r="X388" s="413">
        <f t="shared" si="29"/>
        <v>5796</v>
      </c>
    </row>
    <row r="389" spans="1:24" ht="14.1" customHeight="1">
      <c r="A389" s="70">
        <f t="shared" si="30"/>
        <v>389</v>
      </c>
      <c r="B389" s="354" t="s">
        <v>56</v>
      </c>
      <c r="C389" s="354" t="s">
        <v>437</v>
      </c>
      <c r="D389" s="354" t="s">
        <v>165</v>
      </c>
      <c r="E389" s="404" t="s">
        <v>438</v>
      </c>
      <c r="F389" s="415" t="s">
        <v>167</v>
      </c>
      <c r="G389" s="416" t="s">
        <v>180</v>
      </c>
      <c r="H389" s="402" t="s">
        <v>441</v>
      </c>
      <c r="I389" s="402" t="s">
        <v>114</v>
      </c>
      <c r="J389" s="402" t="s">
        <v>459</v>
      </c>
      <c r="K389" s="414">
        <v>298</v>
      </c>
      <c r="L389" s="408">
        <f t="shared" si="32"/>
        <v>276</v>
      </c>
      <c r="M389" s="409">
        <v>230</v>
      </c>
      <c r="N389" s="306"/>
      <c r="O389" s="409">
        <v>46</v>
      </c>
      <c r="P389" s="410" t="e">
        <f>IF(M389="nio",0,IF(M389&gt;0,M389*K389/S389,0))*VLOOKUP(B389,'2-Kosten per locatie'!$A$14:$C$61,3,FALSE)</f>
        <v>#DIV/0!</v>
      </c>
      <c r="Q389" s="410">
        <f>IF(N389&gt;0,N389*K389/T389,0)*VLOOKUP(B389,'2-Kosten per locatie'!$A$14:$C$61,3,FALSE)</f>
        <v>0</v>
      </c>
      <c r="R389" s="410" t="e">
        <f>IF(O389&gt;0,O389*K389/U389,0)*VLOOKUP(B389,'2-Kosten per locatie'!$A$14:$C$61,3,FALSE)</f>
        <v>#DIV/0!</v>
      </c>
      <c r="S389" s="411">
        <f>IF(M389="nio",0,IF(M389&gt;0,VLOOKUP(I389,'3-Productie normen'!A:P,VLOOKUP(M389,'3-Productie normen'!$B$38:$C$48,2,FALSE),FALSE)))</f>
        <v>0</v>
      </c>
      <c r="T389" s="411">
        <f t="shared" si="28"/>
        <v>0</v>
      </c>
      <c r="U389" s="411">
        <f t="shared" si="31"/>
        <v>0</v>
      </c>
      <c r="V389" s="412"/>
      <c r="X389" s="413">
        <f t="shared" si="29"/>
        <v>82248</v>
      </c>
    </row>
    <row r="390" spans="1:24" ht="14.1" customHeight="1">
      <c r="A390" s="70">
        <f t="shared" si="30"/>
        <v>390</v>
      </c>
      <c r="B390" s="354" t="s">
        <v>57</v>
      </c>
      <c r="C390" s="354" t="s">
        <v>437</v>
      </c>
      <c r="D390" s="354" t="s">
        <v>165</v>
      </c>
      <c r="E390" s="404" t="s">
        <v>438</v>
      </c>
      <c r="F390" s="415" t="s">
        <v>167</v>
      </c>
      <c r="G390" s="416" t="s">
        <v>191</v>
      </c>
      <c r="H390" s="402" t="s">
        <v>206</v>
      </c>
      <c r="I390" s="402" t="s">
        <v>108</v>
      </c>
      <c r="J390" s="402" t="s">
        <v>179</v>
      </c>
      <c r="K390" s="414">
        <v>24</v>
      </c>
      <c r="L390" s="408">
        <f t="shared" si="32"/>
        <v>230</v>
      </c>
      <c r="M390" s="409">
        <v>230</v>
      </c>
      <c r="N390" s="306"/>
      <c r="O390" s="409"/>
      <c r="P390" s="410" t="e">
        <f>IF(M390="nio",0,IF(M390&gt;0,M390*K390/S390,0))*VLOOKUP(B390,'2-Kosten per locatie'!$A$14:$C$61,3,FALSE)</f>
        <v>#DIV/0!</v>
      </c>
      <c r="Q390" s="410">
        <f>IF(N390&gt;0,N390*K390/T390,0)*VLOOKUP(B390,'2-Kosten per locatie'!$A$14:$C$61,3,FALSE)</f>
        <v>0</v>
      </c>
      <c r="R390" s="410">
        <f>IF(O390&gt;0,O390*K390/U390,0)*VLOOKUP(B390,'2-Kosten per locatie'!$A$14:$C$61,3,FALSE)</f>
        <v>0</v>
      </c>
      <c r="S390" s="411">
        <f>IF(M390="nio",0,IF(M390&gt;0,VLOOKUP(I390,'3-Productie normen'!A:P,VLOOKUP(M390,'3-Productie normen'!$B$38:$C$48,2,FALSE),FALSE)))</f>
        <v>0</v>
      </c>
      <c r="T390" s="411">
        <f t="shared" si="28"/>
        <v>0</v>
      </c>
      <c r="U390" s="411">
        <f t="shared" si="31"/>
        <v>0</v>
      </c>
      <c r="V390" s="412"/>
      <c r="X390" s="413">
        <f t="shared" si="29"/>
        <v>5520</v>
      </c>
    </row>
    <row r="391" spans="1:24" ht="14.1" customHeight="1">
      <c r="A391" s="70">
        <f t="shared" si="30"/>
        <v>391</v>
      </c>
      <c r="B391" s="354" t="s">
        <v>57</v>
      </c>
      <c r="C391" s="354" t="s">
        <v>437</v>
      </c>
      <c r="D391" s="354" t="s">
        <v>165</v>
      </c>
      <c r="E391" s="404" t="s">
        <v>438</v>
      </c>
      <c r="F391" s="415" t="s">
        <v>167</v>
      </c>
      <c r="G391" s="416" t="s">
        <v>194</v>
      </c>
      <c r="H391" s="402" t="s">
        <v>443</v>
      </c>
      <c r="I391" s="402" t="s">
        <v>111</v>
      </c>
      <c r="J391" s="402" t="s">
        <v>179</v>
      </c>
      <c r="K391" s="414">
        <v>29</v>
      </c>
      <c r="L391" s="408">
        <f t="shared" si="32"/>
        <v>230</v>
      </c>
      <c r="M391" s="409">
        <v>230</v>
      </c>
      <c r="N391" s="306"/>
      <c r="O391" s="409"/>
      <c r="P391" s="410" t="e">
        <f>IF(M391="nio",0,IF(M391&gt;0,M391*K391/S391,0))*VLOOKUP(B391,'2-Kosten per locatie'!$A$14:$C$61,3,FALSE)</f>
        <v>#DIV/0!</v>
      </c>
      <c r="Q391" s="410">
        <f>IF(N391&gt;0,N391*K391/T391,0)*VLOOKUP(B391,'2-Kosten per locatie'!$A$14:$C$61,3,FALSE)</f>
        <v>0</v>
      </c>
      <c r="R391" s="410">
        <f>IF(O391&gt;0,O391*K391/U391,0)*VLOOKUP(B391,'2-Kosten per locatie'!$A$14:$C$61,3,FALSE)</f>
        <v>0</v>
      </c>
      <c r="S391" s="411">
        <f>IF(M391="nio",0,IF(M391&gt;0,VLOOKUP(I391,'3-Productie normen'!A:P,VLOOKUP(M391,'3-Productie normen'!$B$38:$C$48,2,FALSE),FALSE)))</f>
        <v>0</v>
      </c>
      <c r="T391" s="411">
        <f t="shared" si="28"/>
        <v>0</v>
      </c>
      <c r="U391" s="411">
        <f t="shared" si="31"/>
        <v>0</v>
      </c>
      <c r="V391" s="412"/>
      <c r="X391" s="413">
        <f t="shared" si="29"/>
        <v>6670</v>
      </c>
    </row>
    <row r="392" spans="1:24" ht="14.1" customHeight="1">
      <c r="A392" s="70">
        <f t="shared" si="30"/>
        <v>392</v>
      </c>
      <c r="B392" s="354" t="s">
        <v>57</v>
      </c>
      <c r="C392" s="354" t="s">
        <v>437</v>
      </c>
      <c r="D392" s="354" t="s">
        <v>165</v>
      </c>
      <c r="E392" s="404" t="s">
        <v>438</v>
      </c>
      <c r="F392" s="415" t="s">
        <v>167</v>
      </c>
      <c r="G392" s="416" t="s">
        <v>196</v>
      </c>
      <c r="H392" s="402" t="s">
        <v>183</v>
      </c>
      <c r="I392" s="402" t="s">
        <v>106</v>
      </c>
      <c r="J392" s="402" t="s">
        <v>179</v>
      </c>
      <c r="K392" s="414">
        <v>4</v>
      </c>
      <c r="L392" s="408">
        <f t="shared" si="32"/>
        <v>230</v>
      </c>
      <c r="M392" s="409">
        <v>230</v>
      </c>
      <c r="N392" s="306"/>
      <c r="O392" s="409"/>
      <c r="P392" s="410" t="e">
        <f>IF(M392="nio",0,IF(M392&gt;0,M392*K392/S392,0))*VLOOKUP(B392,'2-Kosten per locatie'!$A$14:$C$61,3,FALSE)</f>
        <v>#DIV/0!</v>
      </c>
      <c r="Q392" s="410">
        <f>IF(N392&gt;0,N392*K392/T392,0)*VLOOKUP(B392,'2-Kosten per locatie'!$A$14:$C$61,3,FALSE)</f>
        <v>0</v>
      </c>
      <c r="R392" s="410">
        <f>IF(O392&gt;0,O392*K392/U392,0)*VLOOKUP(B392,'2-Kosten per locatie'!$A$14:$C$61,3,FALSE)</f>
        <v>0</v>
      </c>
      <c r="S392" s="411">
        <f>IF(M392="nio",0,IF(M392&gt;0,VLOOKUP(I392,'3-Productie normen'!A:P,VLOOKUP(M392,'3-Productie normen'!$B$38:$C$48,2,FALSE),FALSE)))</f>
        <v>0</v>
      </c>
      <c r="T392" s="411">
        <f t="shared" si="28"/>
        <v>0</v>
      </c>
      <c r="U392" s="411">
        <f t="shared" si="31"/>
        <v>0</v>
      </c>
      <c r="V392" s="412"/>
      <c r="X392" s="413">
        <f t="shared" si="29"/>
        <v>920</v>
      </c>
    </row>
    <row r="393" spans="1:24" ht="14.1" customHeight="1">
      <c r="A393" s="70">
        <f t="shared" si="30"/>
        <v>393</v>
      </c>
      <c r="B393" s="354" t="s">
        <v>57</v>
      </c>
      <c r="C393" s="354" t="s">
        <v>437</v>
      </c>
      <c r="D393" s="354" t="s">
        <v>165</v>
      </c>
      <c r="E393" s="404" t="s">
        <v>438</v>
      </c>
      <c r="F393" s="415" t="s">
        <v>167</v>
      </c>
      <c r="G393" s="416" t="s">
        <v>198</v>
      </c>
      <c r="H393" s="402" t="s">
        <v>460</v>
      </c>
      <c r="I393" s="402" t="s">
        <v>114</v>
      </c>
      <c r="J393" s="402" t="s">
        <v>445</v>
      </c>
      <c r="K393" s="414">
        <v>144</v>
      </c>
      <c r="L393" s="408">
        <f t="shared" si="32"/>
        <v>230</v>
      </c>
      <c r="M393" s="409">
        <v>230</v>
      </c>
      <c r="N393" s="306"/>
      <c r="O393" s="409"/>
      <c r="P393" s="410" t="e">
        <f>IF(M393="nio",0,IF(M393&gt;0,M393*K393/S393,0))*VLOOKUP(B393,'2-Kosten per locatie'!$A$14:$C$61,3,FALSE)</f>
        <v>#DIV/0!</v>
      </c>
      <c r="Q393" s="410">
        <f>IF(N393&gt;0,N393*K393/T393,0)*VLOOKUP(B393,'2-Kosten per locatie'!$A$14:$C$61,3,FALSE)</f>
        <v>0</v>
      </c>
      <c r="R393" s="410">
        <f>IF(O393&gt;0,O393*K393/U393,0)*VLOOKUP(B393,'2-Kosten per locatie'!$A$14:$C$61,3,FALSE)</f>
        <v>0</v>
      </c>
      <c r="S393" s="411">
        <f>IF(M393="nio",0,IF(M393&gt;0,VLOOKUP(I393,'3-Productie normen'!A:P,VLOOKUP(M393,'3-Productie normen'!$B$38:$C$48,2,FALSE),FALSE)))</f>
        <v>0</v>
      </c>
      <c r="T393" s="411">
        <f t="shared" si="28"/>
        <v>0</v>
      </c>
      <c r="U393" s="411">
        <f t="shared" si="31"/>
        <v>0</v>
      </c>
      <c r="V393" s="412"/>
      <c r="X393" s="413">
        <f t="shared" si="29"/>
        <v>33120</v>
      </c>
    </row>
    <row r="394" spans="1:24" ht="14.1" customHeight="1">
      <c r="A394" s="70">
        <f t="shared" si="30"/>
        <v>394</v>
      </c>
      <c r="B394" s="354" t="s">
        <v>58</v>
      </c>
      <c r="C394" s="354" t="s">
        <v>437</v>
      </c>
      <c r="D394" s="354" t="s">
        <v>165</v>
      </c>
      <c r="E394" s="404" t="s">
        <v>438</v>
      </c>
      <c r="F394" s="415" t="s">
        <v>167</v>
      </c>
      <c r="G394" s="416" t="s">
        <v>191</v>
      </c>
      <c r="H394" s="402" t="s">
        <v>220</v>
      </c>
      <c r="I394" s="402" t="s">
        <v>108</v>
      </c>
      <c r="J394" s="402" t="s">
        <v>179</v>
      </c>
      <c r="K394" s="414">
        <v>22</v>
      </c>
      <c r="L394" s="408">
        <f t="shared" si="32"/>
        <v>276</v>
      </c>
      <c r="M394" s="409">
        <v>230</v>
      </c>
      <c r="N394" s="306"/>
      <c r="O394" s="409">
        <v>46</v>
      </c>
      <c r="P394" s="410" t="e">
        <f>IF(M394="nio",0,IF(M394&gt;0,M394*K394/S394,0))*VLOOKUP(B394,'2-Kosten per locatie'!$A$14:$C$61,3,FALSE)</f>
        <v>#DIV/0!</v>
      </c>
      <c r="Q394" s="410">
        <f>IF(N394&gt;0,N394*K394/T394,0)*VLOOKUP(B394,'2-Kosten per locatie'!$A$14:$C$61,3,FALSE)</f>
        <v>0</v>
      </c>
      <c r="R394" s="410" t="e">
        <f>IF(O394&gt;0,O394*K394/U394,0)*VLOOKUP(B394,'2-Kosten per locatie'!$A$14:$C$61,3,FALSE)</f>
        <v>#DIV/0!</v>
      </c>
      <c r="S394" s="411">
        <f>IF(M394="nio",0,IF(M394&gt;0,VLOOKUP(I394,'3-Productie normen'!A:P,VLOOKUP(M394,'3-Productie normen'!$B$38:$C$48,2,FALSE),FALSE)))</f>
        <v>0</v>
      </c>
      <c r="T394" s="411">
        <f t="shared" ref="T394:T457" si="33">IF(N394&gt;0,S394*$T$8,0)</f>
        <v>0</v>
      </c>
      <c r="U394" s="411">
        <f t="shared" si="31"/>
        <v>0</v>
      </c>
      <c r="V394" s="412"/>
      <c r="X394" s="413">
        <f t="shared" ref="X394:X457" si="34">L394*K394</f>
        <v>6072</v>
      </c>
    </row>
    <row r="395" spans="1:24" ht="14.1" customHeight="1">
      <c r="A395" s="70">
        <f t="shared" ref="A395:A458" si="35">A394+1</f>
        <v>395</v>
      </c>
      <c r="B395" s="354" t="s">
        <v>58</v>
      </c>
      <c r="C395" s="354" t="s">
        <v>437</v>
      </c>
      <c r="D395" s="354" t="s">
        <v>165</v>
      </c>
      <c r="E395" s="404" t="s">
        <v>438</v>
      </c>
      <c r="F395" s="415" t="s">
        <v>167</v>
      </c>
      <c r="G395" s="416" t="s">
        <v>194</v>
      </c>
      <c r="H395" s="402" t="s">
        <v>443</v>
      </c>
      <c r="I395" s="402" t="s">
        <v>111</v>
      </c>
      <c r="J395" s="402" t="s">
        <v>179</v>
      </c>
      <c r="K395" s="414">
        <v>36</v>
      </c>
      <c r="L395" s="408">
        <f t="shared" si="32"/>
        <v>276</v>
      </c>
      <c r="M395" s="409">
        <v>230</v>
      </c>
      <c r="N395" s="306"/>
      <c r="O395" s="409">
        <v>46</v>
      </c>
      <c r="P395" s="410" t="e">
        <f>IF(M395="nio",0,IF(M395&gt;0,M395*K395/S395,0))*VLOOKUP(B395,'2-Kosten per locatie'!$A$14:$C$61,3,FALSE)</f>
        <v>#DIV/0!</v>
      </c>
      <c r="Q395" s="410">
        <f>IF(N395&gt;0,N395*K395/T395,0)*VLOOKUP(B395,'2-Kosten per locatie'!$A$14:$C$61,3,FALSE)</f>
        <v>0</v>
      </c>
      <c r="R395" s="410" t="e">
        <f>IF(O395&gt;0,O395*K395/U395,0)*VLOOKUP(B395,'2-Kosten per locatie'!$A$14:$C$61,3,FALSE)</f>
        <v>#DIV/0!</v>
      </c>
      <c r="S395" s="411">
        <f>IF(M395="nio",0,IF(M395&gt;0,VLOOKUP(I395,'3-Productie normen'!A:P,VLOOKUP(M395,'3-Productie normen'!$B$38:$C$48,2,FALSE),FALSE)))</f>
        <v>0</v>
      </c>
      <c r="T395" s="411">
        <f t="shared" si="33"/>
        <v>0</v>
      </c>
      <c r="U395" s="411">
        <f t="shared" si="31"/>
        <v>0</v>
      </c>
      <c r="V395" s="412"/>
      <c r="X395" s="413">
        <f t="shared" si="34"/>
        <v>9936</v>
      </c>
    </row>
    <row r="396" spans="1:24" ht="14.1" customHeight="1">
      <c r="A396" s="70">
        <f t="shared" si="35"/>
        <v>396</v>
      </c>
      <c r="B396" s="354" t="s">
        <v>58</v>
      </c>
      <c r="C396" s="354" t="s">
        <v>437</v>
      </c>
      <c r="D396" s="354" t="s">
        <v>165</v>
      </c>
      <c r="E396" s="404" t="s">
        <v>438</v>
      </c>
      <c r="F396" s="415" t="s">
        <v>167</v>
      </c>
      <c r="G396" s="416" t="s">
        <v>196</v>
      </c>
      <c r="H396" s="402" t="s">
        <v>183</v>
      </c>
      <c r="I396" s="402" t="s">
        <v>106</v>
      </c>
      <c r="J396" s="402" t="s">
        <v>179</v>
      </c>
      <c r="K396" s="414">
        <v>17</v>
      </c>
      <c r="L396" s="408">
        <f t="shared" si="32"/>
        <v>276</v>
      </c>
      <c r="M396" s="409">
        <v>230</v>
      </c>
      <c r="N396" s="306"/>
      <c r="O396" s="409">
        <v>46</v>
      </c>
      <c r="P396" s="410" t="e">
        <f>IF(M396="nio",0,IF(M396&gt;0,M396*K396/S396,0))*VLOOKUP(B396,'2-Kosten per locatie'!$A$14:$C$61,3,FALSE)</f>
        <v>#DIV/0!</v>
      </c>
      <c r="Q396" s="410">
        <f>IF(N396&gt;0,N396*K396/T396,0)*VLOOKUP(B396,'2-Kosten per locatie'!$A$14:$C$61,3,FALSE)</f>
        <v>0</v>
      </c>
      <c r="R396" s="410" t="e">
        <f>IF(O396&gt;0,O396*K396/U396,0)*VLOOKUP(B396,'2-Kosten per locatie'!$A$14:$C$61,3,FALSE)</f>
        <v>#DIV/0!</v>
      </c>
      <c r="S396" s="411">
        <f>IF(M396="nio",0,IF(M396&gt;0,VLOOKUP(I396,'3-Productie normen'!A:P,VLOOKUP(M396,'3-Productie normen'!$B$38:$C$48,2,FALSE),FALSE)))</f>
        <v>0</v>
      </c>
      <c r="T396" s="411">
        <f t="shared" si="33"/>
        <v>0</v>
      </c>
      <c r="U396" s="411">
        <f t="shared" si="31"/>
        <v>0</v>
      </c>
      <c r="V396" s="412"/>
      <c r="X396" s="413">
        <f t="shared" si="34"/>
        <v>4692</v>
      </c>
    </row>
    <row r="397" spans="1:24" ht="14.1" customHeight="1">
      <c r="A397" s="70">
        <f t="shared" si="35"/>
        <v>397</v>
      </c>
      <c r="B397" s="354" t="s">
        <v>58</v>
      </c>
      <c r="C397" s="354" t="s">
        <v>437</v>
      </c>
      <c r="D397" s="354" t="s">
        <v>165</v>
      </c>
      <c r="E397" s="404" t="s">
        <v>438</v>
      </c>
      <c r="F397" s="415" t="s">
        <v>167</v>
      </c>
      <c r="G397" s="416" t="s">
        <v>198</v>
      </c>
      <c r="H397" s="402" t="s">
        <v>441</v>
      </c>
      <c r="I397" s="402" t="s">
        <v>114</v>
      </c>
      <c r="J397" s="402" t="s">
        <v>445</v>
      </c>
      <c r="K397" s="414">
        <v>292</v>
      </c>
      <c r="L397" s="408">
        <f t="shared" si="32"/>
        <v>276</v>
      </c>
      <c r="M397" s="409">
        <v>230</v>
      </c>
      <c r="N397" s="306"/>
      <c r="O397" s="409">
        <v>46</v>
      </c>
      <c r="P397" s="410" t="e">
        <f>IF(M397="nio",0,IF(M397&gt;0,M397*K397/S397,0))*VLOOKUP(B397,'2-Kosten per locatie'!$A$14:$C$61,3,FALSE)</f>
        <v>#DIV/0!</v>
      </c>
      <c r="Q397" s="410">
        <f>IF(N397&gt;0,N397*K397/T397,0)*VLOOKUP(B397,'2-Kosten per locatie'!$A$14:$C$61,3,FALSE)</f>
        <v>0</v>
      </c>
      <c r="R397" s="410" t="e">
        <f>IF(O397&gt;0,O397*K397/U397,0)*VLOOKUP(B397,'2-Kosten per locatie'!$A$14:$C$61,3,FALSE)</f>
        <v>#DIV/0!</v>
      </c>
      <c r="S397" s="411">
        <f>IF(M397="nio",0,IF(M397&gt;0,VLOOKUP(I397,'3-Productie normen'!A:P,VLOOKUP(M397,'3-Productie normen'!$B$38:$C$48,2,FALSE),FALSE)))</f>
        <v>0</v>
      </c>
      <c r="T397" s="411">
        <f t="shared" si="33"/>
        <v>0</v>
      </c>
      <c r="U397" s="411">
        <f t="shared" si="31"/>
        <v>0</v>
      </c>
      <c r="V397" s="412"/>
      <c r="X397" s="413">
        <f t="shared" si="34"/>
        <v>80592</v>
      </c>
    </row>
    <row r="398" spans="1:24" ht="14.1" customHeight="1">
      <c r="A398" s="70">
        <f t="shared" si="35"/>
        <v>398</v>
      </c>
      <c r="B398" s="354" t="s">
        <v>58</v>
      </c>
      <c r="C398" s="354" t="s">
        <v>437</v>
      </c>
      <c r="D398" s="354" t="s">
        <v>165</v>
      </c>
      <c r="E398" s="404" t="s">
        <v>438</v>
      </c>
      <c r="F398" s="415" t="s">
        <v>167</v>
      </c>
      <c r="G398" s="416" t="s">
        <v>199</v>
      </c>
      <c r="H398" s="402" t="s">
        <v>443</v>
      </c>
      <c r="I398" s="402" t="s">
        <v>111</v>
      </c>
      <c r="J398" s="402" t="s">
        <v>179</v>
      </c>
      <c r="K398" s="414">
        <v>29</v>
      </c>
      <c r="L398" s="408">
        <f t="shared" si="32"/>
        <v>276</v>
      </c>
      <c r="M398" s="409">
        <v>230</v>
      </c>
      <c r="N398" s="306"/>
      <c r="O398" s="409">
        <v>46</v>
      </c>
      <c r="P398" s="410" t="e">
        <f>IF(M398="nio",0,IF(M398&gt;0,M398*K398/S398,0))*VLOOKUP(B398,'2-Kosten per locatie'!$A$14:$C$61,3,FALSE)</f>
        <v>#DIV/0!</v>
      </c>
      <c r="Q398" s="410">
        <f>IF(N398&gt;0,N398*K398/T398,0)*VLOOKUP(B398,'2-Kosten per locatie'!$A$14:$C$61,3,FALSE)</f>
        <v>0</v>
      </c>
      <c r="R398" s="410" t="e">
        <f>IF(O398&gt;0,O398*K398/U398,0)*VLOOKUP(B398,'2-Kosten per locatie'!$A$14:$C$61,3,FALSE)</f>
        <v>#DIV/0!</v>
      </c>
      <c r="S398" s="411">
        <f>IF(M398="nio",0,IF(M398&gt;0,VLOOKUP(I398,'3-Productie normen'!A:P,VLOOKUP(M398,'3-Productie normen'!$B$38:$C$48,2,FALSE),FALSE)))</f>
        <v>0</v>
      </c>
      <c r="T398" s="411">
        <f t="shared" si="33"/>
        <v>0</v>
      </c>
      <c r="U398" s="411">
        <f t="shared" ref="U398:U461" si="36">IF(OR(O398&gt;0),S398*$U$8,0)</f>
        <v>0</v>
      </c>
      <c r="V398" s="412"/>
      <c r="X398" s="413">
        <f t="shared" si="34"/>
        <v>8004</v>
      </c>
    </row>
    <row r="399" spans="1:24" ht="14.1" customHeight="1">
      <c r="A399" s="70">
        <f t="shared" si="35"/>
        <v>399</v>
      </c>
      <c r="B399" s="354" t="s">
        <v>58</v>
      </c>
      <c r="C399" s="354" t="s">
        <v>437</v>
      </c>
      <c r="D399" s="354" t="s">
        <v>165</v>
      </c>
      <c r="E399" s="404" t="s">
        <v>438</v>
      </c>
      <c r="F399" s="415" t="s">
        <v>167</v>
      </c>
      <c r="G399" s="416" t="s">
        <v>202</v>
      </c>
      <c r="H399" s="402" t="s">
        <v>183</v>
      </c>
      <c r="I399" s="402" t="s">
        <v>106</v>
      </c>
      <c r="J399" s="402" t="s">
        <v>179</v>
      </c>
      <c r="K399" s="414">
        <v>15</v>
      </c>
      <c r="L399" s="408">
        <f t="shared" si="32"/>
        <v>276</v>
      </c>
      <c r="M399" s="409">
        <v>230</v>
      </c>
      <c r="N399" s="306"/>
      <c r="O399" s="409">
        <v>46</v>
      </c>
      <c r="P399" s="410" t="e">
        <f>IF(M399="nio",0,IF(M399&gt;0,M399*K399/S399,0))*VLOOKUP(B399,'2-Kosten per locatie'!$A$14:$C$61,3,FALSE)</f>
        <v>#DIV/0!</v>
      </c>
      <c r="Q399" s="410">
        <f>IF(N399&gt;0,N399*K399/T399,0)*VLOOKUP(B399,'2-Kosten per locatie'!$A$14:$C$61,3,FALSE)</f>
        <v>0</v>
      </c>
      <c r="R399" s="410" t="e">
        <f>IF(O399&gt;0,O399*K399/U399,0)*VLOOKUP(B399,'2-Kosten per locatie'!$A$14:$C$61,3,FALSE)</f>
        <v>#DIV/0!</v>
      </c>
      <c r="S399" s="411">
        <f>IF(M399="nio",0,IF(M399&gt;0,VLOOKUP(I399,'3-Productie normen'!A:P,VLOOKUP(M399,'3-Productie normen'!$B$38:$C$48,2,FALSE),FALSE)))</f>
        <v>0</v>
      </c>
      <c r="T399" s="411">
        <f t="shared" si="33"/>
        <v>0</v>
      </c>
      <c r="U399" s="411">
        <f t="shared" si="36"/>
        <v>0</v>
      </c>
      <c r="V399" s="412"/>
      <c r="X399" s="413">
        <f t="shared" si="34"/>
        <v>4140</v>
      </c>
    </row>
    <row r="400" spans="1:24" ht="14.1" customHeight="1">
      <c r="A400" s="70">
        <f t="shared" si="35"/>
        <v>400</v>
      </c>
      <c r="B400" s="354" t="s">
        <v>58</v>
      </c>
      <c r="C400" s="354" t="s">
        <v>437</v>
      </c>
      <c r="D400" s="354" t="s">
        <v>165</v>
      </c>
      <c r="E400" s="404" t="s">
        <v>438</v>
      </c>
      <c r="F400" s="415" t="s">
        <v>167</v>
      </c>
      <c r="G400" s="416" t="s">
        <v>203</v>
      </c>
      <c r="H400" s="402" t="s">
        <v>455</v>
      </c>
      <c r="I400" s="402" t="s">
        <v>111</v>
      </c>
      <c r="J400" s="402" t="s">
        <v>179</v>
      </c>
      <c r="K400" s="414">
        <v>10</v>
      </c>
      <c r="L400" s="408">
        <f t="shared" si="32"/>
        <v>276</v>
      </c>
      <c r="M400" s="409">
        <v>230</v>
      </c>
      <c r="N400" s="306"/>
      <c r="O400" s="409">
        <v>46</v>
      </c>
      <c r="P400" s="410" t="e">
        <f>IF(M400="nio",0,IF(M400&gt;0,M400*K400/S400,0))*VLOOKUP(B400,'2-Kosten per locatie'!$A$14:$C$61,3,FALSE)</f>
        <v>#DIV/0!</v>
      </c>
      <c r="Q400" s="410">
        <f>IF(N400&gt;0,N400*K400/T400,0)*VLOOKUP(B400,'2-Kosten per locatie'!$A$14:$C$61,3,FALSE)</f>
        <v>0</v>
      </c>
      <c r="R400" s="410" t="e">
        <f>IF(O400&gt;0,O400*K400/U400,0)*VLOOKUP(B400,'2-Kosten per locatie'!$A$14:$C$61,3,FALSE)</f>
        <v>#DIV/0!</v>
      </c>
      <c r="S400" s="411">
        <f>IF(M400="nio",0,IF(M400&gt;0,VLOOKUP(I400,'3-Productie normen'!A:P,VLOOKUP(M400,'3-Productie normen'!$B$38:$C$48,2,FALSE),FALSE)))</f>
        <v>0</v>
      </c>
      <c r="T400" s="411">
        <f t="shared" si="33"/>
        <v>0</v>
      </c>
      <c r="U400" s="411">
        <f t="shared" si="36"/>
        <v>0</v>
      </c>
      <c r="V400" s="412"/>
      <c r="X400" s="413">
        <f t="shared" si="34"/>
        <v>2760</v>
      </c>
    </row>
    <row r="401" spans="1:24" ht="14.1" customHeight="1">
      <c r="A401" s="70">
        <f t="shared" si="35"/>
        <v>401</v>
      </c>
      <c r="B401" s="354" t="s">
        <v>59</v>
      </c>
      <c r="C401" s="354" t="s">
        <v>437</v>
      </c>
      <c r="D401" s="354" t="s">
        <v>165</v>
      </c>
      <c r="E401" s="404" t="s">
        <v>444</v>
      </c>
      <c r="F401" s="415" t="s">
        <v>167</v>
      </c>
      <c r="G401" s="416" t="s">
        <v>191</v>
      </c>
      <c r="H401" s="402" t="s">
        <v>452</v>
      </c>
      <c r="I401" s="402" t="s">
        <v>107</v>
      </c>
      <c r="J401" s="402" t="s">
        <v>461</v>
      </c>
      <c r="K401" s="414">
        <v>80</v>
      </c>
      <c r="L401" s="408">
        <f t="shared" si="32"/>
        <v>522</v>
      </c>
      <c r="M401" s="409">
        <v>230</v>
      </c>
      <c r="N401" s="306">
        <v>200</v>
      </c>
      <c r="O401" s="409">
        <v>92</v>
      </c>
      <c r="P401" s="410" t="e">
        <f>IF(M401="nio",0,IF(M401&gt;0,M401*K401/S401,0))*VLOOKUP(B401,'2-Kosten per locatie'!$A$14:$C$61,3,FALSE)</f>
        <v>#DIV/0!</v>
      </c>
      <c r="Q401" s="410" t="e">
        <f>IF(N401&gt;0,N401*K401/T401,0)*VLOOKUP(B401,'2-Kosten per locatie'!$A$14:$C$61,3,FALSE)</f>
        <v>#DIV/0!</v>
      </c>
      <c r="R401" s="410" t="e">
        <f>IF(O401&gt;0,O401*K401/U401,0)*VLOOKUP(B401,'2-Kosten per locatie'!$A$14:$C$61,3,FALSE)</f>
        <v>#DIV/0!</v>
      </c>
      <c r="S401" s="411">
        <f>IF(M401="nio",0,IF(M401&gt;0,VLOOKUP(I401,'3-Productie normen'!A:P,VLOOKUP(M401,'3-Productie normen'!$B$38:$C$48,2,FALSE),FALSE)))</f>
        <v>0</v>
      </c>
      <c r="T401" s="411">
        <f t="shared" si="33"/>
        <v>0</v>
      </c>
      <c r="U401" s="411">
        <f t="shared" si="36"/>
        <v>0</v>
      </c>
      <c r="V401" s="412"/>
      <c r="X401" s="413">
        <f t="shared" si="34"/>
        <v>41760</v>
      </c>
    </row>
    <row r="402" spans="1:24" ht="14.1" customHeight="1">
      <c r="A402" s="70">
        <f t="shared" si="35"/>
        <v>402</v>
      </c>
      <c r="B402" s="354" t="s">
        <v>59</v>
      </c>
      <c r="C402" s="354" t="s">
        <v>437</v>
      </c>
      <c r="D402" s="354" t="s">
        <v>165</v>
      </c>
      <c r="E402" s="404" t="s">
        <v>444</v>
      </c>
      <c r="F402" s="415" t="s">
        <v>167</v>
      </c>
      <c r="G402" s="416" t="s">
        <v>194</v>
      </c>
      <c r="H402" s="402" t="s">
        <v>443</v>
      </c>
      <c r="I402" s="402" t="s">
        <v>111</v>
      </c>
      <c r="J402" s="402" t="s">
        <v>179</v>
      </c>
      <c r="K402" s="414">
        <v>28</v>
      </c>
      <c r="L402" s="408">
        <f t="shared" si="32"/>
        <v>522</v>
      </c>
      <c r="M402" s="409">
        <v>230</v>
      </c>
      <c r="N402" s="306">
        <v>200</v>
      </c>
      <c r="O402" s="409">
        <v>92</v>
      </c>
      <c r="P402" s="410" t="e">
        <f>IF(M402="nio",0,IF(M402&gt;0,M402*K402/S402,0))*VLOOKUP(B402,'2-Kosten per locatie'!$A$14:$C$61,3,FALSE)</f>
        <v>#DIV/0!</v>
      </c>
      <c r="Q402" s="410" t="e">
        <f>IF(N402&gt;0,N402*K402/T402,0)*VLOOKUP(B402,'2-Kosten per locatie'!$A$14:$C$61,3,FALSE)</f>
        <v>#DIV/0!</v>
      </c>
      <c r="R402" s="410" t="e">
        <f>IF(O402&gt;0,O402*K402/U402,0)*VLOOKUP(B402,'2-Kosten per locatie'!$A$14:$C$61,3,FALSE)</f>
        <v>#DIV/0!</v>
      </c>
      <c r="S402" s="411">
        <f>IF(M402="nio",0,IF(M402&gt;0,VLOOKUP(I402,'3-Productie normen'!A:P,VLOOKUP(M402,'3-Productie normen'!$B$38:$C$48,2,FALSE),FALSE)))</f>
        <v>0</v>
      </c>
      <c r="T402" s="411">
        <f t="shared" si="33"/>
        <v>0</v>
      </c>
      <c r="U402" s="411">
        <f t="shared" si="36"/>
        <v>0</v>
      </c>
      <c r="V402" s="412"/>
      <c r="X402" s="413">
        <f t="shared" si="34"/>
        <v>14616</v>
      </c>
    </row>
    <row r="403" spans="1:24" ht="14.1" customHeight="1">
      <c r="A403" s="70">
        <f t="shared" si="35"/>
        <v>403</v>
      </c>
      <c r="B403" s="354" t="s">
        <v>59</v>
      </c>
      <c r="C403" s="354" t="s">
        <v>437</v>
      </c>
      <c r="D403" s="354" t="s">
        <v>165</v>
      </c>
      <c r="E403" s="404" t="s">
        <v>444</v>
      </c>
      <c r="F403" s="415" t="s">
        <v>167</v>
      </c>
      <c r="G403" s="416" t="s">
        <v>196</v>
      </c>
      <c r="H403" s="402" t="s">
        <v>183</v>
      </c>
      <c r="I403" s="402" t="s">
        <v>106</v>
      </c>
      <c r="J403" s="402" t="s">
        <v>179</v>
      </c>
      <c r="K403" s="414">
        <v>21</v>
      </c>
      <c r="L403" s="408">
        <f t="shared" si="32"/>
        <v>522</v>
      </c>
      <c r="M403" s="409">
        <v>230</v>
      </c>
      <c r="N403" s="306">
        <v>200</v>
      </c>
      <c r="O403" s="409">
        <v>92</v>
      </c>
      <c r="P403" s="410" t="e">
        <f>IF(M403="nio",0,IF(M403&gt;0,M403*K403/S403,0))*VLOOKUP(B403,'2-Kosten per locatie'!$A$14:$C$61,3,FALSE)</f>
        <v>#DIV/0!</v>
      </c>
      <c r="Q403" s="410" t="e">
        <f>IF(N403&gt;0,N403*K403/T403,0)*VLOOKUP(B403,'2-Kosten per locatie'!$A$14:$C$61,3,FALSE)</f>
        <v>#DIV/0!</v>
      </c>
      <c r="R403" s="410" t="e">
        <f>IF(O403&gt;0,O403*K403/U403,0)*VLOOKUP(B403,'2-Kosten per locatie'!$A$14:$C$61,3,FALSE)</f>
        <v>#DIV/0!</v>
      </c>
      <c r="S403" s="411">
        <f>IF(M403="nio",0,IF(M403&gt;0,VLOOKUP(I403,'3-Productie normen'!A:P,VLOOKUP(M403,'3-Productie normen'!$B$38:$C$48,2,FALSE),FALSE)))</f>
        <v>0</v>
      </c>
      <c r="T403" s="411">
        <f t="shared" si="33"/>
        <v>0</v>
      </c>
      <c r="U403" s="411">
        <f t="shared" si="36"/>
        <v>0</v>
      </c>
      <c r="V403" s="412"/>
      <c r="X403" s="413">
        <f t="shared" si="34"/>
        <v>10962</v>
      </c>
    </row>
    <row r="404" spans="1:24" ht="14.1" customHeight="1">
      <c r="A404" s="70">
        <f t="shared" si="35"/>
        <v>404</v>
      </c>
      <c r="B404" s="354" t="s">
        <v>59</v>
      </c>
      <c r="C404" s="354" t="s">
        <v>437</v>
      </c>
      <c r="D404" s="354" t="s">
        <v>165</v>
      </c>
      <c r="E404" s="404" t="s">
        <v>444</v>
      </c>
      <c r="F404" s="415" t="s">
        <v>167</v>
      </c>
      <c r="G404" s="416" t="s">
        <v>198</v>
      </c>
      <c r="H404" s="402" t="s">
        <v>454</v>
      </c>
      <c r="I404" s="402" t="s">
        <v>114</v>
      </c>
      <c r="J404" s="402" t="s">
        <v>442</v>
      </c>
      <c r="K404" s="414">
        <v>854</v>
      </c>
      <c r="L404" s="408">
        <f t="shared" si="32"/>
        <v>522</v>
      </c>
      <c r="M404" s="409">
        <v>230</v>
      </c>
      <c r="N404" s="306">
        <v>200</v>
      </c>
      <c r="O404" s="409">
        <v>92</v>
      </c>
      <c r="P404" s="410" t="e">
        <f>IF(M404="nio",0,IF(M404&gt;0,M404*K404/S404,0))*VLOOKUP(B404,'2-Kosten per locatie'!$A$14:$C$61,3,FALSE)</f>
        <v>#DIV/0!</v>
      </c>
      <c r="Q404" s="410" t="e">
        <f>IF(N404&gt;0,N404*K404/T404,0)*VLOOKUP(B404,'2-Kosten per locatie'!$A$14:$C$61,3,FALSE)</f>
        <v>#DIV/0!</v>
      </c>
      <c r="R404" s="410" t="e">
        <f>IF(O404&gt;0,O404*K404/U404,0)*VLOOKUP(B404,'2-Kosten per locatie'!$A$14:$C$61,3,FALSE)</f>
        <v>#DIV/0!</v>
      </c>
      <c r="S404" s="411">
        <f>IF(M404="nio",0,IF(M404&gt;0,VLOOKUP(I404,'3-Productie normen'!A:P,VLOOKUP(M404,'3-Productie normen'!$B$38:$C$48,2,FALSE),FALSE)))</f>
        <v>0</v>
      </c>
      <c r="T404" s="411">
        <f t="shared" si="33"/>
        <v>0</v>
      </c>
      <c r="U404" s="411">
        <f t="shared" si="36"/>
        <v>0</v>
      </c>
      <c r="V404" s="412"/>
      <c r="X404" s="413">
        <f t="shared" si="34"/>
        <v>445788</v>
      </c>
    </row>
    <row r="405" spans="1:24" ht="14.1" customHeight="1">
      <c r="A405" s="70">
        <f t="shared" si="35"/>
        <v>405</v>
      </c>
      <c r="B405" s="354" t="s">
        <v>59</v>
      </c>
      <c r="C405" s="354" t="s">
        <v>437</v>
      </c>
      <c r="D405" s="354" t="s">
        <v>165</v>
      </c>
      <c r="E405" s="404" t="s">
        <v>444</v>
      </c>
      <c r="F405" s="415" t="s">
        <v>167</v>
      </c>
      <c r="G405" s="416" t="s">
        <v>199</v>
      </c>
      <c r="H405" s="402" t="s">
        <v>443</v>
      </c>
      <c r="I405" s="402" t="s">
        <v>111</v>
      </c>
      <c r="J405" s="402" t="s">
        <v>179</v>
      </c>
      <c r="K405" s="414">
        <v>32</v>
      </c>
      <c r="L405" s="408">
        <f t="shared" si="32"/>
        <v>522</v>
      </c>
      <c r="M405" s="409">
        <v>230</v>
      </c>
      <c r="N405" s="306">
        <v>200</v>
      </c>
      <c r="O405" s="409">
        <v>92</v>
      </c>
      <c r="P405" s="410" t="e">
        <f>IF(M405="nio",0,IF(M405&gt;0,M405*K405/S405,0))*VLOOKUP(B405,'2-Kosten per locatie'!$A$14:$C$61,3,FALSE)</f>
        <v>#DIV/0!</v>
      </c>
      <c r="Q405" s="410" t="e">
        <f>IF(N405&gt;0,N405*K405/T405,0)*VLOOKUP(B405,'2-Kosten per locatie'!$A$14:$C$61,3,FALSE)</f>
        <v>#DIV/0!</v>
      </c>
      <c r="R405" s="410" t="e">
        <f>IF(O405&gt;0,O405*K405/U405,0)*VLOOKUP(B405,'2-Kosten per locatie'!$A$14:$C$61,3,FALSE)</f>
        <v>#DIV/0!</v>
      </c>
      <c r="S405" s="411">
        <f>IF(M405="nio",0,IF(M405&gt;0,VLOOKUP(I405,'3-Productie normen'!A:P,VLOOKUP(M405,'3-Productie normen'!$B$38:$C$48,2,FALSE),FALSE)))</f>
        <v>0</v>
      </c>
      <c r="T405" s="411">
        <f t="shared" si="33"/>
        <v>0</v>
      </c>
      <c r="U405" s="411">
        <f t="shared" si="36"/>
        <v>0</v>
      </c>
      <c r="V405" s="412"/>
      <c r="X405" s="413">
        <f t="shared" si="34"/>
        <v>16704</v>
      </c>
    </row>
    <row r="406" spans="1:24" ht="14.1" customHeight="1">
      <c r="A406" s="70">
        <f t="shared" si="35"/>
        <v>406</v>
      </c>
      <c r="B406" s="354" t="s">
        <v>59</v>
      </c>
      <c r="C406" s="354" t="s">
        <v>437</v>
      </c>
      <c r="D406" s="354" t="s">
        <v>165</v>
      </c>
      <c r="E406" s="404" t="s">
        <v>444</v>
      </c>
      <c r="F406" s="415" t="s">
        <v>167</v>
      </c>
      <c r="G406" s="416" t="s">
        <v>202</v>
      </c>
      <c r="H406" s="402" t="s">
        <v>183</v>
      </c>
      <c r="I406" s="402" t="s">
        <v>106</v>
      </c>
      <c r="J406" s="402" t="s">
        <v>179</v>
      </c>
      <c r="K406" s="414">
        <v>17</v>
      </c>
      <c r="L406" s="408">
        <f t="shared" si="32"/>
        <v>522</v>
      </c>
      <c r="M406" s="409">
        <v>230</v>
      </c>
      <c r="N406" s="306">
        <v>200</v>
      </c>
      <c r="O406" s="409">
        <v>92</v>
      </c>
      <c r="P406" s="410" t="e">
        <f>IF(M406="nio",0,IF(M406&gt;0,M406*K406/S406,0))*VLOOKUP(B406,'2-Kosten per locatie'!$A$14:$C$61,3,FALSE)</f>
        <v>#DIV/0!</v>
      </c>
      <c r="Q406" s="410" t="e">
        <f>IF(N406&gt;0,N406*K406/T406,0)*VLOOKUP(B406,'2-Kosten per locatie'!$A$14:$C$61,3,FALSE)</f>
        <v>#DIV/0!</v>
      </c>
      <c r="R406" s="410" t="e">
        <f>IF(O406&gt;0,O406*K406/U406,0)*VLOOKUP(B406,'2-Kosten per locatie'!$A$14:$C$61,3,FALSE)</f>
        <v>#DIV/0!</v>
      </c>
      <c r="S406" s="411">
        <f>IF(M406="nio",0,IF(M406&gt;0,VLOOKUP(I406,'3-Productie normen'!A:P,VLOOKUP(M406,'3-Productie normen'!$B$38:$C$48,2,FALSE),FALSE)))</f>
        <v>0</v>
      </c>
      <c r="T406" s="411">
        <f t="shared" si="33"/>
        <v>0</v>
      </c>
      <c r="U406" s="411">
        <f t="shared" si="36"/>
        <v>0</v>
      </c>
      <c r="V406" s="412"/>
      <c r="X406" s="413">
        <f t="shared" si="34"/>
        <v>8874</v>
      </c>
    </row>
    <row r="407" spans="1:24" ht="14.1" customHeight="1">
      <c r="A407" s="70">
        <f t="shared" si="35"/>
        <v>407</v>
      </c>
      <c r="B407" s="354" t="s">
        <v>59</v>
      </c>
      <c r="C407" s="354" t="s">
        <v>437</v>
      </c>
      <c r="D407" s="354" t="s">
        <v>165</v>
      </c>
      <c r="E407" s="404" t="s">
        <v>444</v>
      </c>
      <c r="F407" s="415" t="s">
        <v>167</v>
      </c>
      <c r="G407" s="416" t="s">
        <v>203</v>
      </c>
      <c r="H407" s="402" t="s">
        <v>443</v>
      </c>
      <c r="I407" s="402" t="s">
        <v>111</v>
      </c>
      <c r="J407" s="402" t="s">
        <v>179</v>
      </c>
      <c r="K407" s="414">
        <v>20</v>
      </c>
      <c r="L407" s="408">
        <f t="shared" si="32"/>
        <v>522</v>
      </c>
      <c r="M407" s="409">
        <v>230</v>
      </c>
      <c r="N407" s="306">
        <v>200</v>
      </c>
      <c r="O407" s="409">
        <v>92</v>
      </c>
      <c r="P407" s="410" t="e">
        <f>IF(M407="nio",0,IF(M407&gt;0,M407*K407/S407,0))*VLOOKUP(B407,'2-Kosten per locatie'!$A$14:$C$61,3,FALSE)</f>
        <v>#DIV/0!</v>
      </c>
      <c r="Q407" s="410" t="e">
        <f>IF(N407&gt;0,N407*K407/T407,0)*VLOOKUP(B407,'2-Kosten per locatie'!$A$14:$C$61,3,FALSE)</f>
        <v>#DIV/0!</v>
      </c>
      <c r="R407" s="410" t="e">
        <f>IF(O407&gt;0,O407*K407/U407,0)*VLOOKUP(B407,'2-Kosten per locatie'!$A$14:$C$61,3,FALSE)</f>
        <v>#DIV/0!</v>
      </c>
      <c r="S407" s="411">
        <f>IF(M407="nio",0,IF(M407&gt;0,VLOOKUP(I407,'3-Productie normen'!A:P,VLOOKUP(M407,'3-Productie normen'!$B$38:$C$48,2,FALSE),FALSE)))</f>
        <v>0</v>
      </c>
      <c r="T407" s="411">
        <f t="shared" si="33"/>
        <v>0</v>
      </c>
      <c r="U407" s="411">
        <f t="shared" si="36"/>
        <v>0</v>
      </c>
      <c r="V407" s="412"/>
      <c r="X407" s="413">
        <f t="shared" si="34"/>
        <v>10440</v>
      </c>
    </row>
    <row r="408" spans="1:24" ht="14.1" customHeight="1">
      <c r="A408" s="70">
        <f t="shared" si="35"/>
        <v>408</v>
      </c>
      <c r="B408" s="354" t="s">
        <v>59</v>
      </c>
      <c r="C408" s="354" t="s">
        <v>437</v>
      </c>
      <c r="D408" s="354" t="s">
        <v>165</v>
      </c>
      <c r="E408" s="404" t="s">
        <v>444</v>
      </c>
      <c r="F408" s="415" t="s">
        <v>167</v>
      </c>
      <c r="G408" s="416" t="s">
        <v>204</v>
      </c>
      <c r="H408" s="402" t="s">
        <v>443</v>
      </c>
      <c r="I408" s="402" t="s">
        <v>111</v>
      </c>
      <c r="J408" s="402" t="s">
        <v>179</v>
      </c>
      <c r="K408" s="414">
        <v>32</v>
      </c>
      <c r="L408" s="408">
        <f t="shared" si="32"/>
        <v>522</v>
      </c>
      <c r="M408" s="409">
        <v>230</v>
      </c>
      <c r="N408" s="306">
        <v>200</v>
      </c>
      <c r="O408" s="409">
        <v>92</v>
      </c>
      <c r="P408" s="410" t="e">
        <f>IF(M408="nio",0,IF(M408&gt;0,M408*K408/S408,0))*VLOOKUP(B408,'2-Kosten per locatie'!$A$14:$C$61,3,FALSE)</f>
        <v>#DIV/0!</v>
      </c>
      <c r="Q408" s="410" t="e">
        <f>IF(N408&gt;0,N408*K408/T408,0)*VLOOKUP(B408,'2-Kosten per locatie'!$A$14:$C$61,3,FALSE)</f>
        <v>#DIV/0!</v>
      </c>
      <c r="R408" s="410" t="e">
        <f>IF(O408&gt;0,O408*K408/U408,0)*VLOOKUP(B408,'2-Kosten per locatie'!$A$14:$C$61,3,FALSE)</f>
        <v>#DIV/0!</v>
      </c>
      <c r="S408" s="411">
        <f>IF(M408="nio",0,IF(M408&gt;0,VLOOKUP(I408,'3-Productie normen'!A:P,VLOOKUP(M408,'3-Productie normen'!$B$38:$C$48,2,FALSE),FALSE)))</f>
        <v>0</v>
      </c>
      <c r="T408" s="411">
        <f t="shared" si="33"/>
        <v>0</v>
      </c>
      <c r="U408" s="411">
        <f t="shared" si="36"/>
        <v>0</v>
      </c>
      <c r="V408" s="412"/>
      <c r="X408" s="413">
        <f t="shared" si="34"/>
        <v>16704</v>
      </c>
    </row>
    <row r="409" spans="1:24" ht="14.1" customHeight="1">
      <c r="A409" s="70">
        <f t="shared" si="35"/>
        <v>409</v>
      </c>
      <c r="B409" s="354" t="s">
        <v>59</v>
      </c>
      <c r="C409" s="354" t="s">
        <v>437</v>
      </c>
      <c r="D409" s="354" t="s">
        <v>165</v>
      </c>
      <c r="E409" s="404" t="s">
        <v>444</v>
      </c>
      <c r="F409" s="415" t="s">
        <v>167</v>
      </c>
      <c r="G409" s="416" t="s">
        <v>205</v>
      </c>
      <c r="H409" s="402" t="s">
        <v>183</v>
      </c>
      <c r="I409" s="402" t="s">
        <v>106</v>
      </c>
      <c r="J409" s="402" t="s">
        <v>179</v>
      </c>
      <c r="K409" s="414">
        <v>15</v>
      </c>
      <c r="L409" s="408">
        <f t="shared" si="32"/>
        <v>522</v>
      </c>
      <c r="M409" s="409">
        <v>230</v>
      </c>
      <c r="N409" s="306">
        <v>200</v>
      </c>
      <c r="O409" s="409">
        <v>92</v>
      </c>
      <c r="P409" s="410" t="e">
        <f>IF(M409="nio",0,IF(M409&gt;0,M409*K409/S409,0))*VLOOKUP(B409,'2-Kosten per locatie'!$A$14:$C$61,3,FALSE)</f>
        <v>#DIV/0!</v>
      </c>
      <c r="Q409" s="410" t="e">
        <f>IF(N409&gt;0,N409*K409/T409,0)*VLOOKUP(B409,'2-Kosten per locatie'!$A$14:$C$61,3,FALSE)</f>
        <v>#DIV/0!</v>
      </c>
      <c r="R409" s="410" t="e">
        <f>IF(O409&gt;0,O409*K409/U409,0)*VLOOKUP(B409,'2-Kosten per locatie'!$A$14:$C$61,3,FALSE)</f>
        <v>#DIV/0!</v>
      </c>
      <c r="S409" s="411">
        <f>IF(M409="nio",0,IF(M409&gt;0,VLOOKUP(I409,'3-Productie normen'!A:P,VLOOKUP(M409,'3-Productie normen'!$B$38:$C$48,2,FALSE),FALSE)))</f>
        <v>0</v>
      </c>
      <c r="T409" s="411">
        <f t="shared" si="33"/>
        <v>0</v>
      </c>
      <c r="U409" s="411">
        <f t="shared" si="36"/>
        <v>0</v>
      </c>
      <c r="V409" s="412"/>
      <c r="X409" s="413">
        <f t="shared" si="34"/>
        <v>7830</v>
      </c>
    </row>
    <row r="410" spans="1:24" ht="14.1" customHeight="1">
      <c r="A410" s="70">
        <f t="shared" si="35"/>
        <v>410</v>
      </c>
      <c r="B410" s="354" t="s">
        <v>59</v>
      </c>
      <c r="C410" s="354" t="s">
        <v>437</v>
      </c>
      <c r="D410" s="354" t="s">
        <v>165</v>
      </c>
      <c r="E410" s="404" t="s">
        <v>444</v>
      </c>
      <c r="F410" s="415" t="s">
        <v>167</v>
      </c>
      <c r="G410" s="416" t="s">
        <v>180</v>
      </c>
      <c r="H410" s="402" t="s">
        <v>443</v>
      </c>
      <c r="I410" s="402" t="s">
        <v>111</v>
      </c>
      <c r="J410" s="402" t="s">
        <v>179</v>
      </c>
      <c r="K410" s="414">
        <v>28</v>
      </c>
      <c r="L410" s="408">
        <f t="shared" si="32"/>
        <v>522</v>
      </c>
      <c r="M410" s="409">
        <v>230</v>
      </c>
      <c r="N410" s="306">
        <v>200</v>
      </c>
      <c r="O410" s="409">
        <v>92</v>
      </c>
      <c r="P410" s="410" t="e">
        <f>IF(M410="nio",0,IF(M410&gt;0,M410*K410/S410,0))*VLOOKUP(B410,'2-Kosten per locatie'!$A$14:$C$61,3,FALSE)</f>
        <v>#DIV/0!</v>
      </c>
      <c r="Q410" s="410" t="e">
        <f>IF(N410&gt;0,N410*K410/T410,0)*VLOOKUP(B410,'2-Kosten per locatie'!$A$14:$C$61,3,FALSE)</f>
        <v>#DIV/0!</v>
      </c>
      <c r="R410" s="410" t="e">
        <f>IF(O410&gt;0,O410*K410/U410,0)*VLOOKUP(B410,'2-Kosten per locatie'!$A$14:$C$61,3,FALSE)</f>
        <v>#DIV/0!</v>
      </c>
      <c r="S410" s="411">
        <f>IF(M410="nio",0,IF(M410&gt;0,VLOOKUP(I410,'3-Productie normen'!A:P,VLOOKUP(M410,'3-Productie normen'!$B$38:$C$48,2,FALSE),FALSE)))</f>
        <v>0</v>
      </c>
      <c r="T410" s="411">
        <f t="shared" si="33"/>
        <v>0</v>
      </c>
      <c r="U410" s="411">
        <f t="shared" si="36"/>
        <v>0</v>
      </c>
      <c r="V410" s="412"/>
      <c r="X410" s="413">
        <f t="shared" si="34"/>
        <v>14616</v>
      </c>
    </row>
    <row r="411" spans="1:24" ht="14.1" customHeight="1">
      <c r="A411" s="70">
        <f t="shared" si="35"/>
        <v>411</v>
      </c>
      <c r="B411" s="354" t="s">
        <v>59</v>
      </c>
      <c r="C411" s="354" t="s">
        <v>437</v>
      </c>
      <c r="D411" s="354" t="s">
        <v>165</v>
      </c>
      <c r="E411" s="404" t="s">
        <v>444</v>
      </c>
      <c r="F411" s="415" t="s">
        <v>167</v>
      </c>
      <c r="G411" s="416" t="s">
        <v>182</v>
      </c>
      <c r="H411" s="402" t="s">
        <v>291</v>
      </c>
      <c r="I411" s="402" t="s">
        <v>106</v>
      </c>
      <c r="J411" s="402" t="s">
        <v>179</v>
      </c>
      <c r="K411" s="414">
        <v>21</v>
      </c>
      <c r="L411" s="408">
        <f t="shared" si="32"/>
        <v>522</v>
      </c>
      <c r="M411" s="409">
        <v>230</v>
      </c>
      <c r="N411" s="306">
        <v>200</v>
      </c>
      <c r="O411" s="409">
        <v>92</v>
      </c>
      <c r="P411" s="410" t="e">
        <f>IF(M411="nio",0,IF(M411&gt;0,M411*K411/S411,0))*VLOOKUP(B411,'2-Kosten per locatie'!$A$14:$C$61,3,FALSE)</f>
        <v>#DIV/0!</v>
      </c>
      <c r="Q411" s="410" t="e">
        <f>IF(N411&gt;0,N411*K411/T411,0)*VLOOKUP(B411,'2-Kosten per locatie'!$A$14:$C$61,3,FALSE)</f>
        <v>#DIV/0!</v>
      </c>
      <c r="R411" s="410" t="e">
        <f>IF(O411&gt;0,O411*K411/U411,0)*VLOOKUP(B411,'2-Kosten per locatie'!$A$14:$C$61,3,FALSE)</f>
        <v>#DIV/0!</v>
      </c>
      <c r="S411" s="411">
        <f>IF(M411="nio",0,IF(M411&gt;0,VLOOKUP(I411,'3-Productie normen'!A:P,VLOOKUP(M411,'3-Productie normen'!$B$38:$C$48,2,FALSE),FALSE)))</f>
        <v>0</v>
      </c>
      <c r="T411" s="411">
        <f t="shared" si="33"/>
        <v>0</v>
      </c>
      <c r="U411" s="411">
        <f t="shared" si="36"/>
        <v>0</v>
      </c>
      <c r="V411" s="412"/>
      <c r="X411" s="413">
        <f t="shared" si="34"/>
        <v>10962</v>
      </c>
    </row>
    <row r="412" spans="1:24" ht="14.1" customHeight="1">
      <c r="A412" s="70">
        <f t="shared" si="35"/>
        <v>412</v>
      </c>
      <c r="B412" s="354" t="s">
        <v>60</v>
      </c>
      <c r="C412" s="354" t="s">
        <v>437</v>
      </c>
      <c r="D412" s="354" t="s">
        <v>165</v>
      </c>
      <c r="E412" s="404" t="s">
        <v>438</v>
      </c>
      <c r="F412" s="415" t="s">
        <v>167</v>
      </c>
      <c r="G412" s="416" t="s">
        <v>191</v>
      </c>
      <c r="H412" s="402" t="s">
        <v>452</v>
      </c>
      <c r="I412" s="402" t="s">
        <v>107</v>
      </c>
      <c r="J412" s="402" t="s">
        <v>179</v>
      </c>
      <c r="K412" s="414">
        <v>18</v>
      </c>
      <c r="L412" s="408">
        <f t="shared" si="32"/>
        <v>276</v>
      </c>
      <c r="M412" s="409">
        <v>230</v>
      </c>
      <c r="N412" s="306"/>
      <c r="O412" s="409">
        <v>46</v>
      </c>
      <c r="P412" s="410" t="e">
        <f>IF(M412="nio",0,IF(M412&gt;0,M412*K412/S412,0))*VLOOKUP(B412,'2-Kosten per locatie'!$A$14:$C$61,3,FALSE)</f>
        <v>#DIV/0!</v>
      </c>
      <c r="Q412" s="410">
        <f>IF(N412&gt;0,N412*K412/T412,0)*VLOOKUP(B412,'2-Kosten per locatie'!$A$14:$C$61,3,FALSE)</f>
        <v>0</v>
      </c>
      <c r="R412" s="410" t="e">
        <f>IF(O412&gt;0,O412*K412/U412,0)*VLOOKUP(B412,'2-Kosten per locatie'!$A$14:$C$61,3,FALSE)</f>
        <v>#DIV/0!</v>
      </c>
      <c r="S412" s="411">
        <f>IF(M412="nio",0,IF(M412&gt;0,VLOOKUP(I412,'3-Productie normen'!A:P,VLOOKUP(M412,'3-Productie normen'!$B$38:$C$48,2,FALSE),FALSE)))</f>
        <v>0</v>
      </c>
      <c r="T412" s="411">
        <f t="shared" si="33"/>
        <v>0</v>
      </c>
      <c r="U412" s="411">
        <f t="shared" si="36"/>
        <v>0</v>
      </c>
      <c r="V412" s="412"/>
      <c r="X412" s="413">
        <f t="shared" si="34"/>
        <v>4968</v>
      </c>
    </row>
    <row r="413" spans="1:24" ht="14.1" customHeight="1">
      <c r="A413" s="70">
        <f t="shared" si="35"/>
        <v>413</v>
      </c>
      <c r="B413" s="354" t="s">
        <v>60</v>
      </c>
      <c r="C413" s="354" t="s">
        <v>437</v>
      </c>
      <c r="D413" s="354" t="s">
        <v>165</v>
      </c>
      <c r="E413" s="404" t="s">
        <v>438</v>
      </c>
      <c r="F413" s="415" t="s">
        <v>167</v>
      </c>
      <c r="G413" s="416" t="s">
        <v>194</v>
      </c>
      <c r="H413" s="402" t="s">
        <v>443</v>
      </c>
      <c r="I413" s="402" t="s">
        <v>111</v>
      </c>
      <c r="J413" s="402" t="s">
        <v>179</v>
      </c>
      <c r="K413" s="414">
        <v>21</v>
      </c>
      <c r="L413" s="408">
        <f t="shared" si="32"/>
        <v>276</v>
      </c>
      <c r="M413" s="409">
        <v>230</v>
      </c>
      <c r="N413" s="306"/>
      <c r="O413" s="409">
        <v>46</v>
      </c>
      <c r="P413" s="410" t="e">
        <f>IF(M413="nio",0,IF(M413&gt;0,M413*K413/S413,0))*VLOOKUP(B413,'2-Kosten per locatie'!$A$14:$C$61,3,FALSE)</f>
        <v>#DIV/0!</v>
      </c>
      <c r="Q413" s="410">
        <f>IF(N413&gt;0,N413*K413/T413,0)*VLOOKUP(B413,'2-Kosten per locatie'!$A$14:$C$61,3,FALSE)</f>
        <v>0</v>
      </c>
      <c r="R413" s="410" t="e">
        <f>IF(O413&gt;0,O413*K413/U413,0)*VLOOKUP(B413,'2-Kosten per locatie'!$A$14:$C$61,3,FALSE)</f>
        <v>#DIV/0!</v>
      </c>
      <c r="S413" s="411">
        <f>IF(M413="nio",0,IF(M413&gt;0,VLOOKUP(I413,'3-Productie normen'!A:P,VLOOKUP(M413,'3-Productie normen'!$B$38:$C$48,2,FALSE),FALSE)))</f>
        <v>0</v>
      </c>
      <c r="T413" s="411">
        <f t="shared" si="33"/>
        <v>0</v>
      </c>
      <c r="U413" s="411">
        <f t="shared" si="36"/>
        <v>0</v>
      </c>
      <c r="V413" s="412"/>
      <c r="X413" s="413">
        <f t="shared" si="34"/>
        <v>5796</v>
      </c>
    </row>
    <row r="414" spans="1:24" ht="14.1" customHeight="1">
      <c r="A414" s="70">
        <f t="shared" si="35"/>
        <v>414</v>
      </c>
      <c r="B414" s="354" t="s">
        <v>60</v>
      </c>
      <c r="C414" s="354" t="s">
        <v>437</v>
      </c>
      <c r="D414" s="354" t="s">
        <v>165</v>
      </c>
      <c r="E414" s="404" t="s">
        <v>438</v>
      </c>
      <c r="F414" s="415" t="s">
        <v>167</v>
      </c>
      <c r="G414" s="416" t="s">
        <v>196</v>
      </c>
      <c r="H414" s="402" t="s">
        <v>183</v>
      </c>
      <c r="I414" s="402" t="s">
        <v>106</v>
      </c>
      <c r="J414" s="402" t="s">
        <v>179</v>
      </c>
      <c r="K414" s="414">
        <v>13.5</v>
      </c>
      <c r="L414" s="408">
        <f t="shared" si="32"/>
        <v>276</v>
      </c>
      <c r="M414" s="409">
        <v>230</v>
      </c>
      <c r="N414" s="306"/>
      <c r="O414" s="409">
        <v>46</v>
      </c>
      <c r="P414" s="410" t="e">
        <f>IF(M414="nio",0,IF(M414&gt;0,M414*K414/S414,0))*VLOOKUP(B414,'2-Kosten per locatie'!$A$14:$C$61,3,FALSE)</f>
        <v>#DIV/0!</v>
      </c>
      <c r="Q414" s="410">
        <f>IF(N414&gt;0,N414*K414/T414,0)*VLOOKUP(B414,'2-Kosten per locatie'!$A$14:$C$61,3,FALSE)</f>
        <v>0</v>
      </c>
      <c r="R414" s="410" t="e">
        <f>IF(O414&gt;0,O414*K414/U414,0)*VLOOKUP(B414,'2-Kosten per locatie'!$A$14:$C$61,3,FALSE)</f>
        <v>#DIV/0!</v>
      </c>
      <c r="S414" s="411">
        <f>IF(M414="nio",0,IF(M414&gt;0,VLOOKUP(I414,'3-Productie normen'!A:P,VLOOKUP(M414,'3-Productie normen'!$B$38:$C$48,2,FALSE),FALSE)))</f>
        <v>0</v>
      </c>
      <c r="T414" s="411">
        <f t="shared" si="33"/>
        <v>0</v>
      </c>
      <c r="U414" s="411">
        <f t="shared" si="36"/>
        <v>0</v>
      </c>
      <c r="V414" s="412"/>
      <c r="X414" s="413">
        <f t="shared" si="34"/>
        <v>3726</v>
      </c>
    </row>
    <row r="415" spans="1:24" ht="14.1" customHeight="1">
      <c r="A415" s="70">
        <f t="shared" si="35"/>
        <v>415</v>
      </c>
      <c r="B415" s="354" t="s">
        <v>60</v>
      </c>
      <c r="C415" s="354" t="s">
        <v>437</v>
      </c>
      <c r="D415" s="354" t="s">
        <v>165</v>
      </c>
      <c r="E415" s="404" t="s">
        <v>438</v>
      </c>
      <c r="F415" s="415" t="s">
        <v>167</v>
      </c>
      <c r="G415" s="416" t="s">
        <v>198</v>
      </c>
      <c r="H415" s="402" t="s">
        <v>462</v>
      </c>
      <c r="I415" s="402" t="s">
        <v>114</v>
      </c>
      <c r="J415" s="402" t="s">
        <v>442</v>
      </c>
      <c r="K415" s="414">
        <v>286</v>
      </c>
      <c r="L415" s="408">
        <f t="shared" si="32"/>
        <v>276</v>
      </c>
      <c r="M415" s="409">
        <v>230</v>
      </c>
      <c r="N415" s="306"/>
      <c r="O415" s="409">
        <v>46</v>
      </c>
      <c r="P415" s="410" t="e">
        <f>IF(M415="nio",0,IF(M415&gt;0,M415*K415/S415,0))*VLOOKUP(B415,'2-Kosten per locatie'!$A$14:$C$61,3,FALSE)</f>
        <v>#DIV/0!</v>
      </c>
      <c r="Q415" s="410">
        <f>IF(N415&gt;0,N415*K415/T415,0)*VLOOKUP(B415,'2-Kosten per locatie'!$A$14:$C$61,3,FALSE)</f>
        <v>0</v>
      </c>
      <c r="R415" s="410" t="e">
        <f>IF(O415&gt;0,O415*K415/U415,0)*VLOOKUP(B415,'2-Kosten per locatie'!$A$14:$C$61,3,FALSE)</f>
        <v>#DIV/0!</v>
      </c>
      <c r="S415" s="411">
        <f>IF(M415="nio",0,IF(M415&gt;0,VLOOKUP(I415,'3-Productie normen'!A:P,VLOOKUP(M415,'3-Productie normen'!$B$38:$C$48,2,FALSE),FALSE)))</f>
        <v>0</v>
      </c>
      <c r="T415" s="411">
        <f t="shared" si="33"/>
        <v>0</v>
      </c>
      <c r="U415" s="411">
        <f t="shared" si="36"/>
        <v>0</v>
      </c>
      <c r="V415" s="412"/>
      <c r="X415" s="413">
        <f t="shared" si="34"/>
        <v>78936</v>
      </c>
    </row>
    <row r="416" spans="1:24" ht="14.1" customHeight="1">
      <c r="A416" s="70">
        <f t="shared" si="35"/>
        <v>416</v>
      </c>
      <c r="B416" s="354" t="s">
        <v>60</v>
      </c>
      <c r="C416" s="354" t="s">
        <v>437</v>
      </c>
      <c r="D416" s="354" t="s">
        <v>165</v>
      </c>
      <c r="E416" s="404" t="s">
        <v>438</v>
      </c>
      <c r="F416" s="415" t="s">
        <v>167</v>
      </c>
      <c r="G416" s="416" t="s">
        <v>199</v>
      </c>
      <c r="H416" s="402" t="s">
        <v>443</v>
      </c>
      <c r="I416" s="402" t="s">
        <v>111</v>
      </c>
      <c r="J416" s="402" t="s">
        <v>179</v>
      </c>
      <c r="K416" s="414">
        <v>21</v>
      </c>
      <c r="L416" s="408">
        <f t="shared" si="32"/>
        <v>276</v>
      </c>
      <c r="M416" s="409">
        <v>230</v>
      </c>
      <c r="N416" s="306"/>
      <c r="O416" s="409">
        <v>46</v>
      </c>
      <c r="P416" s="410" t="e">
        <f>IF(M416="nio",0,IF(M416&gt;0,M416*K416/S416,0))*VLOOKUP(B416,'2-Kosten per locatie'!$A$14:$C$61,3,FALSE)</f>
        <v>#DIV/0!</v>
      </c>
      <c r="Q416" s="410">
        <f>IF(N416&gt;0,N416*K416/T416,0)*VLOOKUP(B416,'2-Kosten per locatie'!$A$14:$C$61,3,FALSE)</f>
        <v>0</v>
      </c>
      <c r="R416" s="410" t="e">
        <f>IF(O416&gt;0,O416*K416/U416,0)*VLOOKUP(B416,'2-Kosten per locatie'!$A$14:$C$61,3,FALSE)</f>
        <v>#DIV/0!</v>
      </c>
      <c r="S416" s="411">
        <f>IF(M416="nio",0,IF(M416&gt;0,VLOOKUP(I416,'3-Productie normen'!A:P,VLOOKUP(M416,'3-Productie normen'!$B$38:$C$48,2,FALSE),FALSE)))</f>
        <v>0</v>
      </c>
      <c r="T416" s="411">
        <f t="shared" si="33"/>
        <v>0</v>
      </c>
      <c r="U416" s="411">
        <f t="shared" si="36"/>
        <v>0</v>
      </c>
      <c r="V416" s="412"/>
      <c r="X416" s="413">
        <f t="shared" si="34"/>
        <v>5796</v>
      </c>
    </row>
    <row r="417" spans="1:24" ht="14.1" customHeight="1">
      <c r="A417" s="70">
        <f t="shared" si="35"/>
        <v>417</v>
      </c>
      <c r="B417" s="354" t="s">
        <v>60</v>
      </c>
      <c r="C417" s="354" t="s">
        <v>437</v>
      </c>
      <c r="D417" s="354" t="s">
        <v>165</v>
      </c>
      <c r="E417" s="404" t="s">
        <v>438</v>
      </c>
      <c r="F417" s="415" t="s">
        <v>167</v>
      </c>
      <c r="G417" s="416" t="s">
        <v>202</v>
      </c>
      <c r="H417" s="402" t="s">
        <v>183</v>
      </c>
      <c r="I417" s="402" t="s">
        <v>106</v>
      </c>
      <c r="J417" s="402" t="s">
        <v>179</v>
      </c>
      <c r="K417" s="414">
        <v>13.5</v>
      </c>
      <c r="L417" s="408">
        <f t="shared" si="32"/>
        <v>276</v>
      </c>
      <c r="M417" s="409">
        <v>230</v>
      </c>
      <c r="N417" s="306"/>
      <c r="O417" s="409">
        <v>46</v>
      </c>
      <c r="P417" s="410" t="e">
        <f>IF(M417="nio",0,IF(M417&gt;0,M417*K417/S417,0))*VLOOKUP(B417,'2-Kosten per locatie'!$A$14:$C$61,3,FALSE)</f>
        <v>#DIV/0!</v>
      </c>
      <c r="Q417" s="410">
        <f>IF(N417&gt;0,N417*K417/T417,0)*VLOOKUP(B417,'2-Kosten per locatie'!$A$14:$C$61,3,FALSE)</f>
        <v>0</v>
      </c>
      <c r="R417" s="410" t="e">
        <f>IF(O417&gt;0,O417*K417/U417,0)*VLOOKUP(B417,'2-Kosten per locatie'!$A$14:$C$61,3,FALSE)</f>
        <v>#DIV/0!</v>
      </c>
      <c r="S417" s="411">
        <f>IF(M417="nio",0,IF(M417&gt;0,VLOOKUP(I417,'3-Productie normen'!A:P,VLOOKUP(M417,'3-Productie normen'!$B$38:$C$48,2,FALSE),FALSE)))</f>
        <v>0</v>
      </c>
      <c r="T417" s="411">
        <f t="shared" si="33"/>
        <v>0</v>
      </c>
      <c r="U417" s="411">
        <f t="shared" si="36"/>
        <v>0</v>
      </c>
      <c r="V417" s="412"/>
      <c r="X417" s="413">
        <f t="shared" si="34"/>
        <v>3726</v>
      </c>
    </row>
    <row r="418" spans="1:24" ht="14.1" customHeight="1">
      <c r="A418" s="70">
        <f t="shared" si="35"/>
        <v>418</v>
      </c>
      <c r="B418" s="354" t="s">
        <v>60</v>
      </c>
      <c r="C418" s="354" t="s">
        <v>437</v>
      </c>
      <c r="D418" s="354" t="s">
        <v>165</v>
      </c>
      <c r="E418" s="404" t="s">
        <v>438</v>
      </c>
      <c r="F418" s="415" t="s">
        <v>167</v>
      </c>
      <c r="G418" s="416" t="s">
        <v>203</v>
      </c>
      <c r="H418" s="402" t="s">
        <v>443</v>
      </c>
      <c r="I418" s="402" t="s">
        <v>111</v>
      </c>
      <c r="J418" s="402" t="s">
        <v>179</v>
      </c>
      <c r="K418" s="414">
        <v>9</v>
      </c>
      <c r="L418" s="408">
        <f t="shared" si="32"/>
        <v>276</v>
      </c>
      <c r="M418" s="409">
        <v>230</v>
      </c>
      <c r="N418" s="306"/>
      <c r="O418" s="409">
        <v>46</v>
      </c>
      <c r="P418" s="410" t="e">
        <f>IF(M418="nio",0,IF(M418&gt;0,M418*K418/S418,0))*VLOOKUP(B418,'2-Kosten per locatie'!$A$14:$C$61,3,FALSE)</f>
        <v>#DIV/0!</v>
      </c>
      <c r="Q418" s="410">
        <f>IF(N418&gt;0,N418*K418/T418,0)*VLOOKUP(B418,'2-Kosten per locatie'!$A$14:$C$61,3,FALSE)</f>
        <v>0</v>
      </c>
      <c r="R418" s="410" t="e">
        <f>IF(O418&gt;0,O418*K418/U418,0)*VLOOKUP(B418,'2-Kosten per locatie'!$A$14:$C$61,3,FALSE)</f>
        <v>#DIV/0!</v>
      </c>
      <c r="S418" s="411">
        <f>IF(M418="nio",0,IF(M418&gt;0,VLOOKUP(I418,'3-Productie normen'!A:P,VLOOKUP(M418,'3-Productie normen'!$B$38:$C$48,2,FALSE),FALSE)))</f>
        <v>0</v>
      </c>
      <c r="T418" s="411">
        <f t="shared" si="33"/>
        <v>0</v>
      </c>
      <c r="U418" s="411">
        <f t="shared" si="36"/>
        <v>0</v>
      </c>
      <c r="V418" s="412"/>
      <c r="X418" s="413">
        <f t="shared" si="34"/>
        <v>2484</v>
      </c>
    </row>
    <row r="419" spans="1:24" ht="14.1" customHeight="1">
      <c r="A419" s="70">
        <f t="shared" si="35"/>
        <v>419</v>
      </c>
      <c r="B419" s="354" t="s">
        <v>60</v>
      </c>
      <c r="C419" s="354" t="s">
        <v>437</v>
      </c>
      <c r="D419" s="354" t="s">
        <v>165</v>
      </c>
      <c r="E419" s="404" t="s">
        <v>438</v>
      </c>
      <c r="F419" s="415" t="s">
        <v>167</v>
      </c>
      <c r="G419" s="416" t="s">
        <v>204</v>
      </c>
      <c r="H419" s="402" t="s">
        <v>183</v>
      </c>
      <c r="I419" s="402" t="s">
        <v>106</v>
      </c>
      <c r="J419" s="402" t="s">
        <v>179</v>
      </c>
      <c r="K419" s="414">
        <v>5</v>
      </c>
      <c r="L419" s="408">
        <f t="shared" si="32"/>
        <v>276</v>
      </c>
      <c r="M419" s="409">
        <v>230</v>
      </c>
      <c r="N419" s="306"/>
      <c r="O419" s="409">
        <v>46</v>
      </c>
      <c r="P419" s="410" t="e">
        <f>IF(M419="nio",0,IF(M419&gt;0,M419*K419/S419,0))*VLOOKUP(B419,'2-Kosten per locatie'!$A$14:$C$61,3,FALSE)</f>
        <v>#DIV/0!</v>
      </c>
      <c r="Q419" s="410">
        <f>IF(N419&gt;0,N419*K419/T419,0)*VLOOKUP(B419,'2-Kosten per locatie'!$A$14:$C$61,3,FALSE)</f>
        <v>0</v>
      </c>
      <c r="R419" s="410" t="e">
        <f>IF(O419&gt;0,O419*K419/U419,0)*VLOOKUP(B419,'2-Kosten per locatie'!$A$14:$C$61,3,FALSE)</f>
        <v>#DIV/0!</v>
      </c>
      <c r="S419" s="411">
        <f>IF(M419="nio",0,IF(M419&gt;0,VLOOKUP(I419,'3-Productie normen'!A:P,VLOOKUP(M419,'3-Productie normen'!$B$38:$C$48,2,FALSE),FALSE)))</f>
        <v>0</v>
      </c>
      <c r="T419" s="411">
        <f t="shared" si="33"/>
        <v>0</v>
      </c>
      <c r="U419" s="411">
        <f t="shared" si="36"/>
        <v>0</v>
      </c>
      <c r="V419" s="412"/>
      <c r="X419" s="413">
        <f t="shared" si="34"/>
        <v>1380</v>
      </c>
    </row>
    <row r="420" spans="1:24" ht="14.1" customHeight="1">
      <c r="A420" s="70">
        <f t="shared" si="35"/>
        <v>420</v>
      </c>
      <c r="B420" s="354" t="s">
        <v>61</v>
      </c>
      <c r="C420" s="354" t="s">
        <v>437</v>
      </c>
      <c r="D420" s="354" t="s">
        <v>165</v>
      </c>
      <c r="E420" s="404" t="s">
        <v>438</v>
      </c>
      <c r="F420" s="415" t="s">
        <v>167</v>
      </c>
      <c r="G420" s="416" t="s">
        <v>191</v>
      </c>
      <c r="H420" s="402" t="s">
        <v>452</v>
      </c>
      <c r="I420" s="402" t="s">
        <v>107</v>
      </c>
      <c r="J420" s="402" t="s">
        <v>179</v>
      </c>
      <c r="K420" s="414">
        <v>16</v>
      </c>
      <c r="L420" s="408">
        <f t="shared" si="32"/>
        <v>276</v>
      </c>
      <c r="M420" s="409">
        <v>230</v>
      </c>
      <c r="N420" s="306"/>
      <c r="O420" s="409">
        <v>46</v>
      </c>
      <c r="P420" s="410" t="e">
        <f>IF(M420="nio",0,IF(M420&gt;0,M420*K420/S420,0))*VLOOKUP(B420,'2-Kosten per locatie'!$A$14:$C$61,3,FALSE)</f>
        <v>#DIV/0!</v>
      </c>
      <c r="Q420" s="410">
        <f>IF(N420&gt;0,N420*K420/T420,0)*VLOOKUP(B420,'2-Kosten per locatie'!$A$14:$C$61,3,FALSE)</f>
        <v>0</v>
      </c>
      <c r="R420" s="410" t="e">
        <f>IF(O420&gt;0,O420*K420/U420,0)*VLOOKUP(B420,'2-Kosten per locatie'!$A$14:$C$61,3,FALSE)</f>
        <v>#DIV/0!</v>
      </c>
      <c r="S420" s="411">
        <f>IF(M420="nio",0,IF(M420&gt;0,VLOOKUP(I420,'3-Productie normen'!A:P,VLOOKUP(M420,'3-Productie normen'!$B$38:$C$48,2,FALSE),FALSE)))</f>
        <v>0</v>
      </c>
      <c r="T420" s="411">
        <f t="shared" si="33"/>
        <v>0</v>
      </c>
      <c r="U420" s="411">
        <f t="shared" si="36"/>
        <v>0</v>
      </c>
      <c r="V420" s="412"/>
      <c r="X420" s="413">
        <f t="shared" si="34"/>
        <v>4416</v>
      </c>
    </row>
    <row r="421" spans="1:24" ht="14.1" customHeight="1">
      <c r="A421" s="70">
        <f t="shared" si="35"/>
        <v>421</v>
      </c>
      <c r="B421" s="354" t="s">
        <v>61</v>
      </c>
      <c r="C421" s="354" t="s">
        <v>437</v>
      </c>
      <c r="D421" s="354" t="s">
        <v>165</v>
      </c>
      <c r="E421" s="404" t="s">
        <v>438</v>
      </c>
      <c r="F421" s="415" t="s">
        <v>167</v>
      </c>
      <c r="G421" s="416" t="s">
        <v>194</v>
      </c>
      <c r="H421" s="402" t="s">
        <v>443</v>
      </c>
      <c r="I421" s="402" t="s">
        <v>111</v>
      </c>
      <c r="J421" s="402" t="s">
        <v>179</v>
      </c>
      <c r="K421" s="414">
        <v>26</v>
      </c>
      <c r="L421" s="408">
        <f t="shared" si="32"/>
        <v>276</v>
      </c>
      <c r="M421" s="409">
        <v>230</v>
      </c>
      <c r="N421" s="306"/>
      <c r="O421" s="409">
        <v>46</v>
      </c>
      <c r="P421" s="410" t="e">
        <f>IF(M421="nio",0,IF(M421&gt;0,M421*K421/S421,0))*VLOOKUP(B421,'2-Kosten per locatie'!$A$14:$C$61,3,FALSE)</f>
        <v>#DIV/0!</v>
      </c>
      <c r="Q421" s="410">
        <f>IF(N421&gt;0,N421*K421/T421,0)*VLOOKUP(B421,'2-Kosten per locatie'!$A$14:$C$61,3,FALSE)</f>
        <v>0</v>
      </c>
      <c r="R421" s="410" t="e">
        <f>IF(O421&gt;0,O421*K421/U421,0)*VLOOKUP(B421,'2-Kosten per locatie'!$A$14:$C$61,3,FALSE)</f>
        <v>#DIV/0!</v>
      </c>
      <c r="S421" s="411">
        <f>IF(M421="nio",0,IF(M421&gt;0,VLOOKUP(I421,'3-Productie normen'!A:P,VLOOKUP(M421,'3-Productie normen'!$B$38:$C$48,2,FALSE),FALSE)))</f>
        <v>0</v>
      </c>
      <c r="T421" s="411">
        <f t="shared" si="33"/>
        <v>0</v>
      </c>
      <c r="U421" s="411">
        <f t="shared" si="36"/>
        <v>0</v>
      </c>
      <c r="V421" s="412"/>
      <c r="X421" s="413">
        <f t="shared" si="34"/>
        <v>7176</v>
      </c>
    </row>
    <row r="422" spans="1:24" ht="14.1" customHeight="1">
      <c r="A422" s="70">
        <f t="shared" si="35"/>
        <v>422</v>
      </c>
      <c r="B422" s="354" t="s">
        <v>61</v>
      </c>
      <c r="C422" s="354" t="s">
        <v>437</v>
      </c>
      <c r="D422" s="354" t="s">
        <v>165</v>
      </c>
      <c r="E422" s="404" t="s">
        <v>438</v>
      </c>
      <c r="F422" s="415" t="s">
        <v>167</v>
      </c>
      <c r="G422" s="416" t="s">
        <v>196</v>
      </c>
      <c r="H422" s="402" t="s">
        <v>183</v>
      </c>
      <c r="I422" s="402" t="s">
        <v>106</v>
      </c>
      <c r="J422" s="402" t="s">
        <v>179</v>
      </c>
      <c r="K422" s="414">
        <v>15.5</v>
      </c>
      <c r="L422" s="408">
        <f t="shared" si="32"/>
        <v>276</v>
      </c>
      <c r="M422" s="409">
        <v>230</v>
      </c>
      <c r="N422" s="306"/>
      <c r="O422" s="409">
        <v>46</v>
      </c>
      <c r="P422" s="410" t="e">
        <f>IF(M422="nio",0,IF(M422&gt;0,M422*K422/S422,0))*VLOOKUP(B422,'2-Kosten per locatie'!$A$14:$C$61,3,FALSE)</f>
        <v>#DIV/0!</v>
      </c>
      <c r="Q422" s="410">
        <f>IF(N422&gt;0,N422*K422/T422,0)*VLOOKUP(B422,'2-Kosten per locatie'!$A$14:$C$61,3,FALSE)</f>
        <v>0</v>
      </c>
      <c r="R422" s="410" t="e">
        <f>IF(O422&gt;0,O422*K422/U422,0)*VLOOKUP(B422,'2-Kosten per locatie'!$A$14:$C$61,3,FALSE)</f>
        <v>#DIV/0!</v>
      </c>
      <c r="S422" s="411">
        <f>IF(M422="nio",0,IF(M422&gt;0,VLOOKUP(I422,'3-Productie normen'!A:P,VLOOKUP(M422,'3-Productie normen'!$B$38:$C$48,2,FALSE),FALSE)))</f>
        <v>0</v>
      </c>
      <c r="T422" s="411">
        <f t="shared" si="33"/>
        <v>0</v>
      </c>
      <c r="U422" s="411">
        <f t="shared" si="36"/>
        <v>0</v>
      </c>
      <c r="V422" s="412"/>
      <c r="X422" s="413">
        <f t="shared" si="34"/>
        <v>4278</v>
      </c>
    </row>
    <row r="423" spans="1:24" ht="14.1" customHeight="1">
      <c r="A423" s="70">
        <f t="shared" si="35"/>
        <v>423</v>
      </c>
      <c r="B423" s="354" t="s">
        <v>61</v>
      </c>
      <c r="C423" s="354" t="s">
        <v>437</v>
      </c>
      <c r="D423" s="354" t="s">
        <v>165</v>
      </c>
      <c r="E423" s="404" t="s">
        <v>438</v>
      </c>
      <c r="F423" s="415" t="s">
        <v>167</v>
      </c>
      <c r="G423" s="416" t="s">
        <v>198</v>
      </c>
      <c r="H423" s="402" t="s">
        <v>460</v>
      </c>
      <c r="I423" s="402" t="s">
        <v>114</v>
      </c>
      <c r="J423" s="402" t="s">
        <v>451</v>
      </c>
      <c r="K423" s="414">
        <v>290</v>
      </c>
      <c r="L423" s="408">
        <f t="shared" si="32"/>
        <v>276</v>
      </c>
      <c r="M423" s="409">
        <v>230</v>
      </c>
      <c r="N423" s="306"/>
      <c r="O423" s="409">
        <v>46</v>
      </c>
      <c r="P423" s="410" t="e">
        <f>IF(M423="nio",0,IF(M423&gt;0,M423*K423/S423,0))*VLOOKUP(B423,'2-Kosten per locatie'!$A$14:$C$61,3,FALSE)</f>
        <v>#DIV/0!</v>
      </c>
      <c r="Q423" s="410">
        <f>IF(N423&gt;0,N423*K423/T423,0)*VLOOKUP(B423,'2-Kosten per locatie'!$A$14:$C$61,3,FALSE)</f>
        <v>0</v>
      </c>
      <c r="R423" s="410" t="e">
        <f>IF(O423&gt;0,O423*K423/U423,0)*VLOOKUP(B423,'2-Kosten per locatie'!$A$14:$C$61,3,FALSE)</f>
        <v>#DIV/0!</v>
      </c>
      <c r="S423" s="411">
        <f>IF(M423="nio",0,IF(M423&gt;0,VLOOKUP(I423,'3-Productie normen'!A:P,VLOOKUP(M423,'3-Productie normen'!$B$38:$C$48,2,FALSE),FALSE)))</f>
        <v>0</v>
      </c>
      <c r="T423" s="411">
        <f t="shared" si="33"/>
        <v>0</v>
      </c>
      <c r="U423" s="411">
        <f t="shared" si="36"/>
        <v>0</v>
      </c>
      <c r="V423" s="412"/>
      <c r="X423" s="413">
        <f t="shared" si="34"/>
        <v>80040</v>
      </c>
    </row>
    <row r="424" spans="1:24" ht="14.1" customHeight="1">
      <c r="A424" s="70">
        <f t="shared" si="35"/>
        <v>424</v>
      </c>
      <c r="B424" s="354" t="s">
        <v>61</v>
      </c>
      <c r="C424" s="354" t="s">
        <v>437</v>
      </c>
      <c r="D424" s="354" t="s">
        <v>165</v>
      </c>
      <c r="E424" s="404" t="s">
        <v>438</v>
      </c>
      <c r="F424" s="415" t="s">
        <v>167</v>
      </c>
      <c r="G424" s="416" t="s">
        <v>199</v>
      </c>
      <c r="H424" s="402" t="s">
        <v>443</v>
      </c>
      <c r="I424" s="402" t="s">
        <v>111</v>
      </c>
      <c r="J424" s="402" t="s">
        <v>179</v>
      </c>
      <c r="K424" s="414">
        <v>26</v>
      </c>
      <c r="L424" s="408">
        <f t="shared" si="32"/>
        <v>276</v>
      </c>
      <c r="M424" s="409">
        <v>230</v>
      </c>
      <c r="N424" s="306"/>
      <c r="O424" s="409">
        <v>46</v>
      </c>
      <c r="P424" s="410" t="e">
        <f>IF(M424="nio",0,IF(M424&gt;0,M424*K424/S424,0))*VLOOKUP(B424,'2-Kosten per locatie'!$A$14:$C$61,3,FALSE)</f>
        <v>#DIV/0!</v>
      </c>
      <c r="Q424" s="410">
        <f>IF(N424&gt;0,N424*K424/T424,0)*VLOOKUP(B424,'2-Kosten per locatie'!$A$14:$C$61,3,FALSE)</f>
        <v>0</v>
      </c>
      <c r="R424" s="410" t="e">
        <f>IF(O424&gt;0,O424*K424/U424,0)*VLOOKUP(B424,'2-Kosten per locatie'!$A$14:$C$61,3,FALSE)</f>
        <v>#DIV/0!</v>
      </c>
      <c r="S424" s="411">
        <f>IF(M424="nio",0,IF(M424&gt;0,VLOOKUP(I424,'3-Productie normen'!A:P,VLOOKUP(M424,'3-Productie normen'!$B$38:$C$48,2,FALSE),FALSE)))</f>
        <v>0</v>
      </c>
      <c r="T424" s="411">
        <f t="shared" si="33"/>
        <v>0</v>
      </c>
      <c r="U424" s="411">
        <f t="shared" si="36"/>
        <v>0</v>
      </c>
      <c r="V424" s="412"/>
      <c r="X424" s="413">
        <f t="shared" si="34"/>
        <v>7176</v>
      </c>
    </row>
    <row r="425" spans="1:24" ht="14.1" customHeight="1">
      <c r="A425" s="70">
        <f t="shared" si="35"/>
        <v>425</v>
      </c>
      <c r="B425" s="354" t="s">
        <v>61</v>
      </c>
      <c r="C425" s="354" t="s">
        <v>437</v>
      </c>
      <c r="D425" s="354" t="s">
        <v>165</v>
      </c>
      <c r="E425" s="404" t="s">
        <v>438</v>
      </c>
      <c r="F425" s="415" t="s">
        <v>167</v>
      </c>
      <c r="G425" s="416" t="s">
        <v>202</v>
      </c>
      <c r="H425" s="402" t="s">
        <v>183</v>
      </c>
      <c r="I425" s="402" t="s">
        <v>106</v>
      </c>
      <c r="J425" s="402" t="s">
        <v>179</v>
      </c>
      <c r="K425" s="414">
        <v>15.5</v>
      </c>
      <c r="L425" s="408">
        <f t="shared" si="32"/>
        <v>276</v>
      </c>
      <c r="M425" s="409">
        <v>230</v>
      </c>
      <c r="N425" s="306"/>
      <c r="O425" s="409">
        <v>46</v>
      </c>
      <c r="P425" s="410" t="e">
        <f>IF(M425="nio",0,IF(M425&gt;0,M425*K425/S425,0))*VLOOKUP(B425,'2-Kosten per locatie'!$A$14:$C$61,3,FALSE)</f>
        <v>#DIV/0!</v>
      </c>
      <c r="Q425" s="410">
        <f>IF(N425&gt;0,N425*K425/T425,0)*VLOOKUP(B425,'2-Kosten per locatie'!$A$14:$C$61,3,FALSE)</f>
        <v>0</v>
      </c>
      <c r="R425" s="410" t="e">
        <f>IF(O425&gt;0,O425*K425/U425,0)*VLOOKUP(B425,'2-Kosten per locatie'!$A$14:$C$61,3,FALSE)</f>
        <v>#DIV/0!</v>
      </c>
      <c r="S425" s="411">
        <f>IF(M425="nio",0,IF(M425&gt;0,VLOOKUP(I425,'3-Productie normen'!A:P,VLOOKUP(M425,'3-Productie normen'!$B$38:$C$48,2,FALSE),FALSE)))</f>
        <v>0</v>
      </c>
      <c r="T425" s="411">
        <f t="shared" si="33"/>
        <v>0</v>
      </c>
      <c r="U425" s="411">
        <f t="shared" si="36"/>
        <v>0</v>
      </c>
      <c r="V425" s="412"/>
      <c r="X425" s="413">
        <f t="shared" si="34"/>
        <v>4278</v>
      </c>
    </row>
    <row r="426" spans="1:24" ht="14.1" customHeight="1">
      <c r="A426" s="70">
        <f t="shared" si="35"/>
        <v>426</v>
      </c>
      <c r="B426" s="354" t="s">
        <v>61</v>
      </c>
      <c r="C426" s="354" t="s">
        <v>437</v>
      </c>
      <c r="D426" s="354" t="s">
        <v>165</v>
      </c>
      <c r="E426" s="404" t="s">
        <v>438</v>
      </c>
      <c r="F426" s="415" t="s">
        <v>167</v>
      </c>
      <c r="G426" s="416" t="s">
        <v>203</v>
      </c>
      <c r="H426" s="402" t="s">
        <v>443</v>
      </c>
      <c r="I426" s="402" t="s">
        <v>111</v>
      </c>
      <c r="J426" s="402" t="s">
        <v>179</v>
      </c>
      <c r="K426" s="414">
        <v>6</v>
      </c>
      <c r="L426" s="408">
        <f t="shared" si="32"/>
        <v>276</v>
      </c>
      <c r="M426" s="409">
        <v>230</v>
      </c>
      <c r="N426" s="306"/>
      <c r="O426" s="409">
        <v>46</v>
      </c>
      <c r="P426" s="410" t="e">
        <f>IF(M426="nio",0,IF(M426&gt;0,M426*K426/S426,0))*VLOOKUP(B426,'2-Kosten per locatie'!$A$14:$C$61,3,FALSE)</f>
        <v>#DIV/0!</v>
      </c>
      <c r="Q426" s="410">
        <f>IF(N426&gt;0,N426*K426/T426,0)*VLOOKUP(B426,'2-Kosten per locatie'!$A$14:$C$61,3,FALSE)</f>
        <v>0</v>
      </c>
      <c r="R426" s="410" t="e">
        <f>IF(O426&gt;0,O426*K426/U426,0)*VLOOKUP(B426,'2-Kosten per locatie'!$A$14:$C$61,3,FALSE)</f>
        <v>#DIV/0!</v>
      </c>
      <c r="S426" s="411">
        <f>IF(M426="nio",0,IF(M426&gt;0,VLOOKUP(I426,'3-Productie normen'!A:P,VLOOKUP(M426,'3-Productie normen'!$B$38:$C$48,2,FALSE),FALSE)))</f>
        <v>0</v>
      </c>
      <c r="T426" s="411">
        <f t="shared" si="33"/>
        <v>0</v>
      </c>
      <c r="U426" s="411">
        <f t="shared" si="36"/>
        <v>0</v>
      </c>
      <c r="V426" s="412"/>
      <c r="X426" s="413">
        <f t="shared" si="34"/>
        <v>1656</v>
      </c>
    </row>
    <row r="427" spans="1:24" ht="14.1" customHeight="1">
      <c r="A427" s="70">
        <f t="shared" si="35"/>
        <v>427</v>
      </c>
      <c r="B427" s="354" t="s">
        <v>62</v>
      </c>
      <c r="C427" s="354" t="s">
        <v>437</v>
      </c>
      <c r="D427" s="354" t="s">
        <v>165</v>
      </c>
      <c r="E427" s="404" t="s">
        <v>438</v>
      </c>
      <c r="F427" s="415" t="s">
        <v>167</v>
      </c>
      <c r="G427" s="416" t="s">
        <v>191</v>
      </c>
      <c r="H427" s="402" t="s">
        <v>187</v>
      </c>
      <c r="I427" s="402" t="s">
        <v>107</v>
      </c>
      <c r="J427" s="402" t="s">
        <v>463</v>
      </c>
      <c r="K427" s="414">
        <v>6</v>
      </c>
      <c r="L427" s="408">
        <f t="shared" si="32"/>
        <v>322</v>
      </c>
      <c r="M427" s="409">
        <v>230</v>
      </c>
      <c r="N427" s="306"/>
      <c r="O427" s="409">
        <v>92</v>
      </c>
      <c r="P427" s="410" t="e">
        <f>IF(M427="nio",0,IF(M427&gt;0,M427*K427/S427,0))*VLOOKUP(B427,'2-Kosten per locatie'!$A$14:$C$61,3,FALSE)</f>
        <v>#DIV/0!</v>
      </c>
      <c r="Q427" s="410">
        <f>IF(N427&gt;0,N427*K427/T427,0)*VLOOKUP(B427,'2-Kosten per locatie'!$A$14:$C$61,3,FALSE)</f>
        <v>0</v>
      </c>
      <c r="R427" s="410" t="e">
        <f>IF(O427&gt;0,O427*K427/U427,0)*VLOOKUP(B427,'2-Kosten per locatie'!$A$14:$C$61,3,FALSE)</f>
        <v>#DIV/0!</v>
      </c>
      <c r="S427" s="411">
        <f>IF(M427="nio",0,IF(M427&gt;0,VLOOKUP(I427,'3-Productie normen'!A:P,VLOOKUP(M427,'3-Productie normen'!$B$38:$C$48,2,FALSE),FALSE)))</f>
        <v>0</v>
      </c>
      <c r="T427" s="411">
        <f t="shared" si="33"/>
        <v>0</v>
      </c>
      <c r="U427" s="411">
        <f t="shared" si="36"/>
        <v>0</v>
      </c>
      <c r="V427" s="412"/>
      <c r="X427" s="413">
        <f t="shared" si="34"/>
        <v>1932</v>
      </c>
    </row>
    <row r="428" spans="1:24" ht="14.1" customHeight="1">
      <c r="A428" s="70">
        <f t="shared" si="35"/>
        <v>428</v>
      </c>
      <c r="B428" s="354" t="s">
        <v>62</v>
      </c>
      <c r="C428" s="354" t="s">
        <v>437</v>
      </c>
      <c r="D428" s="354" t="s">
        <v>165</v>
      </c>
      <c r="E428" s="404" t="s">
        <v>438</v>
      </c>
      <c r="F428" s="415" t="s">
        <v>167</v>
      </c>
      <c r="G428" s="416" t="s">
        <v>194</v>
      </c>
      <c r="H428" s="402" t="s">
        <v>220</v>
      </c>
      <c r="I428" s="402" t="s">
        <v>108</v>
      </c>
      <c r="J428" s="402" t="s">
        <v>179</v>
      </c>
      <c r="K428" s="414">
        <v>36</v>
      </c>
      <c r="L428" s="408">
        <f t="shared" ref="L428:L491" si="37">SUM(M428:O428)</f>
        <v>322</v>
      </c>
      <c r="M428" s="409">
        <v>230</v>
      </c>
      <c r="N428" s="306"/>
      <c r="O428" s="409">
        <v>92</v>
      </c>
      <c r="P428" s="410" t="e">
        <f>IF(M428="nio",0,IF(M428&gt;0,M428*K428/S428,0))*VLOOKUP(B428,'2-Kosten per locatie'!$A$14:$C$61,3,FALSE)</f>
        <v>#DIV/0!</v>
      </c>
      <c r="Q428" s="410">
        <f>IF(N428&gt;0,N428*K428/T428,0)*VLOOKUP(B428,'2-Kosten per locatie'!$A$14:$C$61,3,FALSE)</f>
        <v>0</v>
      </c>
      <c r="R428" s="410" t="e">
        <f>IF(O428&gt;0,O428*K428/U428,0)*VLOOKUP(B428,'2-Kosten per locatie'!$A$14:$C$61,3,FALSE)</f>
        <v>#DIV/0!</v>
      </c>
      <c r="S428" s="411">
        <f>IF(M428="nio",0,IF(M428&gt;0,VLOOKUP(I428,'3-Productie normen'!A:P,VLOOKUP(M428,'3-Productie normen'!$B$38:$C$48,2,FALSE),FALSE)))</f>
        <v>0</v>
      </c>
      <c r="T428" s="411">
        <f t="shared" si="33"/>
        <v>0</v>
      </c>
      <c r="U428" s="411">
        <f t="shared" si="36"/>
        <v>0</v>
      </c>
      <c r="V428" s="412"/>
      <c r="X428" s="413">
        <f t="shared" si="34"/>
        <v>11592</v>
      </c>
    </row>
    <row r="429" spans="1:24" ht="14.1" customHeight="1">
      <c r="A429" s="70">
        <f t="shared" si="35"/>
        <v>429</v>
      </c>
      <c r="B429" s="354" t="s">
        <v>62</v>
      </c>
      <c r="C429" s="354" t="s">
        <v>437</v>
      </c>
      <c r="D429" s="354" t="s">
        <v>165</v>
      </c>
      <c r="E429" s="404" t="s">
        <v>438</v>
      </c>
      <c r="F429" s="415" t="s">
        <v>167</v>
      </c>
      <c r="G429" s="416" t="s">
        <v>196</v>
      </c>
      <c r="H429" s="402" t="s">
        <v>464</v>
      </c>
      <c r="I429" s="402" t="s">
        <v>107</v>
      </c>
      <c r="J429" s="402" t="s">
        <v>218</v>
      </c>
      <c r="K429" s="414">
        <v>13</v>
      </c>
      <c r="L429" s="408">
        <f t="shared" si="37"/>
        <v>322</v>
      </c>
      <c r="M429" s="409">
        <v>230</v>
      </c>
      <c r="N429" s="306"/>
      <c r="O429" s="409">
        <v>92</v>
      </c>
      <c r="P429" s="410" t="e">
        <f>IF(M429="nio",0,IF(M429&gt;0,M429*K429/S429,0))*VLOOKUP(B429,'2-Kosten per locatie'!$A$14:$C$61,3,FALSE)</f>
        <v>#DIV/0!</v>
      </c>
      <c r="Q429" s="410">
        <f>IF(N429&gt;0,N429*K429/T429,0)*VLOOKUP(B429,'2-Kosten per locatie'!$A$14:$C$61,3,FALSE)</f>
        <v>0</v>
      </c>
      <c r="R429" s="410" t="e">
        <f>IF(O429&gt;0,O429*K429/U429,0)*VLOOKUP(B429,'2-Kosten per locatie'!$A$14:$C$61,3,FALSE)</f>
        <v>#DIV/0!</v>
      </c>
      <c r="S429" s="411">
        <f>IF(M429="nio",0,IF(M429&gt;0,VLOOKUP(I429,'3-Productie normen'!A:P,VLOOKUP(M429,'3-Productie normen'!$B$38:$C$48,2,FALSE),FALSE)))</f>
        <v>0</v>
      </c>
      <c r="T429" s="411">
        <f t="shared" si="33"/>
        <v>0</v>
      </c>
      <c r="U429" s="411">
        <f t="shared" si="36"/>
        <v>0</v>
      </c>
      <c r="V429" s="412"/>
      <c r="X429" s="413">
        <f t="shared" si="34"/>
        <v>4186</v>
      </c>
    </row>
    <row r="430" spans="1:24" ht="14.1" customHeight="1">
      <c r="A430" s="70">
        <f t="shared" si="35"/>
        <v>430</v>
      </c>
      <c r="B430" s="354" t="s">
        <v>62</v>
      </c>
      <c r="C430" s="354" t="s">
        <v>437</v>
      </c>
      <c r="D430" s="354" t="s">
        <v>165</v>
      </c>
      <c r="E430" s="404" t="s">
        <v>438</v>
      </c>
      <c r="F430" s="415" t="s">
        <v>167</v>
      </c>
      <c r="G430" s="416" t="s">
        <v>198</v>
      </c>
      <c r="H430" s="402" t="s">
        <v>443</v>
      </c>
      <c r="I430" s="402" t="s">
        <v>111</v>
      </c>
      <c r="J430" s="402" t="s">
        <v>218</v>
      </c>
      <c r="K430" s="414">
        <v>32</v>
      </c>
      <c r="L430" s="408">
        <f t="shared" si="37"/>
        <v>322</v>
      </c>
      <c r="M430" s="409">
        <v>230</v>
      </c>
      <c r="N430" s="306"/>
      <c r="O430" s="409">
        <v>92</v>
      </c>
      <c r="P430" s="410" t="e">
        <f>IF(M430="nio",0,IF(M430&gt;0,M430*K430/S430,0))*VLOOKUP(B430,'2-Kosten per locatie'!$A$14:$C$61,3,FALSE)</f>
        <v>#DIV/0!</v>
      </c>
      <c r="Q430" s="410">
        <f>IF(N430&gt;0,N430*K430/T430,0)*VLOOKUP(B430,'2-Kosten per locatie'!$A$14:$C$61,3,FALSE)</f>
        <v>0</v>
      </c>
      <c r="R430" s="410" t="e">
        <f>IF(O430&gt;0,O430*K430/U430,0)*VLOOKUP(B430,'2-Kosten per locatie'!$A$14:$C$61,3,FALSE)</f>
        <v>#DIV/0!</v>
      </c>
      <c r="S430" s="411">
        <f>IF(M430="nio",0,IF(M430&gt;0,VLOOKUP(I430,'3-Productie normen'!A:P,VLOOKUP(M430,'3-Productie normen'!$B$38:$C$48,2,FALSE),FALSE)))</f>
        <v>0</v>
      </c>
      <c r="T430" s="411">
        <f t="shared" si="33"/>
        <v>0</v>
      </c>
      <c r="U430" s="411">
        <f t="shared" si="36"/>
        <v>0</v>
      </c>
      <c r="V430" s="412"/>
      <c r="X430" s="413">
        <f t="shared" si="34"/>
        <v>10304</v>
      </c>
    </row>
    <row r="431" spans="1:24" ht="14.1" customHeight="1">
      <c r="A431" s="70">
        <f t="shared" si="35"/>
        <v>431</v>
      </c>
      <c r="B431" s="354" t="s">
        <v>62</v>
      </c>
      <c r="C431" s="354" t="s">
        <v>437</v>
      </c>
      <c r="D431" s="354" t="s">
        <v>165</v>
      </c>
      <c r="E431" s="404" t="s">
        <v>438</v>
      </c>
      <c r="F431" s="415" t="s">
        <v>167</v>
      </c>
      <c r="G431" s="416" t="s">
        <v>199</v>
      </c>
      <c r="H431" s="402" t="s">
        <v>183</v>
      </c>
      <c r="I431" s="402" t="s">
        <v>106</v>
      </c>
      <c r="J431" s="402" t="s">
        <v>179</v>
      </c>
      <c r="K431" s="414">
        <v>15.5</v>
      </c>
      <c r="L431" s="408">
        <f t="shared" si="37"/>
        <v>322</v>
      </c>
      <c r="M431" s="409">
        <v>230</v>
      </c>
      <c r="N431" s="306"/>
      <c r="O431" s="409">
        <v>92</v>
      </c>
      <c r="P431" s="410" t="e">
        <f>IF(M431="nio",0,IF(M431&gt;0,M431*K431/S431,0))*VLOOKUP(B431,'2-Kosten per locatie'!$A$14:$C$61,3,FALSE)</f>
        <v>#DIV/0!</v>
      </c>
      <c r="Q431" s="410">
        <f>IF(N431&gt;0,N431*K431/T431,0)*VLOOKUP(B431,'2-Kosten per locatie'!$A$14:$C$61,3,FALSE)</f>
        <v>0</v>
      </c>
      <c r="R431" s="410" t="e">
        <f>IF(O431&gt;0,O431*K431/U431,0)*VLOOKUP(B431,'2-Kosten per locatie'!$A$14:$C$61,3,FALSE)</f>
        <v>#DIV/0!</v>
      </c>
      <c r="S431" s="411">
        <f>IF(M431="nio",0,IF(M431&gt;0,VLOOKUP(I431,'3-Productie normen'!A:P,VLOOKUP(M431,'3-Productie normen'!$B$38:$C$48,2,FALSE),FALSE)))</f>
        <v>0</v>
      </c>
      <c r="T431" s="411">
        <f t="shared" si="33"/>
        <v>0</v>
      </c>
      <c r="U431" s="411">
        <f t="shared" si="36"/>
        <v>0</v>
      </c>
      <c r="V431" s="412"/>
      <c r="X431" s="413">
        <f t="shared" si="34"/>
        <v>4991</v>
      </c>
    </row>
    <row r="432" spans="1:24" ht="14.1" customHeight="1">
      <c r="A432" s="70">
        <f t="shared" si="35"/>
        <v>432</v>
      </c>
      <c r="B432" s="354" t="s">
        <v>62</v>
      </c>
      <c r="C432" s="354" t="s">
        <v>437</v>
      </c>
      <c r="D432" s="354" t="s">
        <v>165</v>
      </c>
      <c r="E432" s="404" t="s">
        <v>438</v>
      </c>
      <c r="F432" s="415" t="s">
        <v>167</v>
      </c>
      <c r="G432" s="416" t="s">
        <v>202</v>
      </c>
      <c r="H432" s="402" t="s">
        <v>460</v>
      </c>
      <c r="I432" s="402" t="s">
        <v>114</v>
      </c>
      <c r="J432" s="402" t="s">
        <v>465</v>
      </c>
      <c r="K432" s="414">
        <v>312</v>
      </c>
      <c r="L432" s="408">
        <f t="shared" si="37"/>
        <v>322</v>
      </c>
      <c r="M432" s="409">
        <v>230</v>
      </c>
      <c r="N432" s="306"/>
      <c r="O432" s="409">
        <v>92</v>
      </c>
      <c r="P432" s="410" t="e">
        <f>IF(M432="nio",0,IF(M432&gt;0,M432*K432/S432,0))*VLOOKUP(B432,'2-Kosten per locatie'!$A$14:$C$61,3,FALSE)</f>
        <v>#DIV/0!</v>
      </c>
      <c r="Q432" s="410">
        <f>IF(N432&gt;0,N432*K432/T432,0)*VLOOKUP(B432,'2-Kosten per locatie'!$A$14:$C$61,3,FALSE)</f>
        <v>0</v>
      </c>
      <c r="R432" s="410" t="e">
        <f>IF(O432&gt;0,O432*K432/U432,0)*VLOOKUP(B432,'2-Kosten per locatie'!$A$14:$C$61,3,FALSE)</f>
        <v>#DIV/0!</v>
      </c>
      <c r="S432" s="411">
        <f>IF(M432="nio",0,IF(M432&gt;0,VLOOKUP(I432,'3-Productie normen'!A:P,VLOOKUP(M432,'3-Productie normen'!$B$38:$C$48,2,FALSE),FALSE)))</f>
        <v>0</v>
      </c>
      <c r="T432" s="411">
        <f t="shared" si="33"/>
        <v>0</v>
      </c>
      <c r="U432" s="411">
        <f t="shared" si="36"/>
        <v>0</v>
      </c>
      <c r="V432" s="412"/>
      <c r="X432" s="413">
        <f t="shared" si="34"/>
        <v>100464</v>
      </c>
    </row>
    <row r="433" spans="1:25" ht="14.1" customHeight="1">
      <c r="A433" s="70">
        <f t="shared" si="35"/>
        <v>433</v>
      </c>
      <c r="B433" s="354" t="s">
        <v>62</v>
      </c>
      <c r="C433" s="354" t="s">
        <v>437</v>
      </c>
      <c r="D433" s="354" t="s">
        <v>165</v>
      </c>
      <c r="E433" s="404" t="s">
        <v>438</v>
      </c>
      <c r="F433" s="415" t="s">
        <v>167</v>
      </c>
      <c r="G433" s="416" t="s">
        <v>203</v>
      </c>
      <c r="H433" s="402" t="s">
        <v>443</v>
      </c>
      <c r="I433" s="402" t="s">
        <v>111</v>
      </c>
      <c r="J433" s="402" t="s">
        <v>179</v>
      </c>
      <c r="K433" s="414">
        <v>32</v>
      </c>
      <c r="L433" s="408">
        <f t="shared" si="37"/>
        <v>322</v>
      </c>
      <c r="M433" s="409">
        <v>230</v>
      </c>
      <c r="N433" s="306"/>
      <c r="O433" s="409">
        <v>92</v>
      </c>
      <c r="P433" s="410" t="e">
        <f>IF(M433="nio",0,IF(M433&gt;0,M433*K433/S433,0))*VLOOKUP(B433,'2-Kosten per locatie'!$A$14:$C$61,3,FALSE)</f>
        <v>#DIV/0!</v>
      </c>
      <c r="Q433" s="410">
        <f>IF(N433&gt;0,N433*K433/T433,0)*VLOOKUP(B433,'2-Kosten per locatie'!$A$14:$C$61,3,FALSE)</f>
        <v>0</v>
      </c>
      <c r="R433" s="410" t="e">
        <f>IF(O433&gt;0,O433*K433/U433,0)*VLOOKUP(B433,'2-Kosten per locatie'!$A$14:$C$61,3,FALSE)</f>
        <v>#DIV/0!</v>
      </c>
      <c r="S433" s="411">
        <f>IF(M433="nio",0,IF(M433&gt;0,VLOOKUP(I433,'3-Productie normen'!A:P,VLOOKUP(M433,'3-Productie normen'!$B$38:$C$48,2,FALSE),FALSE)))</f>
        <v>0</v>
      </c>
      <c r="T433" s="411">
        <f t="shared" si="33"/>
        <v>0</v>
      </c>
      <c r="U433" s="411">
        <f t="shared" si="36"/>
        <v>0</v>
      </c>
      <c r="V433" s="412"/>
      <c r="X433" s="413">
        <f t="shared" si="34"/>
        <v>10304</v>
      </c>
    </row>
    <row r="434" spans="1:25" ht="14.1" customHeight="1">
      <c r="A434" s="70">
        <f t="shared" si="35"/>
        <v>434</v>
      </c>
      <c r="B434" s="354" t="s">
        <v>62</v>
      </c>
      <c r="C434" s="354" t="s">
        <v>437</v>
      </c>
      <c r="D434" s="354" t="s">
        <v>165</v>
      </c>
      <c r="E434" s="404" t="s">
        <v>438</v>
      </c>
      <c r="F434" s="415" t="s">
        <v>167</v>
      </c>
      <c r="G434" s="416" t="s">
        <v>204</v>
      </c>
      <c r="H434" s="402" t="s">
        <v>183</v>
      </c>
      <c r="I434" s="402" t="s">
        <v>106</v>
      </c>
      <c r="J434" s="402" t="s">
        <v>179</v>
      </c>
      <c r="K434" s="414">
        <v>15.5</v>
      </c>
      <c r="L434" s="408">
        <f t="shared" si="37"/>
        <v>322</v>
      </c>
      <c r="M434" s="409">
        <v>230</v>
      </c>
      <c r="N434" s="306"/>
      <c r="O434" s="409">
        <v>92</v>
      </c>
      <c r="P434" s="410" t="e">
        <f>IF(M434="nio",0,IF(M434&gt;0,M434*K434/S434,0))*VLOOKUP(B434,'2-Kosten per locatie'!$A$14:$C$61,3,FALSE)</f>
        <v>#DIV/0!</v>
      </c>
      <c r="Q434" s="410">
        <f>IF(N434&gt;0,N434*K434/T434,0)*VLOOKUP(B434,'2-Kosten per locatie'!$A$14:$C$61,3,FALSE)</f>
        <v>0</v>
      </c>
      <c r="R434" s="410" t="e">
        <f>IF(O434&gt;0,O434*K434/U434,0)*VLOOKUP(B434,'2-Kosten per locatie'!$A$14:$C$61,3,FALSE)</f>
        <v>#DIV/0!</v>
      </c>
      <c r="S434" s="411">
        <f>IF(M434="nio",0,IF(M434&gt;0,VLOOKUP(I434,'3-Productie normen'!A:P,VLOOKUP(M434,'3-Productie normen'!$B$38:$C$48,2,FALSE),FALSE)))</f>
        <v>0</v>
      </c>
      <c r="T434" s="411">
        <f t="shared" si="33"/>
        <v>0</v>
      </c>
      <c r="U434" s="411">
        <f t="shared" si="36"/>
        <v>0</v>
      </c>
      <c r="V434" s="412"/>
      <c r="X434" s="413">
        <f t="shared" si="34"/>
        <v>4991</v>
      </c>
    </row>
    <row r="435" spans="1:25" ht="14.1" customHeight="1">
      <c r="A435" s="70">
        <f t="shared" si="35"/>
        <v>435</v>
      </c>
      <c r="B435" s="354" t="s">
        <v>63</v>
      </c>
      <c r="C435" s="354" t="s">
        <v>437</v>
      </c>
      <c r="D435" s="354" t="s">
        <v>165</v>
      </c>
      <c r="E435" s="404" t="s">
        <v>438</v>
      </c>
      <c r="F435" s="415" t="s">
        <v>273</v>
      </c>
      <c r="G435" s="416" t="s">
        <v>257</v>
      </c>
      <c r="H435" s="402" t="s">
        <v>466</v>
      </c>
      <c r="I435" s="402" t="s">
        <v>107</v>
      </c>
      <c r="J435" s="402" t="s">
        <v>218</v>
      </c>
      <c r="K435" s="414">
        <v>80</v>
      </c>
      <c r="L435" s="408">
        <f t="shared" si="37"/>
        <v>230</v>
      </c>
      <c r="M435" s="409">
        <v>230</v>
      </c>
      <c r="N435" s="306"/>
      <c r="O435" s="409"/>
      <c r="P435" s="410" t="e">
        <f>IF(M435="nio",0,IF(M435&gt;0,M435*K435/S435,0))*VLOOKUP(B435,'2-Kosten per locatie'!$A$14:$C$61,3,FALSE)</f>
        <v>#DIV/0!</v>
      </c>
      <c r="Q435" s="410">
        <f>IF(N435&gt;0,N435*K435/T435,0)*VLOOKUP(B435,'2-Kosten per locatie'!$A$14:$C$61,3,FALSE)</f>
        <v>0</v>
      </c>
      <c r="R435" s="410">
        <f>IF(O435&gt;0,O435*K435/U435,0)*VLOOKUP(B435,'2-Kosten per locatie'!$A$14:$C$61,3,FALSE)</f>
        <v>0</v>
      </c>
      <c r="S435" s="411">
        <f>IF(M435="nio",0,IF(M435&gt;0,VLOOKUP(I435,'3-Productie normen'!A:P,VLOOKUP(M435,'3-Productie normen'!$B$38:$C$48,2,FALSE),FALSE)))</f>
        <v>0</v>
      </c>
      <c r="T435" s="411">
        <f t="shared" si="33"/>
        <v>0</v>
      </c>
      <c r="U435" s="411">
        <f t="shared" si="36"/>
        <v>0</v>
      </c>
      <c r="V435" s="412"/>
      <c r="X435" s="413">
        <f t="shared" si="34"/>
        <v>18400</v>
      </c>
    </row>
    <row r="436" spans="1:25" ht="14.1" customHeight="1">
      <c r="A436" s="70">
        <f t="shared" si="35"/>
        <v>436</v>
      </c>
      <c r="B436" s="354" t="s">
        <v>63</v>
      </c>
      <c r="C436" s="354" t="s">
        <v>437</v>
      </c>
      <c r="D436" s="354" t="s">
        <v>165</v>
      </c>
      <c r="E436" s="404" t="s">
        <v>438</v>
      </c>
      <c r="F436" s="415" t="s">
        <v>273</v>
      </c>
      <c r="G436" s="416" t="s">
        <v>258</v>
      </c>
      <c r="H436" s="402" t="s">
        <v>443</v>
      </c>
      <c r="I436" s="402" t="s">
        <v>111</v>
      </c>
      <c r="J436" s="402" t="s">
        <v>184</v>
      </c>
      <c r="K436" s="414">
        <v>22</v>
      </c>
      <c r="L436" s="408">
        <f t="shared" si="37"/>
        <v>230</v>
      </c>
      <c r="M436" s="409">
        <v>230</v>
      </c>
      <c r="N436" s="306"/>
      <c r="O436" s="409"/>
      <c r="P436" s="410" t="e">
        <f>IF(M436="nio",0,IF(M436&gt;0,M436*K436/S436,0))*VLOOKUP(B436,'2-Kosten per locatie'!$A$14:$C$61,3,FALSE)</f>
        <v>#DIV/0!</v>
      </c>
      <c r="Q436" s="410">
        <f>IF(N436&gt;0,N436*K436/T436,0)*VLOOKUP(B436,'2-Kosten per locatie'!$A$14:$C$61,3,FALSE)</f>
        <v>0</v>
      </c>
      <c r="R436" s="410">
        <f>IF(O436&gt;0,O436*K436/U436,0)*VLOOKUP(B436,'2-Kosten per locatie'!$A$14:$C$61,3,FALSE)</f>
        <v>0</v>
      </c>
      <c r="S436" s="411">
        <f>IF(M436="nio",0,IF(M436&gt;0,VLOOKUP(I436,'3-Productie normen'!A:P,VLOOKUP(M436,'3-Productie normen'!$B$38:$C$48,2,FALSE),FALSE)))</f>
        <v>0</v>
      </c>
      <c r="T436" s="411">
        <f t="shared" si="33"/>
        <v>0</v>
      </c>
      <c r="U436" s="411">
        <f t="shared" si="36"/>
        <v>0</v>
      </c>
      <c r="V436" s="412"/>
      <c r="X436" s="413">
        <f t="shared" si="34"/>
        <v>5060</v>
      </c>
    </row>
    <row r="437" spans="1:25" ht="14.1" customHeight="1">
      <c r="A437" s="70">
        <f t="shared" si="35"/>
        <v>437</v>
      </c>
      <c r="B437" s="354" t="s">
        <v>63</v>
      </c>
      <c r="C437" s="354" t="s">
        <v>437</v>
      </c>
      <c r="D437" s="354" t="s">
        <v>165</v>
      </c>
      <c r="E437" s="404" t="s">
        <v>438</v>
      </c>
      <c r="F437" s="415" t="s">
        <v>273</v>
      </c>
      <c r="G437" s="416" t="s">
        <v>259</v>
      </c>
      <c r="H437" s="402" t="s">
        <v>183</v>
      </c>
      <c r="I437" s="402" t="s">
        <v>106</v>
      </c>
      <c r="J437" s="402" t="s">
        <v>184</v>
      </c>
      <c r="K437" s="414">
        <v>17</v>
      </c>
      <c r="L437" s="408">
        <f t="shared" si="37"/>
        <v>230</v>
      </c>
      <c r="M437" s="409">
        <v>230</v>
      </c>
      <c r="N437" s="306"/>
      <c r="O437" s="409"/>
      <c r="P437" s="410" t="e">
        <f>IF(M437="nio",0,IF(M437&gt;0,M437*K437/S437,0))*VLOOKUP(B437,'2-Kosten per locatie'!$A$14:$C$61,3,FALSE)</f>
        <v>#DIV/0!</v>
      </c>
      <c r="Q437" s="410">
        <f>IF(N437&gt;0,N437*K437/T437,0)*VLOOKUP(B437,'2-Kosten per locatie'!$A$14:$C$61,3,FALSE)</f>
        <v>0</v>
      </c>
      <c r="R437" s="410">
        <f>IF(O437&gt;0,O437*K437/U437,0)*VLOOKUP(B437,'2-Kosten per locatie'!$A$14:$C$61,3,FALSE)</f>
        <v>0</v>
      </c>
      <c r="S437" s="411">
        <f>IF(M437="nio",0,IF(M437&gt;0,VLOOKUP(I437,'3-Productie normen'!A:P,VLOOKUP(M437,'3-Productie normen'!$B$38:$C$48,2,FALSE),FALSE)))</f>
        <v>0</v>
      </c>
      <c r="T437" s="411">
        <f t="shared" si="33"/>
        <v>0</v>
      </c>
      <c r="U437" s="411">
        <f t="shared" si="36"/>
        <v>0</v>
      </c>
      <c r="V437" s="412"/>
      <c r="X437" s="413">
        <f t="shared" si="34"/>
        <v>3910</v>
      </c>
    </row>
    <row r="438" spans="1:25" ht="14.1" customHeight="1">
      <c r="A438" s="70">
        <f t="shared" si="35"/>
        <v>438</v>
      </c>
      <c r="B438" s="354" t="s">
        <v>63</v>
      </c>
      <c r="C438" s="354" t="s">
        <v>437</v>
      </c>
      <c r="D438" s="354" t="s">
        <v>165</v>
      </c>
      <c r="E438" s="404" t="s">
        <v>438</v>
      </c>
      <c r="F438" s="405" t="s">
        <v>273</v>
      </c>
      <c r="G438" s="406" t="s">
        <v>260</v>
      </c>
      <c r="H438" s="420" t="s">
        <v>290</v>
      </c>
      <c r="I438" s="420" t="s">
        <v>108</v>
      </c>
      <c r="J438" s="399" t="s">
        <v>184</v>
      </c>
      <c r="K438" s="414">
        <v>3</v>
      </c>
      <c r="L438" s="408">
        <f t="shared" si="37"/>
        <v>230</v>
      </c>
      <c r="M438" s="409">
        <v>230</v>
      </c>
      <c r="N438" s="306"/>
      <c r="O438" s="409"/>
      <c r="P438" s="410" t="e">
        <f>IF(M438="nio",0,IF(M438&gt;0,M438*K438/S438,0))*VLOOKUP(B438,'2-Kosten per locatie'!$A$14:$C$61,3,FALSE)</f>
        <v>#DIV/0!</v>
      </c>
      <c r="Q438" s="410">
        <f>IF(N438&gt;0,N438*K438/T438,0)*VLOOKUP(B438,'2-Kosten per locatie'!$A$14:$C$61,3,FALSE)</f>
        <v>0</v>
      </c>
      <c r="R438" s="410">
        <f>IF(O438&gt;0,O438*K438/U438,0)*VLOOKUP(B438,'2-Kosten per locatie'!$A$14:$C$61,3,FALSE)</f>
        <v>0</v>
      </c>
      <c r="S438" s="411">
        <f>IF(M438="nio",0,IF(M438&gt;0,VLOOKUP(I438,'3-Productie normen'!A:P,VLOOKUP(M438,'3-Productie normen'!$B$38:$C$48,2,FALSE),FALSE)))</f>
        <v>0</v>
      </c>
      <c r="T438" s="411">
        <f t="shared" si="33"/>
        <v>0</v>
      </c>
      <c r="U438" s="411">
        <f t="shared" si="36"/>
        <v>0</v>
      </c>
      <c r="V438" s="412"/>
      <c r="X438" s="413">
        <f t="shared" si="34"/>
        <v>690</v>
      </c>
      <c r="Y438" s="15"/>
    </row>
    <row r="439" spans="1:25" ht="14.1" customHeight="1">
      <c r="A439" s="70">
        <f t="shared" si="35"/>
        <v>439</v>
      </c>
      <c r="B439" s="354" t="s">
        <v>63</v>
      </c>
      <c r="C439" s="354" t="s">
        <v>437</v>
      </c>
      <c r="D439" s="354" t="s">
        <v>165</v>
      </c>
      <c r="E439" s="404" t="s">
        <v>438</v>
      </c>
      <c r="F439" s="405" t="s">
        <v>273</v>
      </c>
      <c r="G439" s="406" t="s">
        <v>261</v>
      </c>
      <c r="H439" s="420" t="s">
        <v>467</v>
      </c>
      <c r="I439" s="420" t="s">
        <v>114</v>
      </c>
      <c r="J439" s="399" t="s">
        <v>445</v>
      </c>
      <c r="K439" s="414">
        <v>52</v>
      </c>
      <c r="L439" s="408">
        <f t="shared" si="37"/>
        <v>230</v>
      </c>
      <c r="M439" s="409">
        <v>230</v>
      </c>
      <c r="N439" s="306"/>
      <c r="O439" s="409"/>
      <c r="P439" s="410" t="e">
        <f>IF(M439="nio",0,IF(M439&gt;0,M439*K439/S439,0))*VLOOKUP(B439,'2-Kosten per locatie'!$A$14:$C$61,3,FALSE)</f>
        <v>#DIV/0!</v>
      </c>
      <c r="Q439" s="410">
        <f>IF(N439&gt;0,N439*K439/T439,0)*VLOOKUP(B439,'2-Kosten per locatie'!$A$14:$C$61,3,FALSE)</f>
        <v>0</v>
      </c>
      <c r="R439" s="410">
        <f>IF(O439&gt;0,O439*K439/U439,0)*VLOOKUP(B439,'2-Kosten per locatie'!$A$14:$C$61,3,FALSE)</f>
        <v>0</v>
      </c>
      <c r="S439" s="411">
        <f>IF(M439="nio",0,IF(M439&gt;0,VLOOKUP(I439,'3-Productie normen'!A:P,VLOOKUP(M439,'3-Productie normen'!$B$38:$C$48,2,FALSE),FALSE)))</f>
        <v>0</v>
      </c>
      <c r="T439" s="411">
        <f t="shared" si="33"/>
        <v>0</v>
      </c>
      <c r="U439" s="411">
        <f t="shared" si="36"/>
        <v>0</v>
      </c>
      <c r="V439" s="412"/>
      <c r="X439" s="413">
        <f t="shared" si="34"/>
        <v>11960</v>
      </c>
      <c r="Y439" s="15"/>
    </row>
    <row r="440" spans="1:25" ht="14.1" customHeight="1">
      <c r="A440" s="70">
        <f t="shared" si="35"/>
        <v>440</v>
      </c>
      <c r="B440" s="354" t="s">
        <v>63</v>
      </c>
      <c r="C440" s="354" t="s">
        <v>437</v>
      </c>
      <c r="D440" s="354" t="s">
        <v>165</v>
      </c>
      <c r="E440" s="404" t="s">
        <v>438</v>
      </c>
      <c r="F440" s="405" t="s">
        <v>273</v>
      </c>
      <c r="G440" s="406" t="s">
        <v>262</v>
      </c>
      <c r="H440" s="420" t="s">
        <v>441</v>
      </c>
      <c r="I440" s="420" t="s">
        <v>114</v>
      </c>
      <c r="J440" s="399" t="s">
        <v>442</v>
      </c>
      <c r="K440" s="414">
        <v>660</v>
      </c>
      <c r="L440" s="408">
        <f t="shared" si="37"/>
        <v>230</v>
      </c>
      <c r="M440" s="409">
        <v>230</v>
      </c>
      <c r="N440" s="306"/>
      <c r="O440" s="409"/>
      <c r="P440" s="410" t="e">
        <f>IF(M440="nio",0,IF(M440&gt;0,M440*K440/S440,0))*VLOOKUP(B440,'2-Kosten per locatie'!$A$14:$C$61,3,FALSE)</f>
        <v>#DIV/0!</v>
      </c>
      <c r="Q440" s="410">
        <f>IF(N440&gt;0,N440*K440/T440,0)*VLOOKUP(B440,'2-Kosten per locatie'!$A$14:$C$61,3,FALSE)</f>
        <v>0</v>
      </c>
      <c r="R440" s="410">
        <f>IF(O440&gt;0,O440*K440/U440,0)*VLOOKUP(B440,'2-Kosten per locatie'!$A$14:$C$61,3,FALSE)</f>
        <v>0</v>
      </c>
      <c r="S440" s="411">
        <f>IF(M440="nio",0,IF(M440&gt;0,VLOOKUP(I440,'3-Productie normen'!A:P,VLOOKUP(M440,'3-Productie normen'!$B$38:$C$48,2,FALSE),FALSE)))</f>
        <v>0</v>
      </c>
      <c r="T440" s="411">
        <f t="shared" si="33"/>
        <v>0</v>
      </c>
      <c r="U440" s="411">
        <f t="shared" si="36"/>
        <v>0</v>
      </c>
      <c r="V440" s="412"/>
      <c r="X440" s="413">
        <f t="shared" si="34"/>
        <v>151800</v>
      </c>
      <c r="Y440" s="15"/>
    </row>
    <row r="441" spans="1:25" ht="14.1" customHeight="1">
      <c r="A441" s="70">
        <f t="shared" si="35"/>
        <v>441</v>
      </c>
      <c r="B441" s="354" t="s">
        <v>63</v>
      </c>
      <c r="C441" s="354" t="s">
        <v>437</v>
      </c>
      <c r="D441" s="354" t="s">
        <v>165</v>
      </c>
      <c r="E441" s="404" t="s">
        <v>438</v>
      </c>
      <c r="F441" s="405" t="s">
        <v>273</v>
      </c>
      <c r="G441" s="406" t="s">
        <v>263</v>
      </c>
      <c r="H441" s="420" t="s">
        <v>467</v>
      </c>
      <c r="I441" s="420" t="s">
        <v>114</v>
      </c>
      <c r="J441" s="399" t="s">
        <v>445</v>
      </c>
      <c r="K441" s="414">
        <v>32</v>
      </c>
      <c r="L441" s="408">
        <f t="shared" si="37"/>
        <v>230</v>
      </c>
      <c r="M441" s="409">
        <v>230</v>
      </c>
      <c r="N441" s="306"/>
      <c r="O441" s="409"/>
      <c r="P441" s="410" t="e">
        <f>IF(M441="nio",0,IF(M441&gt;0,M441*K441/S441,0))*VLOOKUP(B441,'2-Kosten per locatie'!$A$14:$C$61,3,FALSE)</f>
        <v>#DIV/0!</v>
      </c>
      <c r="Q441" s="410">
        <f>IF(N441&gt;0,N441*K441/T441,0)*VLOOKUP(B441,'2-Kosten per locatie'!$A$14:$C$61,3,FALSE)</f>
        <v>0</v>
      </c>
      <c r="R441" s="410">
        <f>IF(O441&gt;0,O441*K441/U441,0)*VLOOKUP(B441,'2-Kosten per locatie'!$A$14:$C$61,3,FALSE)</f>
        <v>0</v>
      </c>
      <c r="S441" s="411">
        <f>IF(M441="nio",0,IF(M441&gt;0,VLOOKUP(I441,'3-Productie normen'!A:P,VLOOKUP(M441,'3-Productie normen'!$B$38:$C$48,2,FALSE),FALSE)))</f>
        <v>0</v>
      </c>
      <c r="T441" s="411">
        <f t="shared" si="33"/>
        <v>0</v>
      </c>
      <c r="U441" s="411">
        <f t="shared" si="36"/>
        <v>0</v>
      </c>
      <c r="V441" s="412"/>
      <c r="X441" s="413">
        <f t="shared" si="34"/>
        <v>7360</v>
      </c>
      <c r="Y441" s="15"/>
    </row>
    <row r="442" spans="1:25" ht="14.1" customHeight="1">
      <c r="A442" s="70">
        <f t="shared" si="35"/>
        <v>442</v>
      </c>
      <c r="B442" s="354" t="s">
        <v>63</v>
      </c>
      <c r="C442" s="354" t="s">
        <v>437</v>
      </c>
      <c r="D442" s="354" t="s">
        <v>165</v>
      </c>
      <c r="E442" s="404" t="s">
        <v>438</v>
      </c>
      <c r="F442" s="405" t="s">
        <v>273</v>
      </c>
      <c r="G442" s="406" t="s">
        <v>264</v>
      </c>
      <c r="H442" s="420" t="s">
        <v>307</v>
      </c>
      <c r="I442" s="420" t="s">
        <v>106</v>
      </c>
      <c r="J442" s="399" t="s">
        <v>184</v>
      </c>
      <c r="K442" s="414">
        <v>19.5</v>
      </c>
      <c r="L442" s="408">
        <f t="shared" si="37"/>
        <v>230</v>
      </c>
      <c r="M442" s="409">
        <v>230</v>
      </c>
      <c r="N442" s="306"/>
      <c r="O442" s="409"/>
      <c r="P442" s="410" t="e">
        <f>IF(M442="nio",0,IF(M442&gt;0,M442*K442/S442,0))*VLOOKUP(B442,'2-Kosten per locatie'!$A$14:$C$61,3,FALSE)</f>
        <v>#DIV/0!</v>
      </c>
      <c r="Q442" s="410">
        <f>IF(N442&gt;0,N442*K442/T442,0)*VLOOKUP(B442,'2-Kosten per locatie'!$A$14:$C$61,3,FALSE)</f>
        <v>0</v>
      </c>
      <c r="R442" s="410">
        <f>IF(O442&gt;0,O442*K442/U442,0)*VLOOKUP(B442,'2-Kosten per locatie'!$A$14:$C$61,3,FALSE)</f>
        <v>0</v>
      </c>
      <c r="S442" s="411">
        <f>IF(M442="nio",0,IF(M442&gt;0,VLOOKUP(I442,'3-Productie normen'!A:P,VLOOKUP(M442,'3-Productie normen'!$B$38:$C$48,2,FALSE),FALSE)))</f>
        <v>0</v>
      </c>
      <c r="T442" s="411">
        <f t="shared" si="33"/>
        <v>0</v>
      </c>
      <c r="U442" s="411">
        <f t="shared" si="36"/>
        <v>0</v>
      </c>
      <c r="V442" s="412"/>
      <c r="X442" s="413">
        <f t="shared" si="34"/>
        <v>4485</v>
      </c>
      <c r="Y442" s="15"/>
    </row>
    <row r="443" spans="1:25" ht="14.1" customHeight="1">
      <c r="A443" s="70">
        <f t="shared" si="35"/>
        <v>443</v>
      </c>
      <c r="B443" s="354" t="s">
        <v>63</v>
      </c>
      <c r="C443" s="354" t="s">
        <v>437</v>
      </c>
      <c r="D443" s="354" t="s">
        <v>165</v>
      </c>
      <c r="E443" s="404" t="s">
        <v>438</v>
      </c>
      <c r="F443" s="405" t="s">
        <v>273</v>
      </c>
      <c r="G443" s="406" t="s">
        <v>265</v>
      </c>
      <c r="H443" s="420" t="s">
        <v>443</v>
      </c>
      <c r="I443" s="420" t="s">
        <v>111</v>
      </c>
      <c r="J443" s="399" t="s">
        <v>184</v>
      </c>
      <c r="K443" s="414">
        <v>26</v>
      </c>
      <c r="L443" s="408">
        <f t="shared" si="37"/>
        <v>230</v>
      </c>
      <c r="M443" s="409">
        <v>230</v>
      </c>
      <c r="N443" s="306"/>
      <c r="O443" s="409"/>
      <c r="P443" s="410" t="e">
        <f>IF(M443="nio",0,IF(M443&gt;0,M443*K443/S443,0))*VLOOKUP(B443,'2-Kosten per locatie'!$A$14:$C$61,3,FALSE)</f>
        <v>#DIV/0!</v>
      </c>
      <c r="Q443" s="410">
        <f>IF(N443&gt;0,N443*K443/T443,0)*VLOOKUP(B443,'2-Kosten per locatie'!$A$14:$C$61,3,FALSE)</f>
        <v>0</v>
      </c>
      <c r="R443" s="410">
        <f>IF(O443&gt;0,O443*K443/U443,0)*VLOOKUP(B443,'2-Kosten per locatie'!$A$14:$C$61,3,FALSE)</f>
        <v>0</v>
      </c>
      <c r="S443" s="411">
        <f>IF(M443="nio",0,IF(M443&gt;0,VLOOKUP(I443,'3-Productie normen'!A:P,VLOOKUP(M443,'3-Productie normen'!$B$38:$C$48,2,FALSE),FALSE)))</f>
        <v>0</v>
      </c>
      <c r="T443" s="411">
        <f t="shared" si="33"/>
        <v>0</v>
      </c>
      <c r="U443" s="411">
        <f t="shared" si="36"/>
        <v>0</v>
      </c>
      <c r="V443" s="412"/>
      <c r="X443" s="413">
        <f t="shared" si="34"/>
        <v>5980</v>
      </c>
    </row>
    <row r="444" spans="1:25" ht="14.1" customHeight="1">
      <c r="A444" s="70">
        <f t="shared" si="35"/>
        <v>444</v>
      </c>
      <c r="B444" s="354" t="s">
        <v>63</v>
      </c>
      <c r="C444" s="354" t="s">
        <v>437</v>
      </c>
      <c r="D444" s="354" t="s">
        <v>165</v>
      </c>
      <c r="E444" s="404" t="s">
        <v>438</v>
      </c>
      <c r="F444" s="405" t="s">
        <v>273</v>
      </c>
      <c r="G444" s="406" t="s">
        <v>266</v>
      </c>
      <c r="H444" s="420" t="s">
        <v>443</v>
      </c>
      <c r="I444" s="420" t="s">
        <v>111</v>
      </c>
      <c r="J444" s="399" t="s">
        <v>184</v>
      </c>
      <c r="K444" s="414">
        <v>6</v>
      </c>
      <c r="L444" s="408">
        <f t="shared" si="37"/>
        <v>230</v>
      </c>
      <c r="M444" s="409">
        <v>230</v>
      </c>
      <c r="N444" s="306"/>
      <c r="O444" s="409"/>
      <c r="P444" s="410" t="e">
        <f>IF(M444="nio",0,IF(M444&gt;0,M444*K444/S444,0))*VLOOKUP(B444,'2-Kosten per locatie'!$A$14:$C$61,3,FALSE)</f>
        <v>#DIV/0!</v>
      </c>
      <c r="Q444" s="410">
        <f>IF(N444&gt;0,N444*K444/T444,0)*VLOOKUP(B444,'2-Kosten per locatie'!$A$14:$C$61,3,FALSE)</f>
        <v>0</v>
      </c>
      <c r="R444" s="410">
        <f>IF(O444&gt;0,O444*K444/U444,0)*VLOOKUP(B444,'2-Kosten per locatie'!$A$14:$C$61,3,FALSE)</f>
        <v>0</v>
      </c>
      <c r="S444" s="411">
        <f>IF(M444="nio",0,IF(M444&gt;0,VLOOKUP(I444,'3-Productie normen'!A:P,VLOOKUP(M444,'3-Productie normen'!$B$38:$C$48,2,FALSE),FALSE)))</f>
        <v>0</v>
      </c>
      <c r="T444" s="411">
        <f t="shared" si="33"/>
        <v>0</v>
      </c>
      <c r="U444" s="411">
        <f t="shared" si="36"/>
        <v>0</v>
      </c>
      <c r="V444" s="412"/>
      <c r="X444" s="413">
        <f t="shared" si="34"/>
        <v>1380</v>
      </c>
    </row>
    <row r="445" spans="1:25" ht="14.1" customHeight="1">
      <c r="A445" s="70">
        <f t="shared" si="35"/>
        <v>445</v>
      </c>
      <c r="B445" s="354" t="s">
        <v>63</v>
      </c>
      <c r="C445" s="354" t="s">
        <v>437</v>
      </c>
      <c r="D445" s="354" t="s">
        <v>165</v>
      </c>
      <c r="E445" s="404" t="s">
        <v>438</v>
      </c>
      <c r="F445" s="405" t="s">
        <v>273</v>
      </c>
      <c r="G445" s="406" t="s">
        <v>268</v>
      </c>
      <c r="H445" s="420" t="s">
        <v>443</v>
      </c>
      <c r="I445" s="420" t="s">
        <v>111</v>
      </c>
      <c r="J445" s="399" t="s">
        <v>184</v>
      </c>
      <c r="K445" s="414">
        <v>6</v>
      </c>
      <c r="L445" s="408">
        <f t="shared" si="37"/>
        <v>230</v>
      </c>
      <c r="M445" s="409">
        <v>230</v>
      </c>
      <c r="N445" s="306"/>
      <c r="O445" s="409"/>
      <c r="P445" s="410" t="e">
        <f>IF(M445="nio",0,IF(M445&gt;0,M445*K445/S445,0))*VLOOKUP(B445,'2-Kosten per locatie'!$A$14:$C$61,3,FALSE)</f>
        <v>#DIV/0!</v>
      </c>
      <c r="Q445" s="410">
        <f>IF(N445&gt;0,N445*K445/T445,0)*VLOOKUP(B445,'2-Kosten per locatie'!$A$14:$C$61,3,FALSE)</f>
        <v>0</v>
      </c>
      <c r="R445" s="410">
        <f>IF(O445&gt;0,O445*K445/U445,0)*VLOOKUP(B445,'2-Kosten per locatie'!$A$14:$C$61,3,FALSE)</f>
        <v>0</v>
      </c>
      <c r="S445" s="411">
        <f>IF(M445="nio",0,IF(M445&gt;0,VLOOKUP(I445,'3-Productie normen'!A:P,VLOOKUP(M445,'3-Productie normen'!$B$38:$C$48,2,FALSE),FALSE)))</f>
        <v>0</v>
      </c>
      <c r="T445" s="411">
        <f t="shared" si="33"/>
        <v>0</v>
      </c>
      <c r="U445" s="411">
        <f t="shared" si="36"/>
        <v>0</v>
      </c>
      <c r="V445" s="412"/>
      <c r="X445" s="413">
        <f t="shared" si="34"/>
        <v>1380</v>
      </c>
    </row>
    <row r="446" spans="1:25" ht="14.1" customHeight="1">
      <c r="A446" s="70">
        <f t="shared" si="35"/>
        <v>446</v>
      </c>
      <c r="B446" s="354" t="s">
        <v>64</v>
      </c>
      <c r="C446" s="354" t="s">
        <v>437</v>
      </c>
      <c r="D446" s="354" t="s">
        <v>165</v>
      </c>
      <c r="E446" s="404" t="s">
        <v>438</v>
      </c>
      <c r="F446" s="405" t="s">
        <v>167</v>
      </c>
      <c r="G446" s="406" t="s">
        <v>191</v>
      </c>
      <c r="H446" s="420" t="s">
        <v>452</v>
      </c>
      <c r="I446" s="420" t="s">
        <v>107</v>
      </c>
      <c r="J446" s="399" t="s">
        <v>468</v>
      </c>
      <c r="K446" s="414">
        <v>19</v>
      </c>
      <c r="L446" s="408">
        <f t="shared" si="37"/>
        <v>230</v>
      </c>
      <c r="M446" s="409">
        <v>230</v>
      </c>
      <c r="N446" s="306"/>
      <c r="O446" s="409"/>
      <c r="P446" s="410" t="e">
        <f>IF(M446="nio",0,IF(M446&gt;0,M446*K446/S446,0))*VLOOKUP(B446,'2-Kosten per locatie'!$A$14:$C$61,3,FALSE)</f>
        <v>#DIV/0!</v>
      </c>
      <c r="Q446" s="410">
        <f>IF(N446&gt;0,N446*K446/T446,0)*VLOOKUP(B446,'2-Kosten per locatie'!$A$14:$C$61,3,FALSE)</f>
        <v>0</v>
      </c>
      <c r="R446" s="410">
        <f>IF(O446&gt;0,O446*K446/U446,0)*VLOOKUP(B446,'2-Kosten per locatie'!$A$14:$C$61,3,FALSE)</f>
        <v>0</v>
      </c>
      <c r="S446" s="411">
        <f>IF(M446="nio",0,IF(M446&gt;0,VLOOKUP(I446,'3-Productie normen'!A:P,VLOOKUP(M446,'3-Productie normen'!$B$38:$C$48,2,FALSE),FALSE)))</f>
        <v>0</v>
      </c>
      <c r="T446" s="411">
        <f t="shared" si="33"/>
        <v>0</v>
      </c>
      <c r="U446" s="411">
        <f t="shared" si="36"/>
        <v>0</v>
      </c>
      <c r="V446" s="412"/>
      <c r="X446" s="413">
        <f t="shared" si="34"/>
        <v>4370</v>
      </c>
    </row>
    <row r="447" spans="1:25" ht="14.1" customHeight="1">
      <c r="A447" s="70">
        <f t="shared" si="35"/>
        <v>447</v>
      </c>
      <c r="B447" s="354" t="s">
        <v>64</v>
      </c>
      <c r="C447" s="354" t="s">
        <v>437</v>
      </c>
      <c r="D447" s="354" t="s">
        <v>165</v>
      </c>
      <c r="E447" s="404" t="s">
        <v>438</v>
      </c>
      <c r="F447" s="405" t="s">
        <v>167</v>
      </c>
      <c r="G447" s="406" t="s">
        <v>194</v>
      </c>
      <c r="H447" s="420" t="s">
        <v>443</v>
      </c>
      <c r="I447" s="420" t="s">
        <v>111</v>
      </c>
      <c r="J447" s="399" t="s">
        <v>179</v>
      </c>
      <c r="K447" s="414">
        <v>29.5</v>
      </c>
      <c r="L447" s="408">
        <f t="shared" si="37"/>
        <v>230</v>
      </c>
      <c r="M447" s="409">
        <v>230</v>
      </c>
      <c r="N447" s="306"/>
      <c r="O447" s="409"/>
      <c r="P447" s="410" t="e">
        <f>IF(M447="nio",0,IF(M447&gt;0,M447*K447/S447,0))*VLOOKUP(B447,'2-Kosten per locatie'!$A$14:$C$61,3,FALSE)</f>
        <v>#DIV/0!</v>
      </c>
      <c r="Q447" s="410">
        <f>IF(N447&gt;0,N447*K447/T447,0)*VLOOKUP(B447,'2-Kosten per locatie'!$A$14:$C$61,3,FALSE)</f>
        <v>0</v>
      </c>
      <c r="R447" s="410">
        <f>IF(O447&gt;0,O447*K447/U447,0)*VLOOKUP(B447,'2-Kosten per locatie'!$A$14:$C$61,3,FALSE)</f>
        <v>0</v>
      </c>
      <c r="S447" s="411">
        <f>IF(M447="nio",0,IF(M447&gt;0,VLOOKUP(I447,'3-Productie normen'!A:P,VLOOKUP(M447,'3-Productie normen'!$B$38:$C$48,2,FALSE),FALSE)))</f>
        <v>0</v>
      </c>
      <c r="T447" s="411">
        <f t="shared" si="33"/>
        <v>0</v>
      </c>
      <c r="U447" s="411">
        <f t="shared" si="36"/>
        <v>0</v>
      </c>
      <c r="V447" s="412"/>
      <c r="X447" s="413">
        <f t="shared" si="34"/>
        <v>6785</v>
      </c>
    </row>
    <row r="448" spans="1:25" ht="14.1" customHeight="1">
      <c r="A448" s="70">
        <f t="shared" si="35"/>
        <v>448</v>
      </c>
      <c r="B448" s="354" t="s">
        <v>64</v>
      </c>
      <c r="C448" s="354" t="s">
        <v>437</v>
      </c>
      <c r="D448" s="354" t="s">
        <v>165</v>
      </c>
      <c r="E448" s="404" t="s">
        <v>438</v>
      </c>
      <c r="F448" s="405" t="s">
        <v>167</v>
      </c>
      <c r="G448" s="406" t="s">
        <v>196</v>
      </c>
      <c r="H448" s="420" t="s">
        <v>183</v>
      </c>
      <c r="I448" s="420" t="s">
        <v>106</v>
      </c>
      <c r="J448" s="399" t="s">
        <v>184</v>
      </c>
      <c r="K448" s="414">
        <v>18</v>
      </c>
      <c r="L448" s="408">
        <f t="shared" si="37"/>
        <v>230</v>
      </c>
      <c r="M448" s="409">
        <v>230</v>
      </c>
      <c r="N448" s="306"/>
      <c r="O448" s="409"/>
      <c r="P448" s="410" t="e">
        <f>IF(M448="nio",0,IF(M448&gt;0,M448*K448/S448,0))*VLOOKUP(B448,'2-Kosten per locatie'!$A$14:$C$61,3,FALSE)</f>
        <v>#DIV/0!</v>
      </c>
      <c r="Q448" s="410">
        <f>IF(N448&gt;0,N448*K448/T448,0)*VLOOKUP(B448,'2-Kosten per locatie'!$A$14:$C$61,3,FALSE)</f>
        <v>0</v>
      </c>
      <c r="R448" s="410">
        <f>IF(O448&gt;0,O448*K448/U448,0)*VLOOKUP(B448,'2-Kosten per locatie'!$A$14:$C$61,3,FALSE)</f>
        <v>0</v>
      </c>
      <c r="S448" s="411">
        <f>IF(M448="nio",0,IF(M448&gt;0,VLOOKUP(I448,'3-Productie normen'!A:P,VLOOKUP(M448,'3-Productie normen'!$B$38:$C$48,2,FALSE),FALSE)))</f>
        <v>0</v>
      </c>
      <c r="T448" s="411">
        <f t="shared" si="33"/>
        <v>0</v>
      </c>
      <c r="U448" s="411">
        <f t="shared" si="36"/>
        <v>0</v>
      </c>
      <c r="V448" s="412"/>
      <c r="X448" s="413">
        <f t="shared" si="34"/>
        <v>4140</v>
      </c>
    </row>
    <row r="449" spans="1:24" ht="14.1" customHeight="1">
      <c r="A449" s="70">
        <f t="shared" si="35"/>
        <v>449</v>
      </c>
      <c r="B449" s="354" t="s">
        <v>64</v>
      </c>
      <c r="C449" s="354" t="s">
        <v>437</v>
      </c>
      <c r="D449" s="354" t="s">
        <v>165</v>
      </c>
      <c r="E449" s="404" t="s">
        <v>438</v>
      </c>
      <c r="F449" s="405" t="s">
        <v>167</v>
      </c>
      <c r="G449" s="406" t="s">
        <v>198</v>
      </c>
      <c r="H449" s="420" t="s">
        <v>443</v>
      </c>
      <c r="I449" s="420" t="s">
        <v>111</v>
      </c>
      <c r="J449" s="399" t="s">
        <v>179</v>
      </c>
      <c r="K449" s="414">
        <v>32.5</v>
      </c>
      <c r="L449" s="408">
        <f t="shared" si="37"/>
        <v>230</v>
      </c>
      <c r="M449" s="409">
        <v>230</v>
      </c>
      <c r="N449" s="306"/>
      <c r="O449" s="409"/>
      <c r="P449" s="410" t="e">
        <f>IF(M449="nio",0,IF(M449&gt;0,M449*K449/S449,0))*VLOOKUP(B449,'2-Kosten per locatie'!$A$14:$C$61,3,FALSE)</f>
        <v>#DIV/0!</v>
      </c>
      <c r="Q449" s="410">
        <f>IF(N449&gt;0,N449*K449/T449,0)*VLOOKUP(B449,'2-Kosten per locatie'!$A$14:$C$61,3,FALSE)</f>
        <v>0</v>
      </c>
      <c r="R449" s="410">
        <f>IF(O449&gt;0,O449*K449/U449,0)*VLOOKUP(B449,'2-Kosten per locatie'!$A$14:$C$61,3,FALSE)</f>
        <v>0</v>
      </c>
      <c r="S449" s="411">
        <f>IF(M449="nio",0,IF(M449&gt;0,VLOOKUP(I449,'3-Productie normen'!A:P,VLOOKUP(M449,'3-Productie normen'!$B$38:$C$48,2,FALSE),FALSE)))</f>
        <v>0</v>
      </c>
      <c r="T449" s="411">
        <f t="shared" si="33"/>
        <v>0</v>
      </c>
      <c r="U449" s="411">
        <f t="shared" si="36"/>
        <v>0</v>
      </c>
      <c r="V449" s="412"/>
      <c r="X449" s="413">
        <f t="shared" si="34"/>
        <v>7475</v>
      </c>
    </row>
    <row r="450" spans="1:24" ht="14.1" customHeight="1">
      <c r="A450" s="70">
        <f t="shared" si="35"/>
        <v>450</v>
      </c>
      <c r="B450" s="354" t="s">
        <v>64</v>
      </c>
      <c r="C450" s="354" t="s">
        <v>437</v>
      </c>
      <c r="D450" s="354" t="s">
        <v>165</v>
      </c>
      <c r="E450" s="404" t="s">
        <v>438</v>
      </c>
      <c r="F450" s="405" t="s">
        <v>167</v>
      </c>
      <c r="G450" s="406" t="s">
        <v>199</v>
      </c>
      <c r="H450" s="420" t="s">
        <v>183</v>
      </c>
      <c r="I450" s="420" t="s">
        <v>106</v>
      </c>
      <c r="J450" s="399" t="s">
        <v>184</v>
      </c>
      <c r="K450" s="414">
        <v>18</v>
      </c>
      <c r="L450" s="408">
        <f t="shared" si="37"/>
        <v>230</v>
      </c>
      <c r="M450" s="409">
        <v>230</v>
      </c>
      <c r="N450" s="306"/>
      <c r="O450" s="409"/>
      <c r="P450" s="410" t="e">
        <f>IF(M450="nio",0,IF(M450&gt;0,M450*K450/S450,0))*VLOOKUP(B450,'2-Kosten per locatie'!$A$14:$C$61,3,FALSE)</f>
        <v>#DIV/0!</v>
      </c>
      <c r="Q450" s="410">
        <f>IF(N450&gt;0,N450*K450/T450,0)*VLOOKUP(B450,'2-Kosten per locatie'!$A$14:$C$61,3,FALSE)</f>
        <v>0</v>
      </c>
      <c r="R450" s="410">
        <f>IF(O450&gt;0,O450*K450/U450,0)*VLOOKUP(B450,'2-Kosten per locatie'!$A$14:$C$61,3,FALSE)</f>
        <v>0</v>
      </c>
      <c r="S450" s="411">
        <f>IF(M450="nio",0,IF(M450&gt;0,VLOOKUP(I450,'3-Productie normen'!A:P,VLOOKUP(M450,'3-Productie normen'!$B$38:$C$48,2,FALSE),FALSE)))</f>
        <v>0</v>
      </c>
      <c r="T450" s="411">
        <f t="shared" si="33"/>
        <v>0</v>
      </c>
      <c r="U450" s="411">
        <f t="shared" si="36"/>
        <v>0</v>
      </c>
      <c r="V450" s="412"/>
      <c r="X450" s="413">
        <f t="shared" si="34"/>
        <v>4140</v>
      </c>
    </row>
    <row r="451" spans="1:24" ht="14.1" customHeight="1">
      <c r="A451" s="70">
        <f t="shared" si="35"/>
        <v>451</v>
      </c>
      <c r="B451" s="354" t="s">
        <v>64</v>
      </c>
      <c r="C451" s="354" t="s">
        <v>437</v>
      </c>
      <c r="D451" s="354" t="s">
        <v>165</v>
      </c>
      <c r="E451" s="404" t="s">
        <v>438</v>
      </c>
      <c r="F451" s="405" t="s">
        <v>167</v>
      </c>
      <c r="G451" s="406" t="s">
        <v>202</v>
      </c>
      <c r="H451" s="420" t="s">
        <v>469</v>
      </c>
      <c r="I451" s="420" t="s">
        <v>114</v>
      </c>
      <c r="J451" s="399" t="s">
        <v>442</v>
      </c>
      <c r="K451" s="414">
        <v>239</v>
      </c>
      <c r="L451" s="408">
        <f t="shared" si="37"/>
        <v>230</v>
      </c>
      <c r="M451" s="409">
        <v>230</v>
      </c>
      <c r="N451" s="306"/>
      <c r="O451" s="409"/>
      <c r="P451" s="410" t="e">
        <f>IF(M451="nio",0,IF(M451&gt;0,M451*K451/S451,0))*VLOOKUP(B451,'2-Kosten per locatie'!$A$14:$C$61,3,FALSE)</f>
        <v>#DIV/0!</v>
      </c>
      <c r="Q451" s="410">
        <f>IF(N451&gt;0,N451*K451/T451,0)*VLOOKUP(B451,'2-Kosten per locatie'!$A$14:$C$61,3,FALSE)</f>
        <v>0</v>
      </c>
      <c r="R451" s="410">
        <f>IF(O451&gt;0,O451*K451/U451,0)*VLOOKUP(B451,'2-Kosten per locatie'!$A$14:$C$61,3,FALSE)</f>
        <v>0</v>
      </c>
      <c r="S451" s="411">
        <f>IF(M451="nio",0,IF(M451&gt;0,VLOOKUP(I451,'3-Productie normen'!A:P,VLOOKUP(M451,'3-Productie normen'!$B$38:$C$48,2,FALSE),FALSE)))</f>
        <v>0</v>
      </c>
      <c r="T451" s="411">
        <f t="shared" si="33"/>
        <v>0</v>
      </c>
      <c r="U451" s="411">
        <f t="shared" si="36"/>
        <v>0</v>
      </c>
      <c r="V451" s="412"/>
      <c r="X451" s="413">
        <f t="shared" si="34"/>
        <v>54970</v>
      </c>
    </row>
    <row r="452" spans="1:24" ht="14.1" customHeight="1">
      <c r="A452" s="70">
        <f t="shared" si="35"/>
        <v>452</v>
      </c>
      <c r="B452" s="354" t="s">
        <v>65</v>
      </c>
      <c r="C452" s="354" t="s">
        <v>437</v>
      </c>
      <c r="D452" s="354" t="s">
        <v>165</v>
      </c>
      <c r="E452" s="404" t="s">
        <v>438</v>
      </c>
      <c r="F452" s="405" t="s">
        <v>167</v>
      </c>
      <c r="G452" s="406" t="s">
        <v>191</v>
      </c>
      <c r="H452" s="420" t="s">
        <v>470</v>
      </c>
      <c r="I452" s="420" t="s">
        <v>108</v>
      </c>
      <c r="J452" s="399" t="s">
        <v>218</v>
      </c>
      <c r="K452" s="414">
        <v>25</v>
      </c>
      <c r="L452" s="408">
        <f t="shared" si="37"/>
        <v>276</v>
      </c>
      <c r="M452" s="409">
        <v>230</v>
      </c>
      <c r="N452" s="306"/>
      <c r="O452" s="409">
        <v>46</v>
      </c>
      <c r="P452" s="410" t="e">
        <f>IF(M452="nio",0,IF(M452&gt;0,M452*K452/S452,0))*VLOOKUP(B452,'2-Kosten per locatie'!$A$14:$C$61,3,FALSE)</f>
        <v>#DIV/0!</v>
      </c>
      <c r="Q452" s="410">
        <f>IF(N452&gt;0,N452*K452/T452,0)*VLOOKUP(B452,'2-Kosten per locatie'!$A$14:$C$61,3,FALSE)</f>
        <v>0</v>
      </c>
      <c r="R452" s="410" t="e">
        <f>IF(O452&gt;0,O452*K452/U452,0)*VLOOKUP(B452,'2-Kosten per locatie'!$A$14:$C$61,3,FALSE)</f>
        <v>#DIV/0!</v>
      </c>
      <c r="S452" s="411">
        <f>IF(M452="nio",0,IF(M452&gt;0,VLOOKUP(I452,'3-Productie normen'!A:P,VLOOKUP(M452,'3-Productie normen'!$B$38:$C$48,2,FALSE),FALSE)))</f>
        <v>0</v>
      </c>
      <c r="T452" s="411">
        <f t="shared" si="33"/>
        <v>0</v>
      </c>
      <c r="U452" s="411">
        <f t="shared" si="36"/>
        <v>0</v>
      </c>
      <c r="V452" s="412"/>
      <c r="X452" s="413">
        <f t="shared" si="34"/>
        <v>6900</v>
      </c>
    </row>
    <row r="453" spans="1:24" ht="14.1" customHeight="1">
      <c r="A453" s="70">
        <f t="shared" si="35"/>
        <v>453</v>
      </c>
      <c r="B453" s="354" t="s">
        <v>65</v>
      </c>
      <c r="C453" s="354" t="s">
        <v>437</v>
      </c>
      <c r="D453" s="354" t="s">
        <v>165</v>
      </c>
      <c r="E453" s="404" t="s">
        <v>438</v>
      </c>
      <c r="F453" s="405" t="s">
        <v>167</v>
      </c>
      <c r="G453" s="406" t="s">
        <v>194</v>
      </c>
      <c r="H453" s="420" t="s">
        <v>471</v>
      </c>
      <c r="I453" s="420" t="s">
        <v>111</v>
      </c>
      <c r="J453" s="399" t="s">
        <v>179</v>
      </c>
      <c r="K453" s="414">
        <v>20</v>
      </c>
      <c r="L453" s="408">
        <f t="shared" si="37"/>
        <v>276</v>
      </c>
      <c r="M453" s="409">
        <v>230</v>
      </c>
      <c r="N453" s="306"/>
      <c r="O453" s="409">
        <v>46</v>
      </c>
      <c r="P453" s="410" t="e">
        <f>IF(M453="nio",0,IF(M453&gt;0,M453*K453/S453,0))*VLOOKUP(B453,'2-Kosten per locatie'!$A$14:$C$61,3,FALSE)</f>
        <v>#DIV/0!</v>
      </c>
      <c r="Q453" s="410">
        <f>IF(N453&gt;0,N453*K453/T453,0)*VLOOKUP(B453,'2-Kosten per locatie'!$A$14:$C$61,3,FALSE)</f>
        <v>0</v>
      </c>
      <c r="R453" s="410" t="e">
        <f>IF(O453&gt;0,O453*K453/U453,0)*VLOOKUP(B453,'2-Kosten per locatie'!$A$14:$C$61,3,FALSE)</f>
        <v>#DIV/0!</v>
      </c>
      <c r="S453" s="411">
        <f>IF(M453="nio",0,IF(M453&gt;0,VLOOKUP(I453,'3-Productie normen'!A:P,VLOOKUP(M453,'3-Productie normen'!$B$38:$C$48,2,FALSE),FALSE)))</f>
        <v>0</v>
      </c>
      <c r="T453" s="411">
        <f t="shared" si="33"/>
        <v>0</v>
      </c>
      <c r="U453" s="411">
        <f t="shared" si="36"/>
        <v>0</v>
      </c>
      <c r="V453" s="412"/>
      <c r="X453" s="413">
        <f t="shared" si="34"/>
        <v>5520</v>
      </c>
    </row>
    <row r="454" spans="1:24" ht="14.1" customHeight="1">
      <c r="A454" s="70">
        <f t="shared" si="35"/>
        <v>454</v>
      </c>
      <c r="B454" s="354" t="s">
        <v>65</v>
      </c>
      <c r="C454" s="354" t="s">
        <v>437</v>
      </c>
      <c r="D454" s="354" t="s">
        <v>165</v>
      </c>
      <c r="E454" s="404" t="s">
        <v>438</v>
      </c>
      <c r="F454" s="405" t="s">
        <v>167</v>
      </c>
      <c r="G454" s="406" t="s">
        <v>196</v>
      </c>
      <c r="H454" s="420" t="s">
        <v>441</v>
      </c>
      <c r="I454" s="420" t="s">
        <v>114</v>
      </c>
      <c r="J454" s="399" t="s">
        <v>442</v>
      </c>
      <c r="K454" s="414">
        <v>240</v>
      </c>
      <c r="L454" s="408">
        <f t="shared" si="37"/>
        <v>276</v>
      </c>
      <c r="M454" s="409">
        <v>230</v>
      </c>
      <c r="N454" s="306"/>
      <c r="O454" s="409">
        <v>46</v>
      </c>
      <c r="P454" s="410" t="e">
        <f>IF(M454="nio",0,IF(M454&gt;0,M454*K454/S454,0))*VLOOKUP(B454,'2-Kosten per locatie'!$A$14:$C$61,3,FALSE)</f>
        <v>#DIV/0!</v>
      </c>
      <c r="Q454" s="410">
        <f>IF(N454&gt;0,N454*K454/T454,0)*VLOOKUP(B454,'2-Kosten per locatie'!$A$14:$C$61,3,FALSE)</f>
        <v>0</v>
      </c>
      <c r="R454" s="410" t="e">
        <f>IF(O454&gt;0,O454*K454/U454,0)*VLOOKUP(B454,'2-Kosten per locatie'!$A$14:$C$61,3,FALSE)</f>
        <v>#DIV/0!</v>
      </c>
      <c r="S454" s="411">
        <f>IF(M454="nio",0,IF(M454&gt;0,VLOOKUP(I454,'3-Productie normen'!A:P,VLOOKUP(M454,'3-Productie normen'!$B$38:$C$48,2,FALSE),FALSE)))</f>
        <v>0</v>
      </c>
      <c r="T454" s="411">
        <f t="shared" si="33"/>
        <v>0</v>
      </c>
      <c r="U454" s="411">
        <f t="shared" si="36"/>
        <v>0</v>
      </c>
      <c r="V454" s="412"/>
      <c r="X454" s="413">
        <f t="shared" si="34"/>
        <v>66240</v>
      </c>
    </row>
    <row r="455" spans="1:24" ht="14.1" customHeight="1">
      <c r="A455" s="70">
        <f t="shared" si="35"/>
        <v>455</v>
      </c>
      <c r="B455" s="354" t="s">
        <v>65</v>
      </c>
      <c r="C455" s="354" t="s">
        <v>437</v>
      </c>
      <c r="D455" s="354" t="s">
        <v>165</v>
      </c>
      <c r="E455" s="404" t="s">
        <v>438</v>
      </c>
      <c r="F455" s="405" t="s">
        <v>167</v>
      </c>
      <c r="G455" s="406" t="s">
        <v>198</v>
      </c>
      <c r="H455" s="420" t="s">
        <v>443</v>
      </c>
      <c r="I455" s="420" t="s">
        <v>111</v>
      </c>
      <c r="J455" s="399" t="s">
        <v>179</v>
      </c>
      <c r="K455" s="414">
        <v>35</v>
      </c>
      <c r="L455" s="408">
        <f t="shared" si="37"/>
        <v>276</v>
      </c>
      <c r="M455" s="409">
        <v>230</v>
      </c>
      <c r="N455" s="306"/>
      <c r="O455" s="409">
        <v>46</v>
      </c>
      <c r="P455" s="410" t="e">
        <f>IF(M455="nio",0,IF(M455&gt;0,M455*K455/S455,0))*VLOOKUP(B455,'2-Kosten per locatie'!$A$14:$C$61,3,FALSE)</f>
        <v>#DIV/0!</v>
      </c>
      <c r="Q455" s="410">
        <f>IF(N455&gt;0,N455*K455/T455,0)*VLOOKUP(B455,'2-Kosten per locatie'!$A$14:$C$61,3,FALSE)</f>
        <v>0</v>
      </c>
      <c r="R455" s="410" t="e">
        <f>IF(O455&gt;0,O455*K455/U455,0)*VLOOKUP(B455,'2-Kosten per locatie'!$A$14:$C$61,3,FALSE)</f>
        <v>#DIV/0!</v>
      </c>
      <c r="S455" s="411">
        <f>IF(M455="nio",0,IF(M455&gt;0,VLOOKUP(I455,'3-Productie normen'!A:P,VLOOKUP(M455,'3-Productie normen'!$B$38:$C$48,2,FALSE),FALSE)))</f>
        <v>0</v>
      </c>
      <c r="T455" s="411">
        <f t="shared" si="33"/>
        <v>0</v>
      </c>
      <c r="U455" s="411">
        <f t="shared" si="36"/>
        <v>0</v>
      </c>
      <c r="V455" s="412"/>
      <c r="X455" s="413">
        <f t="shared" si="34"/>
        <v>9660</v>
      </c>
    </row>
    <row r="456" spans="1:24" ht="14.1" customHeight="1">
      <c r="A456" s="70">
        <f t="shared" si="35"/>
        <v>456</v>
      </c>
      <c r="B456" s="354" t="s">
        <v>65</v>
      </c>
      <c r="C456" s="354" t="s">
        <v>437</v>
      </c>
      <c r="D456" s="354" t="s">
        <v>165</v>
      </c>
      <c r="E456" s="404" t="s">
        <v>438</v>
      </c>
      <c r="F456" s="405" t="s">
        <v>167</v>
      </c>
      <c r="G456" s="406" t="s">
        <v>199</v>
      </c>
      <c r="H456" s="420" t="s">
        <v>472</v>
      </c>
      <c r="I456" s="420" t="s">
        <v>106</v>
      </c>
      <c r="J456" s="399" t="s">
        <v>179</v>
      </c>
      <c r="K456" s="414">
        <v>15.5</v>
      </c>
      <c r="L456" s="408">
        <f t="shared" si="37"/>
        <v>276</v>
      </c>
      <c r="M456" s="409">
        <v>230</v>
      </c>
      <c r="N456" s="306"/>
      <c r="O456" s="409">
        <v>46</v>
      </c>
      <c r="P456" s="410" t="e">
        <f>IF(M456="nio",0,IF(M456&gt;0,M456*K456/S456,0))*VLOOKUP(B456,'2-Kosten per locatie'!$A$14:$C$61,3,FALSE)</f>
        <v>#DIV/0!</v>
      </c>
      <c r="Q456" s="410">
        <f>IF(N456&gt;0,N456*K456/T456,0)*VLOOKUP(B456,'2-Kosten per locatie'!$A$14:$C$61,3,FALSE)</f>
        <v>0</v>
      </c>
      <c r="R456" s="410" t="e">
        <f>IF(O456&gt;0,O456*K456/U456,0)*VLOOKUP(B456,'2-Kosten per locatie'!$A$14:$C$61,3,FALSE)</f>
        <v>#DIV/0!</v>
      </c>
      <c r="S456" s="411">
        <f>IF(M456="nio",0,IF(M456&gt;0,VLOOKUP(I456,'3-Productie normen'!A:P,VLOOKUP(M456,'3-Productie normen'!$B$38:$C$48,2,FALSE),FALSE)))</f>
        <v>0</v>
      </c>
      <c r="T456" s="411">
        <f t="shared" si="33"/>
        <v>0</v>
      </c>
      <c r="U456" s="411">
        <f t="shared" si="36"/>
        <v>0</v>
      </c>
      <c r="V456" s="412"/>
      <c r="X456" s="413">
        <f t="shared" si="34"/>
        <v>4278</v>
      </c>
    </row>
    <row r="457" spans="1:24" ht="14.1" customHeight="1">
      <c r="A457" s="70">
        <f t="shared" si="35"/>
        <v>457</v>
      </c>
      <c r="B457" s="354" t="s">
        <v>65</v>
      </c>
      <c r="C457" s="354" t="s">
        <v>437</v>
      </c>
      <c r="D457" s="354" t="s">
        <v>165</v>
      </c>
      <c r="E457" s="404" t="s">
        <v>438</v>
      </c>
      <c r="F457" s="405" t="s">
        <v>167</v>
      </c>
      <c r="G457" s="406" t="s">
        <v>202</v>
      </c>
      <c r="H457" s="420" t="s">
        <v>443</v>
      </c>
      <c r="I457" s="420" t="s">
        <v>111</v>
      </c>
      <c r="J457" s="399" t="s">
        <v>179</v>
      </c>
      <c r="K457" s="414">
        <v>35</v>
      </c>
      <c r="L457" s="408">
        <f t="shared" si="37"/>
        <v>276</v>
      </c>
      <c r="M457" s="409">
        <v>230</v>
      </c>
      <c r="N457" s="306"/>
      <c r="O457" s="409">
        <v>46</v>
      </c>
      <c r="P457" s="410" t="e">
        <f>IF(M457="nio",0,IF(M457&gt;0,M457*K457/S457,0))*VLOOKUP(B457,'2-Kosten per locatie'!$A$14:$C$61,3,FALSE)</f>
        <v>#DIV/0!</v>
      </c>
      <c r="Q457" s="410">
        <f>IF(N457&gt;0,N457*K457/T457,0)*VLOOKUP(B457,'2-Kosten per locatie'!$A$14:$C$61,3,FALSE)</f>
        <v>0</v>
      </c>
      <c r="R457" s="410" t="e">
        <f>IF(O457&gt;0,O457*K457/U457,0)*VLOOKUP(B457,'2-Kosten per locatie'!$A$14:$C$61,3,FALSE)</f>
        <v>#DIV/0!</v>
      </c>
      <c r="S457" s="411">
        <f>IF(M457="nio",0,IF(M457&gt;0,VLOOKUP(I457,'3-Productie normen'!A:P,VLOOKUP(M457,'3-Productie normen'!$B$38:$C$48,2,FALSE),FALSE)))</f>
        <v>0</v>
      </c>
      <c r="T457" s="411">
        <f t="shared" si="33"/>
        <v>0</v>
      </c>
      <c r="U457" s="411">
        <f t="shared" si="36"/>
        <v>0</v>
      </c>
      <c r="V457" s="412"/>
      <c r="X457" s="413">
        <f t="shared" si="34"/>
        <v>9660</v>
      </c>
    </row>
    <row r="458" spans="1:24" ht="14.1" customHeight="1">
      <c r="A458" s="70">
        <f t="shared" si="35"/>
        <v>458</v>
      </c>
      <c r="B458" s="354" t="s">
        <v>65</v>
      </c>
      <c r="C458" s="354" t="s">
        <v>437</v>
      </c>
      <c r="D458" s="354" t="s">
        <v>165</v>
      </c>
      <c r="E458" s="404" t="s">
        <v>438</v>
      </c>
      <c r="F458" s="405" t="s">
        <v>167</v>
      </c>
      <c r="G458" s="406" t="s">
        <v>203</v>
      </c>
      <c r="H458" s="420" t="s">
        <v>183</v>
      </c>
      <c r="I458" s="420" t="s">
        <v>106</v>
      </c>
      <c r="J458" s="399" t="s">
        <v>179</v>
      </c>
      <c r="K458" s="414">
        <v>15.5</v>
      </c>
      <c r="L458" s="408">
        <f t="shared" si="37"/>
        <v>276</v>
      </c>
      <c r="M458" s="409">
        <v>230</v>
      </c>
      <c r="N458" s="306"/>
      <c r="O458" s="409">
        <v>46</v>
      </c>
      <c r="P458" s="410" t="e">
        <f>IF(M458="nio",0,IF(M458&gt;0,M458*K458/S458,0))*VLOOKUP(B458,'2-Kosten per locatie'!$A$14:$C$61,3,FALSE)</f>
        <v>#DIV/0!</v>
      </c>
      <c r="Q458" s="410">
        <f>IF(N458&gt;0,N458*K458/T458,0)*VLOOKUP(B458,'2-Kosten per locatie'!$A$14:$C$61,3,FALSE)</f>
        <v>0</v>
      </c>
      <c r="R458" s="410" t="e">
        <f>IF(O458&gt;0,O458*K458/U458,0)*VLOOKUP(B458,'2-Kosten per locatie'!$A$14:$C$61,3,FALSE)</f>
        <v>#DIV/0!</v>
      </c>
      <c r="S458" s="411">
        <f>IF(M458="nio",0,IF(M458&gt;0,VLOOKUP(I458,'3-Productie normen'!A:P,VLOOKUP(M458,'3-Productie normen'!$B$38:$C$48,2,FALSE),FALSE)))</f>
        <v>0</v>
      </c>
      <c r="T458" s="411">
        <f t="shared" ref="T458:T521" si="38">IF(N458&gt;0,S458*$T$8,0)</f>
        <v>0</v>
      </c>
      <c r="U458" s="411">
        <f t="shared" si="36"/>
        <v>0</v>
      </c>
      <c r="V458" s="412"/>
      <c r="X458" s="413">
        <f t="shared" ref="X458:X521" si="39">L458*K458</f>
        <v>4278</v>
      </c>
    </row>
    <row r="459" spans="1:24" ht="14.1" customHeight="1">
      <c r="A459" s="70">
        <f t="shared" ref="A459:A522" si="40">A458+1</f>
        <v>459</v>
      </c>
      <c r="B459" s="354" t="s">
        <v>65</v>
      </c>
      <c r="C459" s="354" t="s">
        <v>437</v>
      </c>
      <c r="D459" s="354" t="s">
        <v>165</v>
      </c>
      <c r="E459" s="404" t="s">
        <v>438</v>
      </c>
      <c r="F459" s="405" t="s">
        <v>167</v>
      </c>
      <c r="G459" s="406" t="s">
        <v>204</v>
      </c>
      <c r="H459" s="420" t="s">
        <v>183</v>
      </c>
      <c r="I459" s="420" t="s">
        <v>106</v>
      </c>
      <c r="J459" s="399" t="s">
        <v>179</v>
      </c>
      <c r="K459" s="414">
        <v>3</v>
      </c>
      <c r="L459" s="408">
        <f t="shared" si="37"/>
        <v>276</v>
      </c>
      <c r="M459" s="409">
        <v>230</v>
      </c>
      <c r="N459" s="306"/>
      <c r="O459" s="409">
        <v>46</v>
      </c>
      <c r="P459" s="410" t="e">
        <f>IF(M459="nio",0,IF(M459&gt;0,M459*K459/S459,0))*VLOOKUP(B459,'2-Kosten per locatie'!$A$14:$C$61,3,FALSE)</f>
        <v>#DIV/0!</v>
      </c>
      <c r="Q459" s="410">
        <f>IF(N459&gt;0,N459*K459/T459,0)*VLOOKUP(B459,'2-Kosten per locatie'!$A$14:$C$61,3,FALSE)</f>
        <v>0</v>
      </c>
      <c r="R459" s="410" t="e">
        <f>IF(O459&gt;0,O459*K459/U459,0)*VLOOKUP(B459,'2-Kosten per locatie'!$A$14:$C$61,3,FALSE)</f>
        <v>#DIV/0!</v>
      </c>
      <c r="S459" s="411">
        <f>IF(M459="nio",0,IF(M459&gt;0,VLOOKUP(I459,'3-Productie normen'!A:P,VLOOKUP(M459,'3-Productie normen'!$B$38:$C$48,2,FALSE),FALSE)))</f>
        <v>0</v>
      </c>
      <c r="T459" s="411">
        <f t="shared" si="38"/>
        <v>0</v>
      </c>
      <c r="U459" s="411">
        <f t="shared" si="36"/>
        <v>0</v>
      </c>
      <c r="V459" s="412"/>
      <c r="X459" s="413">
        <f t="shared" si="39"/>
        <v>828</v>
      </c>
    </row>
    <row r="460" spans="1:24" ht="14.1" customHeight="1">
      <c r="A460" s="70">
        <f t="shared" si="40"/>
        <v>460</v>
      </c>
      <c r="B460" s="354" t="s">
        <v>66</v>
      </c>
      <c r="C460" s="354" t="s">
        <v>438</v>
      </c>
      <c r="D460" s="354" t="s">
        <v>165</v>
      </c>
      <c r="E460" s="404" t="s">
        <v>444</v>
      </c>
      <c r="F460" s="405" t="s">
        <v>167</v>
      </c>
      <c r="G460" s="406" t="s">
        <v>194</v>
      </c>
      <c r="H460" s="420" t="s">
        <v>473</v>
      </c>
      <c r="I460" s="420" t="s">
        <v>108</v>
      </c>
      <c r="J460" s="399" t="s">
        <v>185</v>
      </c>
      <c r="K460" s="414">
        <v>28.3</v>
      </c>
      <c r="L460" s="408">
        <f t="shared" si="37"/>
        <v>430</v>
      </c>
      <c r="M460" s="409">
        <v>230</v>
      </c>
      <c r="N460" s="306">
        <v>200</v>
      </c>
      <c r="O460" s="409"/>
      <c r="P460" s="410" t="e">
        <f>IF(M460="nio",0,IF(M460&gt;0,M460*K460/S460,0))*VLOOKUP(B460,'2-Kosten per locatie'!$A$14:$C$61,3,FALSE)</f>
        <v>#DIV/0!</v>
      </c>
      <c r="Q460" s="410" t="e">
        <f>IF(N460&gt;0,N460*K460/T460,0)*VLOOKUP(B460,'2-Kosten per locatie'!$A$14:$C$61,3,FALSE)</f>
        <v>#DIV/0!</v>
      </c>
      <c r="R460" s="410">
        <f>IF(O460&gt;0,O460*K460/U460,0)*VLOOKUP(B460,'2-Kosten per locatie'!$A$14:$C$61,3,FALSE)</f>
        <v>0</v>
      </c>
      <c r="S460" s="411">
        <f>IF(M460="nio",0,IF(M460&gt;0,VLOOKUP(I460,'3-Productie normen'!A:P,VLOOKUP(M460,'3-Productie normen'!$B$38:$C$48,2,FALSE),FALSE)))</f>
        <v>0</v>
      </c>
      <c r="T460" s="411">
        <f t="shared" si="38"/>
        <v>0</v>
      </c>
      <c r="U460" s="411">
        <f t="shared" si="36"/>
        <v>0</v>
      </c>
      <c r="V460" s="412"/>
      <c r="X460" s="413">
        <f t="shared" si="39"/>
        <v>12169</v>
      </c>
    </row>
    <row r="461" spans="1:24" ht="14.1" customHeight="1">
      <c r="A461" s="70">
        <f t="shared" si="40"/>
        <v>461</v>
      </c>
      <c r="B461" s="354" t="s">
        <v>66</v>
      </c>
      <c r="C461" s="354" t="s">
        <v>438</v>
      </c>
      <c r="D461" s="354" t="s">
        <v>165</v>
      </c>
      <c r="E461" s="404" t="s">
        <v>444</v>
      </c>
      <c r="F461" s="405" t="s">
        <v>167</v>
      </c>
      <c r="G461" s="406" t="s">
        <v>196</v>
      </c>
      <c r="H461" s="420" t="s">
        <v>473</v>
      </c>
      <c r="I461" s="420" t="s">
        <v>108</v>
      </c>
      <c r="J461" s="399" t="s">
        <v>185</v>
      </c>
      <c r="K461" s="414">
        <v>18</v>
      </c>
      <c r="L461" s="408">
        <f t="shared" si="37"/>
        <v>430</v>
      </c>
      <c r="M461" s="409">
        <v>230</v>
      </c>
      <c r="N461" s="306">
        <v>200</v>
      </c>
      <c r="O461" s="409"/>
      <c r="P461" s="410" t="e">
        <f>IF(M461="nio",0,IF(M461&gt;0,M461*K461/S461,0))*VLOOKUP(B461,'2-Kosten per locatie'!$A$14:$C$61,3,FALSE)</f>
        <v>#DIV/0!</v>
      </c>
      <c r="Q461" s="410" t="e">
        <f>IF(N461&gt;0,N461*K461/T461,0)*VLOOKUP(B461,'2-Kosten per locatie'!$A$14:$C$61,3,FALSE)</f>
        <v>#DIV/0!</v>
      </c>
      <c r="R461" s="410">
        <f>IF(O461&gt;0,O461*K461/U461,0)*VLOOKUP(B461,'2-Kosten per locatie'!$A$14:$C$61,3,FALSE)</f>
        <v>0</v>
      </c>
      <c r="S461" s="411">
        <f>IF(M461="nio",0,IF(M461&gt;0,VLOOKUP(I461,'3-Productie normen'!A:P,VLOOKUP(M461,'3-Productie normen'!$B$38:$C$48,2,FALSE),FALSE)))</f>
        <v>0</v>
      </c>
      <c r="T461" s="411">
        <f t="shared" si="38"/>
        <v>0</v>
      </c>
      <c r="U461" s="411">
        <f t="shared" si="36"/>
        <v>0</v>
      </c>
      <c r="V461" s="412"/>
      <c r="X461" s="413">
        <f t="shared" si="39"/>
        <v>7740</v>
      </c>
    </row>
    <row r="462" spans="1:24" ht="14.1" customHeight="1">
      <c r="A462" s="70">
        <f t="shared" si="40"/>
        <v>462</v>
      </c>
      <c r="B462" s="354" t="s">
        <v>66</v>
      </c>
      <c r="C462" s="354" t="s">
        <v>438</v>
      </c>
      <c r="D462" s="354" t="s">
        <v>165</v>
      </c>
      <c r="E462" s="404" t="s">
        <v>444</v>
      </c>
      <c r="F462" s="405" t="s">
        <v>167</v>
      </c>
      <c r="G462" s="406" t="s">
        <v>198</v>
      </c>
      <c r="H462" s="420" t="s">
        <v>287</v>
      </c>
      <c r="I462" s="399" t="s">
        <v>124</v>
      </c>
      <c r="J462" s="399" t="s">
        <v>185</v>
      </c>
      <c r="K462" s="414">
        <v>6.2</v>
      </c>
      <c r="L462" s="408">
        <f t="shared" si="37"/>
        <v>0</v>
      </c>
      <c r="M462" s="409" t="s">
        <v>242</v>
      </c>
      <c r="N462" s="306"/>
      <c r="O462" s="409"/>
      <c r="P462" s="410">
        <f>IF(M462="nio",0,IF(M462&gt;0,M462*K462/S462,0))*VLOOKUP(B462,'2-Kosten per locatie'!$A$14:$C$61,3,FALSE)</f>
        <v>0</v>
      </c>
      <c r="Q462" s="410">
        <f>IF(N462&gt;0,N462*K462/T462,0)*VLOOKUP(B462,'2-Kosten per locatie'!$A$14:$C$61,3,FALSE)</f>
        <v>0</v>
      </c>
      <c r="R462" s="410">
        <f>IF(O462&gt;0,O462*K462/U462,0)*VLOOKUP(B462,'2-Kosten per locatie'!$A$14:$C$61,3,FALSE)</f>
        <v>0</v>
      </c>
      <c r="S462" s="411">
        <f>IF(M462="nio",0,IF(M462&gt;0,VLOOKUP(I462,'3-Productie normen'!A:P,VLOOKUP(M462,'3-Productie normen'!$B$38:$C$48,2,FALSE),FALSE)))</f>
        <v>0</v>
      </c>
      <c r="T462" s="411">
        <f t="shared" si="38"/>
        <v>0</v>
      </c>
      <c r="U462" s="411">
        <f t="shared" ref="U462:U525" si="41">IF(OR(O462&gt;0),S462*$U$8,0)</f>
        <v>0</v>
      </c>
      <c r="V462" s="412"/>
      <c r="X462" s="413">
        <f t="shared" si="39"/>
        <v>0</v>
      </c>
    </row>
    <row r="463" spans="1:24" ht="14.1" customHeight="1">
      <c r="A463" s="70">
        <f t="shared" si="40"/>
        <v>463</v>
      </c>
      <c r="B463" s="354" t="s">
        <v>66</v>
      </c>
      <c r="C463" s="354" t="s">
        <v>438</v>
      </c>
      <c r="D463" s="354" t="s">
        <v>165</v>
      </c>
      <c r="E463" s="404" t="s">
        <v>444</v>
      </c>
      <c r="F463" s="405" t="s">
        <v>167</v>
      </c>
      <c r="G463" s="406" t="s">
        <v>199</v>
      </c>
      <c r="H463" s="420" t="s">
        <v>287</v>
      </c>
      <c r="I463" s="399" t="s">
        <v>124</v>
      </c>
      <c r="J463" s="399" t="s">
        <v>185</v>
      </c>
      <c r="K463" s="414">
        <v>6.2</v>
      </c>
      <c r="L463" s="408">
        <f t="shared" si="37"/>
        <v>0</v>
      </c>
      <c r="M463" s="409" t="s">
        <v>242</v>
      </c>
      <c r="N463" s="306"/>
      <c r="O463" s="409"/>
      <c r="P463" s="410">
        <f>IF(M463="nio",0,IF(M463&gt;0,M463*K463/S463,0))*VLOOKUP(B463,'2-Kosten per locatie'!$A$14:$C$61,3,FALSE)</f>
        <v>0</v>
      </c>
      <c r="Q463" s="410">
        <f>IF(N463&gt;0,N463*K463/T463,0)*VLOOKUP(B463,'2-Kosten per locatie'!$A$14:$C$61,3,FALSE)</f>
        <v>0</v>
      </c>
      <c r="R463" s="410">
        <f>IF(O463&gt;0,O463*K463/U463,0)*VLOOKUP(B463,'2-Kosten per locatie'!$A$14:$C$61,3,FALSE)</f>
        <v>0</v>
      </c>
      <c r="S463" s="411">
        <f>IF(M463="nio",0,IF(M463&gt;0,VLOOKUP(I463,'3-Productie normen'!A:P,VLOOKUP(M463,'3-Productie normen'!$B$38:$C$48,2,FALSE),FALSE)))</f>
        <v>0</v>
      </c>
      <c r="T463" s="411">
        <f t="shared" si="38"/>
        <v>0</v>
      </c>
      <c r="U463" s="411">
        <f t="shared" si="41"/>
        <v>0</v>
      </c>
      <c r="V463" s="412"/>
      <c r="X463" s="413">
        <f t="shared" si="39"/>
        <v>0</v>
      </c>
    </row>
    <row r="464" spans="1:24" ht="14.1" customHeight="1">
      <c r="A464" s="70">
        <f t="shared" si="40"/>
        <v>464</v>
      </c>
      <c r="B464" s="354" t="s">
        <v>66</v>
      </c>
      <c r="C464" s="354" t="s">
        <v>438</v>
      </c>
      <c r="D464" s="354" t="s">
        <v>165</v>
      </c>
      <c r="E464" s="404" t="s">
        <v>444</v>
      </c>
      <c r="F464" s="405" t="s">
        <v>167</v>
      </c>
      <c r="G464" s="406" t="s">
        <v>202</v>
      </c>
      <c r="H464" s="420" t="s">
        <v>183</v>
      </c>
      <c r="I464" s="420" t="s">
        <v>106</v>
      </c>
      <c r="J464" s="399" t="s">
        <v>184</v>
      </c>
      <c r="K464" s="414">
        <v>1.8</v>
      </c>
      <c r="L464" s="408">
        <f t="shared" si="37"/>
        <v>430</v>
      </c>
      <c r="M464" s="409">
        <v>230</v>
      </c>
      <c r="N464" s="306">
        <v>200</v>
      </c>
      <c r="O464" s="409"/>
      <c r="P464" s="410" t="e">
        <f>IF(M464="nio",0,IF(M464&gt;0,M464*K464/S464,0))*VLOOKUP(B464,'2-Kosten per locatie'!$A$14:$C$61,3,FALSE)</f>
        <v>#DIV/0!</v>
      </c>
      <c r="Q464" s="410" t="e">
        <f>IF(N464&gt;0,N464*K464/T464,0)*VLOOKUP(B464,'2-Kosten per locatie'!$A$14:$C$61,3,FALSE)</f>
        <v>#DIV/0!</v>
      </c>
      <c r="R464" s="410">
        <f>IF(O464&gt;0,O464*K464/U464,0)*VLOOKUP(B464,'2-Kosten per locatie'!$A$14:$C$61,3,FALSE)</f>
        <v>0</v>
      </c>
      <c r="S464" s="411">
        <f>IF(M464="nio",0,IF(M464&gt;0,VLOOKUP(I464,'3-Productie normen'!A:P,VLOOKUP(M464,'3-Productie normen'!$B$38:$C$48,2,FALSE),FALSE)))</f>
        <v>0</v>
      </c>
      <c r="T464" s="411">
        <f t="shared" si="38"/>
        <v>0</v>
      </c>
      <c r="U464" s="411">
        <f t="shared" si="41"/>
        <v>0</v>
      </c>
      <c r="V464" s="412"/>
      <c r="X464" s="413">
        <f t="shared" si="39"/>
        <v>774</v>
      </c>
    </row>
    <row r="465" spans="1:24" ht="14.1" customHeight="1">
      <c r="A465" s="70">
        <f t="shared" si="40"/>
        <v>465</v>
      </c>
      <c r="B465" s="354" t="s">
        <v>66</v>
      </c>
      <c r="C465" s="354" t="s">
        <v>438</v>
      </c>
      <c r="D465" s="354" t="s">
        <v>165</v>
      </c>
      <c r="E465" s="404" t="s">
        <v>444</v>
      </c>
      <c r="F465" s="405" t="s">
        <v>167</v>
      </c>
      <c r="G465" s="406" t="s">
        <v>203</v>
      </c>
      <c r="H465" s="420" t="s">
        <v>183</v>
      </c>
      <c r="I465" s="420" t="s">
        <v>106</v>
      </c>
      <c r="J465" s="399" t="s">
        <v>184</v>
      </c>
      <c r="K465" s="414">
        <v>1.8</v>
      </c>
      <c r="L465" s="408">
        <f t="shared" si="37"/>
        <v>430</v>
      </c>
      <c r="M465" s="409">
        <v>230</v>
      </c>
      <c r="N465" s="306">
        <v>200</v>
      </c>
      <c r="O465" s="409"/>
      <c r="P465" s="410" t="e">
        <f>IF(M465="nio",0,IF(M465&gt;0,M465*K465/S465,0))*VLOOKUP(B465,'2-Kosten per locatie'!$A$14:$C$61,3,FALSE)</f>
        <v>#DIV/0!</v>
      </c>
      <c r="Q465" s="410" t="e">
        <f>IF(N465&gt;0,N465*K465/T465,0)*VLOOKUP(B465,'2-Kosten per locatie'!$A$14:$C$61,3,FALSE)</f>
        <v>#DIV/0!</v>
      </c>
      <c r="R465" s="410">
        <f>IF(O465&gt;0,O465*K465/U465,0)*VLOOKUP(B465,'2-Kosten per locatie'!$A$14:$C$61,3,FALSE)</f>
        <v>0</v>
      </c>
      <c r="S465" s="411">
        <f>IF(M465="nio",0,IF(M465&gt;0,VLOOKUP(I465,'3-Productie normen'!A:P,VLOOKUP(M465,'3-Productie normen'!$B$38:$C$48,2,FALSE),FALSE)))</f>
        <v>0</v>
      </c>
      <c r="T465" s="411">
        <f t="shared" si="38"/>
        <v>0</v>
      </c>
      <c r="U465" s="411">
        <f t="shared" si="41"/>
        <v>0</v>
      </c>
      <c r="V465" s="412"/>
      <c r="X465" s="413">
        <f t="shared" si="39"/>
        <v>774</v>
      </c>
    </row>
    <row r="466" spans="1:24" ht="14.1" customHeight="1">
      <c r="A466" s="70">
        <f t="shared" si="40"/>
        <v>466</v>
      </c>
      <c r="B466" s="354" t="s">
        <v>66</v>
      </c>
      <c r="C466" s="354" t="s">
        <v>438</v>
      </c>
      <c r="D466" s="354" t="s">
        <v>165</v>
      </c>
      <c r="E466" s="404" t="s">
        <v>444</v>
      </c>
      <c r="F466" s="405" t="s">
        <v>167</v>
      </c>
      <c r="G466" s="406" t="s">
        <v>204</v>
      </c>
      <c r="H466" s="420" t="s">
        <v>183</v>
      </c>
      <c r="I466" s="420" t="s">
        <v>106</v>
      </c>
      <c r="J466" s="399" t="s">
        <v>184</v>
      </c>
      <c r="K466" s="414">
        <v>10.1</v>
      </c>
      <c r="L466" s="408">
        <f t="shared" si="37"/>
        <v>430</v>
      </c>
      <c r="M466" s="409">
        <v>230</v>
      </c>
      <c r="N466" s="306">
        <v>200</v>
      </c>
      <c r="O466" s="409"/>
      <c r="P466" s="410" t="e">
        <f>IF(M466="nio",0,IF(M466&gt;0,M466*K466/S466,0))*VLOOKUP(B466,'2-Kosten per locatie'!$A$14:$C$61,3,FALSE)</f>
        <v>#DIV/0!</v>
      </c>
      <c r="Q466" s="410" t="e">
        <f>IF(N466&gt;0,N466*K466/T466,0)*VLOOKUP(B466,'2-Kosten per locatie'!$A$14:$C$61,3,FALSE)</f>
        <v>#DIV/0!</v>
      </c>
      <c r="R466" s="410">
        <f>IF(O466&gt;0,O466*K466/U466,0)*VLOOKUP(B466,'2-Kosten per locatie'!$A$14:$C$61,3,FALSE)</f>
        <v>0</v>
      </c>
      <c r="S466" s="411">
        <f>IF(M466="nio",0,IF(M466&gt;0,VLOOKUP(I466,'3-Productie normen'!A:P,VLOOKUP(M466,'3-Productie normen'!$B$38:$C$48,2,FALSE),FALSE)))</f>
        <v>0</v>
      </c>
      <c r="T466" s="411">
        <f t="shared" si="38"/>
        <v>0</v>
      </c>
      <c r="U466" s="411">
        <f t="shared" si="41"/>
        <v>0</v>
      </c>
      <c r="V466" s="412"/>
      <c r="X466" s="413">
        <f t="shared" si="39"/>
        <v>4343</v>
      </c>
    </row>
    <row r="467" spans="1:24" ht="14.1" customHeight="1">
      <c r="A467" s="70">
        <f t="shared" si="40"/>
        <v>467</v>
      </c>
      <c r="B467" s="354" t="s">
        <v>66</v>
      </c>
      <c r="C467" s="354" t="s">
        <v>438</v>
      </c>
      <c r="D467" s="354" t="s">
        <v>165</v>
      </c>
      <c r="E467" s="404" t="s">
        <v>444</v>
      </c>
      <c r="F467" s="405" t="s">
        <v>167</v>
      </c>
      <c r="G467" s="406" t="s">
        <v>205</v>
      </c>
      <c r="H467" s="420" t="s">
        <v>183</v>
      </c>
      <c r="I467" s="420" t="s">
        <v>106</v>
      </c>
      <c r="J467" s="399" t="s">
        <v>184</v>
      </c>
      <c r="K467" s="414">
        <v>10.1</v>
      </c>
      <c r="L467" s="408">
        <f t="shared" si="37"/>
        <v>430</v>
      </c>
      <c r="M467" s="409">
        <v>230</v>
      </c>
      <c r="N467" s="306">
        <v>200</v>
      </c>
      <c r="O467" s="409"/>
      <c r="P467" s="410" t="e">
        <f>IF(M467="nio",0,IF(M467&gt;0,M467*K467/S467,0))*VLOOKUP(B467,'2-Kosten per locatie'!$A$14:$C$61,3,FALSE)</f>
        <v>#DIV/0!</v>
      </c>
      <c r="Q467" s="410" t="e">
        <f>IF(N467&gt;0,N467*K467/T467,0)*VLOOKUP(B467,'2-Kosten per locatie'!$A$14:$C$61,3,FALSE)</f>
        <v>#DIV/0!</v>
      </c>
      <c r="R467" s="410">
        <f>IF(O467&gt;0,O467*K467/U467,0)*VLOOKUP(B467,'2-Kosten per locatie'!$A$14:$C$61,3,FALSE)</f>
        <v>0</v>
      </c>
      <c r="S467" s="411">
        <f>IF(M467="nio",0,IF(M467&gt;0,VLOOKUP(I467,'3-Productie normen'!A:P,VLOOKUP(M467,'3-Productie normen'!$B$38:$C$48,2,FALSE),FALSE)))</f>
        <v>0</v>
      </c>
      <c r="T467" s="411">
        <f t="shared" si="38"/>
        <v>0</v>
      </c>
      <c r="U467" s="411">
        <f t="shared" si="41"/>
        <v>0</v>
      </c>
      <c r="V467" s="412"/>
      <c r="X467" s="413">
        <f t="shared" si="39"/>
        <v>4343</v>
      </c>
    </row>
    <row r="468" spans="1:24" ht="14.1" customHeight="1">
      <c r="A468" s="70">
        <f t="shared" si="40"/>
        <v>468</v>
      </c>
      <c r="B468" s="354" t="s">
        <v>66</v>
      </c>
      <c r="C468" s="354" t="s">
        <v>438</v>
      </c>
      <c r="D468" s="354" t="s">
        <v>165</v>
      </c>
      <c r="E468" s="404" t="s">
        <v>444</v>
      </c>
      <c r="F468" s="405" t="s">
        <v>167</v>
      </c>
      <c r="G468" s="406" t="s">
        <v>248</v>
      </c>
      <c r="H468" s="420" t="s">
        <v>473</v>
      </c>
      <c r="I468" s="420" t="s">
        <v>108</v>
      </c>
      <c r="J468" s="399" t="s">
        <v>185</v>
      </c>
      <c r="K468" s="414">
        <v>60.9</v>
      </c>
      <c r="L468" s="408">
        <f t="shared" si="37"/>
        <v>430</v>
      </c>
      <c r="M468" s="409">
        <v>230</v>
      </c>
      <c r="N468" s="306">
        <v>200</v>
      </c>
      <c r="O468" s="409"/>
      <c r="P468" s="410" t="e">
        <f>IF(M468="nio",0,IF(M468&gt;0,M468*K468/S468,0))*VLOOKUP(B468,'2-Kosten per locatie'!$A$14:$C$61,3,FALSE)</f>
        <v>#DIV/0!</v>
      </c>
      <c r="Q468" s="410" t="e">
        <f>IF(N468&gt;0,N468*K468/T468,0)*VLOOKUP(B468,'2-Kosten per locatie'!$A$14:$C$61,3,FALSE)</f>
        <v>#DIV/0!</v>
      </c>
      <c r="R468" s="410">
        <f>IF(O468&gt;0,O468*K468/U468,0)*VLOOKUP(B468,'2-Kosten per locatie'!$A$14:$C$61,3,FALSE)</f>
        <v>0</v>
      </c>
      <c r="S468" s="411">
        <f>IF(M468="nio",0,IF(M468&gt;0,VLOOKUP(I468,'3-Productie normen'!A:P,VLOOKUP(M468,'3-Productie normen'!$B$38:$C$48,2,FALSE),FALSE)))</f>
        <v>0</v>
      </c>
      <c r="T468" s="411">
        <f t="shared" si="38"/>
        <v>0</v>
      </c>
      <c r="U468" s="411">
        <f t="shared" si="41"/>
        <v>0</v>
      </c>
      <c r="V468" s="412"/>
      <c r="X468" s="413">
        <f t="shared" si="39"/>
        <v>26187</v>
      </c>
    </row>
    <row r="469" spans="1:24" ht="14.1" customHeight="1">
      <c r="A469" s="70">
        <f t="shared" si="40"/>
        <v>469</v>
      </c>
      <c r="B469" s="354" t="s">
        <v>66</v>
      </c>
      <c r="C469" s="354" t="s">
        <v>438</v>
      </c>
      <c r="D469" s="354" t="s">
        <v>165</v>
      </c>
      <c r="E469" s="404" t="s">
        <v>444</v>
      </c>
      <c r="F469" s="405" t="s">
        <v>167</v>
      </c>
      <c r="G469" s="406" t="s">
        <v>249</v>
      </c>
      <c r="H469" s="420" t="s">
        <v>439</v>
      </c>
      <c r="I469" s="420" t="s">
        <v>111</v>
      </c>
      <c r="J469" s="399" t="s">
        <v>185</v>
      </c>
      <c r="K469" s="414">
        <v>26.1</v>
      </c>
      <c r="L469" s="408">
        <f t="shared" si="37"/>
        <v>430</v>
      </c>
      <c r="M469" s="409">
        <v>230</v>
      </c>
      <c r="N469" s="306">
        <v>200</v>
      </c>
      <c r="O469" s="409"/>
      <c r="P469" s="410" t="e">
        <f>IF(M469="nio",0,IF(M469&gt;0,M469*K469/S469,0))*VLOOKUP(B469,'2-Kosten per locatie'!$A$14:$C$61,3,FALSE)</f>
        <v>#DIV/0!</v>
      </c>
      <c r="Q469" s="410" t="e">
        <f>IF(N469&gt;0,N469*K469/T469,0)*VLOOKUP(B469,'2-Kosten per locatie'!$A$14:$C$61,3,FALSE)</f>
        <v>#DIV/0!</v>
      </c>
      <c r="R469" s="410">
        <f>IF(O469&gt;0,O469*K469/U469,0)*VLOOKUP(B469,'2-Kosten per locatie'!$A$14:$C$61,3,FALSE)</f>
        <v>0</v>
      </c>
      <c r="S469" s="411">
        <f>IF(M469="nio",0,IF(M469&gt;0,VLOOKUP(I469,'3-Productie normen'!A:P,VLOOKUP(M469,'3-Productie normen'!$B$38:$C$48,2,FALSE),FALSE)))</f>
        <v>0</v>
      </c>
      <c r="T469" s="411">
        <f t="shared" si="38"/>
        <v>0</v>
      </c>
      <c r="U469" s="411">
        <f t="shared" si="41"/>
        <v>0</v>
      </c>
      <c r="V469" s="412"/>
      <c r="X469" s="413">
        <f t="shared" si="39"/>
        <v>11223</v>
      </c>
    </row>
    <row r="470" spans="1:24" ht="14.1" customHeight="1">
      <c r="A470" s="70">
        <f t="shared" si="40"/>
        <v>470</v>
      </c>
      <c r="B470" s="354" t="s">
        <v>66</v>
      </c>
      <c r="C470" s="354" t="s">
        <v>438</v>
      </c>
      <c r="D470" s="354" t="s">
        <v>165</v>
      </c>
      <c r="E470" s="404" t="s">
        <v>444</v>
      </c>
      <c r="F470" s="405" t="s">
        <v>167</v>
      </c>
      <c r="G470" s="406" t="s">
        <v>251</v>
      </c>
      <c r="H470" s="420" t="s">
        <v>439</v>
      </c>
      <c r="I470" s="420" t="s">
        <v>111</v>
      </c>
      <c r="J470" s="399" t="s">
        <v>185</v>
      </c>
      <c r="K470" s="414">
        <v>22</v>
      </c>
      <c r="L470" s="408">
        <f t="shared" si="37"/>
        <v>430</v>
      </c>
      <c r="M470" s="409">
        <v>230</v>
      </c>
      <c r="N470" s="306">
        <v>200</v>
      </c>
      <c r="O470" s="409"/>
      <c r="P470" s="410" t="e">
        <f>IF(M470="nio",0,IF(M470&gt;0,M470*K470/S470,0))*VLOOKUP(B470,'2-Kosten per locatie'!$A$14:$C$61,3,FALSE)</f>
        <v>#DIV/0!</v>
      </c>
      <c r="Q470" s="410" t="e">
        <f>IF(N470&gt;0,N470*K470/T470,0)*VLOOKUP(B470,'2-Kosten per locatie'!$A$14:$C$61,3,FALSE)</f>
        <v>#DIV/0!</v>
      </c>
      <c r="R470" s="410">
        <f>IF(O470&gt;0,O470*K470/U470,0)*VLOOKUP(B470,'2-Kosten per locatie'!$A$14:$C$61,3,FALSE)</f>
        <v>0</v>
      </c>
      <c r="S470" s="411">
        <f>IF(M470="nio",0,IF(M470&gt;0,VLOOKUP(I470,'3-Productie normen'!A:P,VLOOKUP(M470,'3-Productie normen'!$B$38:$C$48,2,FALSE),FALSE)))</f>
        <v>0</v>
      </c>
      <c r="T470" s="411">
        <f t="shared" si="38"/>
        <v>0</v>
      </c>
      <c r="U470" s="411">
        <f t="shared" si="41"/>
        <v>0</v>
      </c>
      <c r="V470" s="412"/>
      <c r="X470" s="413">
        <f t="shared" si="39"/>
        <v>9460</v>
      </c>
    </row>
    <row r="471" spans="1:24" ht="14.1" customHeight="1">
      <c r="A471" s="70">
        <f t="shared" si="40"/>
        <v>471</v>
      </c>
      <c r="B471" s="354" t="s">
        <v>66</v>
      </c>
      <c r="C471" s="354" t="s">
        <v>438</v>
      </c>
      <c r="D471" s="354" t="s">
        <v>165</v>
      </c>
      <c r="E471" s="404" t="s">
        <v>444</v>
      </c>
      <c r="F471" s="405" t="s">
        <v>167</v>
      </c>
      <c r="G471" s="406" t="s">
        <v>474</v>
      </c>
      <c r="H471" s="420" t="s">
        <v>183</v>
      </c>
      <c r="I471" s="420" t="s">
        <v>106</v>
      </c>
      <c r="J471" s="399" t="s">
        <v>184</v>
      </c>
      <c r="K471" s="414">
        <v>7.4</v>
      </c>
      <c r="L471" s="408">
        <f t="shared" si="37"/>
        <v>430</v>
      </c>
      <c r="M471" s="409">
        <v>230</v>
      </c>
      <c r="N471" s="306">
        <v>200</v>
      </c>
      <c r="O471" s="409"/>
      <c r="P471" s="410" t="e">
        <f>IF(M471="nio",0,IF(M471&gt;0,M471*K471/S471,0))*VLOOKUP(B471,'2-Kosten per locatie'!$A$14:$C$61,3,FALSE)</f>
        <v>#DIV/0!</v>
      </c>
      <c r="Q471" s="410" t="e">
        <f>IF(N471&gt;0,N471*K471/T471,0)*VLOOKUP(B471,'2-Kosten per locatie'!$A$14:$C$61,3,FALSE)</f>
        <v>#DIV/0!</v>
      </c>
      <c r="R471" s="410">
        <f>IF(O471&gt;0,O471*K471/U471,0)*VLOOKUP(B471,'2-Kosten per locatie'!$A$14:$C$61,3,FALSE)</f>
        <v>0</v>
      </c>
      <c r="S471" s="411">
        <f>IF(M471="nio",0,IF(M471&gt;0,VLOOKUP(I471,'3-Productie normen'!A:P,VLOOKUP(M471,'3-Productie normen'!$B$38:$C$48,2,FALSE),FALSE)))</f>
        <v>0</v>
      </c>
      <c r="T471" s="411">
        <f t="shared" si="38"/>
        <v>0</v>
      </c>
      <c r="U471" s="411">
        <f t="shared" si="41"/>
        <v>0</v>
      </c>
      <c r="V471" s="412"/>
      <c r="X471" s="413">
        <f t="shared" si="39"/>
        <v>3182</v>
      </c>
    </row>
    <row r="472" spans="1:24" ht="14.1" customHeight="1">
      <c r="A472" s="70">
        <f t="shared" si="40"/>
        <v>472</v>
      </c>
      <c r="B472" s="354" t="s">
        <v>66</v>
      </c>
      <c r="C472" s="354" t="s">
        <v>438</v>
      </c>
      <c r="D472" s="354" t="s">
        <v>165</v>
      </c>
      <c r="E472" s="404" t="s">
        <v>444</v>
      </c>
      <c r="F472" s="405" t="s">
        <v>167</v>
      </c>
      <c r="G472" s="406" t="s">
        <v>475</v>
      </c>
      <c r="H472" s="420" t="s">
        <v>183</v>
      </c>
      <c r="I472" s="420" t="s">
        <v>106</v>
      </c>
      <c r="J472" s="399" t="s">
        <v>184</v>
      </c>
      <c r="K472" s="414">
        <v>7.4</v>
      </c>
      <c r="L472" s="408">
        <f t="shared" si="37"/>
        <v>430</v>
      </c>
      <c r="M472" s="409">
        <v>230</v>
      </c>
      <c r="N472" s="306">
        <v>200</v>
      </c>
      <c r="O472" s="409"/>
      <c r="P472" s="410" t="e">
        <f>IF(M472="nio",0,IF(M472&gt;0,M472*K472/S472,0))*VLOOKUP(B472,'2-Kosten per locatie'!$A$14:$C$61,3,FALSE)</f>
        <v>#DIV/0!</v>
      </c>
      <c r="Q472" s="410" t="e">
        <f>IF(N472&gt;0,N472*K472/T472,0)*VLOOKUP(B472,'2-Kosten per locatie'!$A$14:$C$61,3,FALSE)</f>
        <v>#DIV/0!</v>
      </c>
      <c r="R472" s="410">
        <f>IF(O472&gt;0,O472*K472/U472,0)*VLOOKUP(B472,'2-Kosten per locatie'!$A$14:$C$61,3,FALSE)</f>
        <v>0</v>
      </c>
      <c r="S472" s="411">
        <f>IF(M472="nio",0,IF(M472&gt;0,VLOOKUP(I472,'3-Productie normen'!A:P,VLOOKUP(M472,'3-Productie normen'!$B$38:$C$48,2,FALSE),FALSE)))</f>
        <v>0</v>
      </c>
      <c r="T472" s="411">
        <f t="shared" si="38"/>
        <v>0</v>
      </c>
      <c r="U472" s="411">
        <f t="shared" si="41"/>
        <v>0</v>
      </c>
      <c r="V472" s="412"/>
      <c r="X472" s="413">
        <f t="shared" si="39"/>
        <v>3182</v>
      </c>
    </row>
    <row r="473" spans="1:24" ht="14.1" customHeight="1">
      <c r="A473" s="70">
        <f t="shared" si="40"/>
        <v>473</v>
      </c>
      <c r="B473" s="354" t="s">
        <v>66</v>
      </c>
      <c r="C473" s="354" t="s">
        <v>438</v>
      </c>
      <c r="D473" s="354" t="s">
        <v>165</v>
      </c>
      <c r="E473" s="404" t="s">
        <v>444</v>
      </c>
      <c r="F473" s="405" t="s">
        <v>167</v>
      </c>
      <c r="G473" s="406" t="s">
        <v>476</v>
      </c>
      <c r="H473" s="420" t="s">
        <v>439</v>
      </c>
      <c r="I473" s="420" t="s">
        <v>111</v>
      </c>
      <c r="J473" s="399" t="s">
        <v>185</v>
      </c>
      <c r="K473" s="414">
        <v>21.8</v>
      </c>
      <c r="L473" s="408">
        <f t="shared" si="37"/>
        <v>430</v>
      </c>
      <c r="M473" s="409">
        <v>230</v>
      </c>
      <c r="N473" s="306">
        <v>200</v>
      </c>
      <c r="O473" s="409"/>
      <c r="P473" s="410" t="e">
        <f>IF(M473="nio",0,IF(M473&gt;0,M473*K473/S473,0))*VLOOKUP(B473,'2-Kosten per locatie'!$A$14:$C$61,3,FALSE)</f>
        <v>#DIV/0!</v>
      </c>
      <c r="Q473" s="410" t="e">
        <f>IF(N473&gt;0,N473*K473/T473,0)*VLOOKUP(B473,'2-Kosten per locatie'!$A$14:$C$61,3,FALSE)</f>
        <v>#DIV/0!</v>
      </c>
      <c r="R473" s="410">
        <f>IF(O473&gt;0,O473*K473/U473,0)*VLOOKUP(B473,'2-Kosten per locatie'!$A$14:$C$61,3,FALSE)</f>
        <v>0</v>
      </c>
      <c r="S473" s="411">
        <f>IF(M473="nio",0,IF(M473&gt;0,VLOOKUP(I473,'3-Productie normen'!A:P,VLOOKUP(M473,'3-Productie normen'!$B$38:$C$48,2,FALSE),FALSE)))</f>
        <v>0</v>
      </c>
      <c r="T473" s="411">
        <f t="shared" si="38"/>
        <v>0</v>
      </c>
      <c r="U473" s="411">
        <f t="shared" si="41"/>
        <v>0</v>
      </c>
      <c r="V473" s="412"/>
      <c r="X473" s="413">
        <f t="shared" si="39"/>
        <v>9374</v>
      </c>
    </row>
    <row r="474" spans="1:24" ht="14.1" customHeight="1">
      <c r="A474" s="70">
        <f t="shared" si="40"/>
        <v>474</v>
      </c>
      <c r="B474" s="354" t="s">
        <v>66</v>
      </c>
      <c r="C474" s="354" t="s">
        <v>438</v>
      </c>
      <c r="D474" s="354" t="s">
        <v>165</v>
      </c>
      <c r="E474" s="404" t="s">
        <v>444</v>
      </c>
      <c r="F474" s="405" t="s">
        <v>167</v>
      </c>
      <c r="G474" s="406" t="s">
        <v>477</v>
      </c>
      <c r="H474" s="420" t="s">
        <v>206</v>
      </c>
      <c r="I474" s="420" t="s">
        <v>108</v>
      </c>
      <c r="J474" s="399" t="s">
        <v>185</v>
      </c>
      <c r="K474" s="414">
        <v>3.3</v>
      </c>
      <c r="L474" s="408">
        <f t="shared" si="37"/>
        <v>430</v>
      </c>
      <c r="M474" s="409">
        <v>230</v>
      </c>
      <c r="N474" s="306">
        <v>200</v>
      </c>
      <c r="O474" s="409"/>
      <c r="P474" s="410" t="e">
        <f>IF(M474="nio",0,IF(M474&gt;0,M474*K474/S474,0))*VLOOKUP(B474,'2-Kosten per locatie'!$A$14:$C$61,3,FALSE)</f>
        <v>#DIV/0!</v>
      </c>
      <c r="Q474" s="410" t="e">
        <f>IF(N474&gt;0,N474*K474/T474,0)*VLOOKUP(B474,'2-Kosten per locatie'!$A$14:$C$61,3,FALSE)</f>
        <v>#DIV/0!</v>
      </c>
      <c r="R474" s="410">
        <f>IF(O474&gt;0,O474*K474/U474,0)*VLOOKUP(B474,'2-Kosten per locatie'!$A$14:$C$61,3,FALSE)</f>
        <v>0</v>
      </c>
      <c r="S474" s="411">
        <f>IF(M474="nio",0,IF(M474&gt;0,VLOOKUP(I474,'3-Productie normen'!A:P,VLOOKUP(M474,'3-Productie normen'!$B$38:$C$48,2,FALSE),FALSE)))</f>
        <v>0</v>
      </c>
      <c r="T474" s="411">
        <f t="shared" si="38"/>
        <v>0</v>
      </c>
      <c r="U474" s="411">
        <f t="shared" si="41"/>
        <v>0</v>
      </c>
      <c r="V474" s="412"/>
      <c r="X474" s="413">
        <f t="shared" si="39"/>
        <v>1419</v>
      </c>
    </row>
    <row r="475" spans="1:24" ht="14.1" customHeight="1">
      <c r="A475" s="70">
        <f t="shared" si="40"/>
        <v>475</v>
      </c>
      <c r="B475" s="354" t="s">
        <v>66</v>
      </c>
      <c r="C475" s="354" t="s">
        <v>438</v>
      </c>
      <c r="D475" s="354" t="s">
        <v>165</v>
      </c>
      <c r="E475" s="404" t="s">
        <v>444</v>
      </c>
      <c r="F475" s="405" t="s">
        <v>167</v>
      </c>
      <c r="G475" s="406" t="s">
        <v>478</v>
      </c>
      <c r="H475" s="420" t="s">
        <v>183</v>
      </c>
      <c r="I475" s="420" t="s">
        <v>106</v>
      </c>
      <c r="J475" s="399" t="s">
        <v>184</v>
      </c>
      <c r="K475" s="414">
        <v>1.8</v>
      </c>
      <c r="L475" s="408">
        <f t="shared" si="37"/>
        <v>430</v>
      </c>
      <c r="M475" s="409">
        <v>230</v>
      </c>
      <c r="N475" s="306">
        <v>200</v>
      </c>
      <c r="O475" s="409"/>
      <c r="P475" s="410" t="e">
        <f>IF(M475="nio",0,IF(M475&gt;0,M475*K475/S475,0))*VLOOKUP(B475,'2-Kosten per locatie'!$A$14:$C$61,3,FALSE)</f>
        <v>#DIV/0!</v>
      </c>
      <c r="Q475" s="410" t="e">
        <f>IF(N475&gt;0,N475*K475/T475,0)*VLOOKUP(B475,'2-Kosten per locatie'!$A$14:$C$61,3,FALSE)</f>
        <v>#DIV/0!</v>
      </c>
      <c r="R475" s="410">
        <f>IF(O475&gt;0,O475*K475/U475,0)*VLOOKUP(B475,'2-Kosten per locatie'!$A$14:$C$61,3,FALSE)</f>
        <v>0</v>
      </c>
      <c r="S475" s="411">
        <f>IF(M475="nio",0,IF(M475&gt;0,VLOOKUP(I475,'3-Productie normen'!A:P,VLOOKUP(M475,'3-Productie normen'!$B$38:$C$48,2,FALSE),FALSE)))</f>
        <v>0</v>
      </c>
      <c r="T475" s="411">
        <f t="shared" si="38"/>
        <v>0</v>
      </c>
      <c r="U475" s="411">
        <f t="shared" si="41"/>
        <v>0</v>
      </c>
      <c r="V475" s="412"/>
      <c r="X475" s="413">
        <f t="shared" si="39"/>
        <v>774</v>
      </c>
    </row>
    <row r="476" spans="1:24" ht="14.1" customHeight="1">
      <c r="A476" s="70">
        <f t="shared" si="40"/>
        <v>476</v>
      </c>
      <c r="B476" s="354" t="s">
        <v>66</v>
      </c>
      <c r="C476" s="354" t="s">
        <v>438</v>
      </c>
      <c r="D476" s="354" t="s">
        <v>165</v>
      </c>
      <c r="E476" s="404" t="s">
        <v>444</v>
      </c>
      <c r="F476" s="405" t="s">
        <v>167</v>
      </c>
      <c r="G476" s="406" t="s">
        <v>479</v>
      </c>
      <c r="H476" s="420" t="s">
        <v>183</v>
      </c>
      <c r="I476" s="420" t="s">
        <v>106</v>
      </c>
      <c r="J476" s="399" t="s">
        <v>184</v>
      </c>
      <c r="K476" s="414">
        <v>1.8</v>
      </c>
      <c r="L476" s="408">
        <f t="shared" si="37"/>
        <v>430</v>
      </c>
      <c r="M476" s="409">
        <v>230</v>
      </c>
      <c r="N476" s="306">
        <v>200</v>
      </c>
      <c r="O476" s="409"/>
      <c r="P476" s="410" t="e">
        <f>IF(M476="nio",0,IF(M476&gt;0,M476*K476/S476,0))*VLOOKUP(B476,'2-Kosten per locatie'!$A$14:$C$61,3,FALSE)</f>
        <v>#DIV/0!</v>
      </c>
      <c r="Q476" s="410" t="e">
        <f>IF(N476&gt;0,N476*K476/T476,0)*VLOOKUP(B476,'2-Kosten per locatie'!$A$14:$C$61,3,FALSE)</f>
        <v>#DIV/0!</v>
      </c>
      <c r="R476" s="410">
        <f>IF(O476&gt;0,O476*K476/U476,0)*VLOOKUP(B476,'2-Kosten per locatie'!$A$14:$C$61,3,FALSE)</f>
        <v>0</v>
      </c>
      <c r="S476" s="411">
        <f>IF(M476="nio",0,IF(M476&gt;0,VLOOKUP(I476,'3-Productie normen'!A:P,VLOOKUP(M476,'3-Productie normen'!$B$38:$C$48,2,FALSE),FALSE)))</f>
        <v>0</v>
      </c>
      <c r="T476" s="411">
        <f t="shared" si="38"/>
        <v>0</v>
      </c>
      <c r="U476" s="411">
        <f t="shared" si="41"/>
        <v>0</v>
      </c>
      <c r="V476" s="412"/>
      <c r="X476" s="413">
        <f t="shared" si="39"/>
        <v>774</v>
      </c>
    </row>
    <row r="477" spans="1:24" ht="14.1" customHeight="1">
      <c r="A477" s="70">
        <f t="shared" si="40"/>
        <v>477</v>
      </c>
      <c r="B477" s="354" t="s">
        <v>66</v>
      </c>
      <c r="C477" s="354" t="s">
        <v>438</v>
      </c>
      <c r="D477" s="354" t="s">
        <v>165</v>
      </c>
      <c r="E477" s="404" t="s">
        <v>444</v>
      </c>
      <c r="F477" s="405" t="s">
        <v>167</v>
      </c>
      <c r="G477" s="406" t="s">
        <v>480</v>
      </c>
      <c r="H477" s="420" t="s">
        <v>439</v>
      </c>
      <c r="I477" s="420" t="s">
        <v>111</v>
      </c>
      <c r="J477" s="399" t="s">
        <v>185</v>
      </c>
      <c r="K477" s="414">
        <v>21.7</v>
      </c>
      <c r="L477" s="408">
        <f t="shared" si="37"/>
        <v>430</v>
      </c>
      <c r="M477" s="409">
        <v>230</v>
      </c>
      <c r="N477" s="306">
        <v>200</v>
      </c>
      <c r="O477" s="409"/>
      <c r="P477" s="410" t="e">
        <f>IF(M477="nio",0,IF(M477&gt;0,M477*K477/S477,0))*VLOOKUP(B477,'2-Kosten per locatie'!$A$14:$C$61,3,FALSE)</f>
        <v>#DIV/0!</v>
      </c>
      <c r="Q477" s="410" t="e">
        <f>IF(N477&gt;0,N477*K477/T477,0)*VLOOKUP(B477,'2-Kosten per locatie'!$A$14:$C$61,3,FALSE)</f>
        <v>#DIV/0!</v>
      </c>
      <c r="R477" s="410">
        <f>IF(O477&gt;0,O477*K477/U477,0)*VLOOKUP(B477,'2-Kosten per locatie'!$A$14:$C$61,3,FALSE)</f>
        <v>0</v>
      </c>
      <c r="S477" s="411">
        <f>IF(M477="nio",0,IF(M477&gt;0,VLOOKUP(I477,'3-Productie normen'!A:P,VLOOKUP(M477,'3-Productie normen'!$B$38:$C$48,2,FALSE),FALSE)))</f>
        <v>0</v>
      </c>
      <c r="T477" s="411">
        <f t="shared" si="38"/>
        <v>0</v>
      </c>
      <c r="U477" s="411">
        <f t="shared" si="41"/>
        <v>0</v>
      </c>
      <c r="V477" s="412"/>
      <c r="X477" s="413">
        <f t="shared" si="39"/>
        <v>9331</v>
      </c>
    </row>
    <row r="478" spans="1:24" ht="14.1" customHeight="1">
      <c r="A478" s="70">
        <f t="shared" si="40"/>
        <v>478</v>
      </c>
      <c r="B478" s="354" t="s">
        <v>66</v>
      </c>
      <c r="C478" s="354" t="s">
        <v>438</v>
      </c>
      <c r="D478" s="354" t="s">
        <v>165</v>
      </c>
      <c r="E478" s="404" t="s">
        <v>444</v>
      </c>
      <c r="F478" s="405" t="s">
        <v>167</v>
      </c>
      <c r="G478" s="406" t="s">
        <v>481</v>
      </c>
      <c r="H478" s="420" t="s">
        <v>183</v>
      </c>
      <c r="I478" s="420" t="s">
        <v>106</v>
      </c>
      <c r="J478" s="399" t="s">
        <v>184</v>
      </c>
      <c r="K478" s="414">
        <v>7.4</v>
      </c>
      <c r="L478" s="408">
        <f t="shared" si="37"/>
        <v>430</v>
      </c>
      <c r="M478" s="409">
        <v>230</v>
      </c>
      <c r="N478" s="306">
        <v>200</v>
      </c>
      <c r="O478" s="409"/>
      <c r="P478" s="410" t="e">
        <f>IF(M478="nio",0,IF(M478&gt;0,M478*K478/S478,0))*VLOOKUP(B478,'2-Kosten per locatie'!$A$14:$C$61,3,FALSE)</f>
        <v>#DIV/0!</v>
      </c>
      <c r="Q478" s="410" t="e">
        <f>IF(N478&gt;0,N478*K478/T478,0)*VLOOKUP(B478,'2-Kosten per locatie'!$A$14:$C$61,3,FALSE)</f>
        <v>#DIV/0!</v>
      </c>
      <c r="R478" s="410">
        <f>IF(O478&gt;0,O478*K478/U478,0)*VLOOKUP(B478,'2-Kosten per locatie'!$A$14:$C$61,3,FALSE)</f>
        <v>0</v>
      </c>
      <c r="S478" s="411">
        <f>IF(M478="nio",0,IF(M478&gt;0,VLOOKUP(I478,'3-Productie normen'!A:P,VLOOKUP(M478,'3-Productie normen'!$B$38:$C$48,2,FALSE),FALSE)))</f>
        <v>0</v>
      </c>
      <c r="T478" s="411">
        <f t="shared" si="38"/>
        <v>0</v>
      </c>
      <c r="U478" s="411">
        <f t="shared" si="41"/>
        <v>0</v>
      </c>
      <c r="V478" s="412"/>
      <c r="X478" s="413">
        <f t="shared" si="39"/>
        <v>3182</v>
      </c>
    </row>
    <row r="479" spans="1:24" ht="14.1" customHeight="1">
      <c r="A479" s="70">
        <f t="shared" si="40"/>
        <v>479</v>
      </c>
      <c r="B479" s="354" t="s">
        <v>66</v>
      </c>
      <c r="C479" s="354" t="s">
        <v>438</v>
      </c>
      <c r="D479" s="354" t="s">
        <v>165</v>
      </c>
      <c r="E479" s="404" t="s">
        <v>444</v>
      </c>
      <c r="F479" s="405" t="s">
        <v>167</v>
      </c>
      <c r="G479" s="406" t="s">
        <v>482</v>
      </c>
      <c r="H479" s="420" t="s">
        <v>183</v>
      </c>
      <c r="I479" s="420" t="s">
        <v>106</v>
      </c>
      <c r="J479" s="399" t="s">
        <v>184</v>
      </c>
      <c r="K479" s="414">
        <v>7.4</v>
      </c>
      <c r="L479" s="408">
        <f t="shared" si="37"/>
        <v>430</v>
      </c>
      <c r="M479" s="409">
        <v>230</v>
      </c>
      <c r="N479" s="306">
        <v>200</v>
      </c>
      <c r="O479" s="409"/>
      <c r="P479" s="410" t="e">
        <f>IF(M479="nio",0,IF(M479&gt;0,M479*K479/S479,0))*VLOOKUP(B479,'2-Kosten per locatie'!$A$14:$C$61,3,FALSE)</f>
        <v>#DIV/0!</v>
      </c>
      <c r="Q479" s="410" t="e">
        <f>IF(N479&gt;0,N479*K479/T479,0)*VLOOKUP(B479,'2-Kosten per locatie'!$A$14:$C$61,3,FALSE)</f>
        <v>#DIV/0!</v>
      </c>
      <c r="R479" s="410">
        <f>IF(O479&gt;0,O479*K479/U479,0)*VLOOKUP(B479,'2-Kosten per locatie'!$A$14:$C$61,3,FALSE)</f>
        <v>0</v>
      </c>
      <c r="S479" s="411">
        <f>IF(M479="nio",0,IF(M479&gt;0,VLOOKUP(I479,'3-Productie normen'!A:P,VLOOKUP(M479,'3-Productie normen'!$B$38:$C$48,2,FALSE),FALSE)))</f>
        <v>0</v>
      </c>
      <c r="T479" s="411">
        <f t="shared" si="38"/>
        <v>0</v>
      </c>
      <c r="U479" s="411">
        <f t="shared" si="41"/>
        <v>0</v>
      </c>
      <c r="V479" s="412"/>
      <c r="X479" s="413">
        <f t="shared" si="39"/>
        <v>3182</v>
      </c>
    </row>
    <row r="480" spans="1:24" ht="14.1" customHeight="1">
      <c r="A480" s="70">
        <f t="shared" si="40"/>
        <v>480</v>
      </c>
      <c r="B480" s="354" t="s">
        <v>66</v>
      </c>
      <c r="C480" s="354" t="s">
        <v>438</v>
      </c>
      <c r="D480" s="354" t="s">
        <v>165</v>
      </c>
      <c r="E480" s="404" t="s">
        <v>444</v>
      </c>
      <c r="F480" s="405" t="s">
        <v>167</v>
      </c>
      <c r="G480" s="406" t="s">
        <v>483</v>
      </c>
      <c r="H480" s="420" t="s">
        <v>439</v>
      </c>
      <c r="I480" s="420" t="s">
        <v>111</v>
      </c>
      <c r="J480" s="399" t="s">
        <v>185</v>
      </c>
      <c r="K480" s="414">
        <v>21.9</v>
      </c>
      <c r="L480" s="408">
        <f t="shared" si="37"/>
        <v>430</v>
      </c>
      <c r="M480" s="409">
        <v>230</v>
      </c>
      <c r="N480" s="306">
        <v>200</v>
      </c>
      <c r="O480" s="409"/>
      <c r="P480" s="410" t="e">
        <f>IF(M480="nio",0,IF(M480&gt;0,M480*K480/S480,0))*VLOOKUP(B480,'2-Kosten per locatie'!$A$14:$C$61,3,FALSE)</f>
        <v>#DIV/0!</v>
      </c>
      <c r="Q480" s="410" t="e">
        <f>IF(N480&gt;0,N480*K480/T480,0)*VLOOKUP(B480,'2-Kosten per locatie'!$A$14:$C$61,3,FALSE)</f>
        <v>#DIV/0!</v>
      </c>
      <c r="R480" s="410">
        <f>IF(O480&gt;0,O480*K480/U480,0)*VLOOKUP(B480,'2-Kosten per locatie'!$A$14:$C$61,3,FALSE)</f>
        <v>0</v>
      </c>
      <c r="S480" s="411">
        <f>IF(M480="nio",0,IF(M480&gt;0,VLOOKUP(I480,'3-Productie normen'!A:P,VLOOKUP(M480,'3-Productie normen'!$B$38:$C$48,2,FALSE),FALSE)))</f>
        <v>0</v>
      </c>
      <c r="T480" s="411">
        <f t="shared" si="38"/>
        <v>0</v>
      </c>
      <c r="U480" s="411">
        <f t="shared" si="41"/>
        <v>0</v>
      </c>
      <c r="V480" s="412"/>
      <c r="X480" s="413">
        <f t="shared" si="39"/>
        <v>9417</v>
      </c>
    </row>
    <row r="481" spans="1:24" ht="14.1" customHeight="1">
      <c r="A481" s="70">
        <f t="shared" si="40"/>
        <v>481</v>
      </c>
      <c r="B481" s="354" t="s">
        <v>66</v>
      </c>
      <c r="C481" s="354" t="s">
        <v>438</v>
      </c>
      <c r="D481" s="354" t="s">
        <v>165</v>
      </c>
      <c r="E481" s="404" t="s">
        <v>444</v>
      </c>
      <c r="F481" s="405" t="s">
        <v>167</v>
      </c>
      <c r="G481" s="406" t="s">
        <v>484</v>
      </c>
      <c r="H481" s="420" t="s">
        <v>439</v>
      </c>
      <c r="I481" s="420" t="s">
        <v>111</v>
      </c>
      <c r="J481" s="399" t="s">
        <v>185</v>
      </c>
      <c r="K481" s="414">
        <v>24.4</v>
      </c>
      <c r="L481" s="408">
        <f t="shared" si="37"/>
        <v>430</v>
      </c>
      <c r="M481" s="409">
        <v>230</v>
      </c>
      <c r="N481" s="306">
        <v>200</v>
      </c>
      <c r="O481" s="409"/>
      <c r="P481" s="410" t="e">
        <f>IF(M481="nio",0,IF(M481&gt;0,M481*K481/S481,0))*VLOOKUP(B481,'2-Kosten per locatie'!$A$14:$C$61,3,FALSE)</f>
        <v>#DIV/0!</v>
      </c>
      <c r="Q481" s="410" t="e">
        <f>IF(N481&gt;0,N481*K481/T481,0)*VLOOKUP(B481,'2-Kosten per locatie'!$A$14:$C$61,3,FALSE)</f>
        <v>#DIV/0!</v>
      </c>
      <c r="R481" s="410">
        <f>IF(O481&gt;0,O481*K481/U481,0)*VLOOKUP(B481,'2-Kosten per locatie'!$A$14:$C$61,3,FALSE)</f>
        <v>0</v>
      </c>
      <c r="S481" s="411">
        <f>IF(M481="nio",0,IF(M481&gt;0,VLOOKUP(I481,'3-Productie normen'!A:P,VLOOKUP(M481,'3-Productie normen'!$B$38:$C$48,2,FALSE),FALSE)))</f>
        <v>0</v>
      </c>
      <c r="T481" s="411">
        <f t="shared" si="38"/>
        <v>0</v>
      </c>
      <c r="U481" s="411">
        <f t="shared" si="41"/>
        <v>0</v>
      </c>
      <c r="V481" s="412"/>
      <c r="X481" s="413">
        <f t="shared" si="39"/>
        <v>10492</v>
      </c>
    </row>
    <row r="482" spans="1:24" ht="14.1" customHeight="1">
      <c r="A482" s="70">
        <f t="shared" si="40"/>
        <v>482</v>
      </c>
      <c r="B482" s="354" t="s">
        <v>66</v>
      </c>
      <c r="C482" s="354" t="s">
        <v>438</v>
      </c>
      <c r="D482" s="354" t="s">
        <v>165</v>
      </c>
      <c r="E482" s="404" t="s">
        <v>444</v>
      </c>
      <c r="F482" s="405" t="s">
        <v>167</v>
      </c>
      <c r="G482" s="406" t="s">
        <v>485</v>
      </c>
      <c r="H482" s="420" t="s">
        <v>183</v>
      </c>
      <c r="I482" s="420" t="s">
        <v>106</v>
      </c>
      <c r="J482" s="399" t="s">
        <v>184</v>
      </c>
      <c r="K482" s="414">
        <v>1.8</v>
      </c>
      <c r="L482" s="408">
        <f t="shared" si="37"/>
        <v>430</v>
      </c>
      <c r="M482" s="409">
        <v>230</v>
      </c>
      <c r="N482" s="306">
        <v>200</v>
      </c>
      <c r="O482" s="409"/>
      <c r="P482" s="410" t="e">
        <f>IF(M482="nio",0,IF(M482&gt;0,M482*K482/S482,0))*VLOOKUP(B482,'2-Kosten per locatie'!$A$14:$C$61,3,FALSE)</f>
        <v>#DIV/0!</v>
      </c>
      <c r="Q482" s="410" t="e">
        <f>IF(N482&gt;0,N482*K482/T482,0)*VLOOKUP(B482,'2-Kosten per locatie'!$A$14:$C$61,3,FALSE)</f>
        <v>#DIV/0!</v>
      </c>
      <c r="R482" s="410">
        <f>IF(O482&gt;0,O482*K482/U482,0)*VLOOKUP(B482,'2-Kosten per locatie'!$A$14:$C$61,3,FALSE)</f>
        <v>0</v>
      </c>
      <c r="S482" s="411">
        <f>IF(M482="nio",0,IF(M482&gt;0,VLOOKUP(I482,'3-Productie normen'!A:P,VLOOKUP(M482,'3-Productie normen'!$B$38:$C$48,2,FALSE),FALSE)))</f>
        <v>0</v>
      </c>
      <c r="T482" s="411">
        <f t="shared" si="38"/>
        <v>0</v>
      </c>
      <c r="U482" s="411">
        <f t="shared" si="41"/>
        <v>0</v>
      </c>
      <c r="V482" s="412"/>
      <c r="X482" s="413">
        <f t="shared" si="39"/>
        <v>774</v>
      </c>
    </row>
    <row r="483" spans="1:24" ht="14.1" customHeight="1">
      <c r="A483" s="70">
        <f t="shared" si="40"/>
        <v>483</v>
      </c>
      <c r="B483" s="354" t="s">
        <v>66</v>
      </c>
      <c r="C483" s="354" t="s">
        <v>438</v>
      </c>
      <c r="D483" s="354" t="s">
        <v>165</v>
      </c>
      <c r="E483" s="404" t="s">
        <v>444</v>
      </c>
      <c r="F483" s="405" t="s">
        <v>167</v>
      </c>
      <c r="G483" s="406" t="s">
        <v>486</v>
      </c>
      <c r="H483" s="420" t="s">
        <v>183</v>
      </c>
      <c r="I483" s="420" t="s">
        <v>106</v>
      </c>
      <c r="J483" s="399" t="s">
        <v>184</v>
      </c>
      <c r="K483" s="414">
        <v>1.8</v>
      </c>
      <c r="L483" s="408">
        <f t="shared" si="37"/>
        <v>430</v>
      </c>
      <c r="M483" s="409">
        <v>230</v>
      </c>
      <c r="N483" s="306">
        <v>200</v>
      </c>
      <c r="O483" s="409"/>
      <c r="P483" s="410" t="e">
        <f>IF(M483="nio",0,IF(M483&gt;0,M483*K483/S483,0))*VLOOKUP(B483,'2-Kosten per locatie'!$A$14:$C$61,3,FALSE)</f>
        <v>#DIV/0!</v>
      </c>
      <c r="Q483" s="410" t="e">
        <f>IF(N483&gt;0,N483*K483/T483,0)*VLOOKUP(B483,'2-Kosten per locatie'!$A$14:$C$61,3,FALSE)</f>
        <v>#DIV/0!</v>
      </c>
      <c r="R483" s="410">
        <f>IF(O483&gt;0,O483*K483/U483,0)*VLOOKUP(B483,'2-Kosten per locatie'!$A$14:$C$61,3,FALSE)</f>
        <v>0</v>
      </c>
      <c r="S483" s="411">
        <f>IF(M483="nio",0,IF(M483&gt;0,VLOOKUP(I483,'3-Productie normen'!A:P,VLOOKUP(M483,'3-Productie normen'!$B$38:$C$48,2,FALSE),FALSE)))</f>
        <v>0</v>
      </c>
      <c r="T483" s="411">
        <f t="shared" si="38"/>
        <v>0</v>
      </c>
      <c r="U483" s="411">
        <f t="shared" si="41"/>
        <v>0</v>
      </c>
      <c r="V483" s="412"/>
      <c r="X483" s="413">
        <f t="shared" si="39"/>
        <v>774</v>
      </c>
    </row>
    <row r="484" spans="1:24" ht="14.1" customHeight="1">
      <c r="A484" s="70">
        <f t="shared" si="40"/>
        <v>484</v>
      </c>
      <c r="B484" s="354" t="s">
        <v>66</v>
      </c>
      <c r="C484" s="354" t="s">
        <v>438</v>
      </c>
      <c r="D484" s="354" t="s">
        <v>165</v>
      </c>
      <c r="E484" s="404" t="s">
        <v>444</v>
      </c>
      <c r="F484" s="405" t="s">
        <v>167</v>
      </c>
      <c r="G484" s="406" t="s">
        <v>487</v>
      </c>
      <c r="H484" s="420" t="s">
        <v>444</v>
      </c>
      <c r="I484" s="420" t="s">
        <v>114</v>
      </c>
      <c r="J484" s="399" t="s">
        <v>457</v>
      </c>
      <c r="K484" s="414">
        <v>328.1</v>
      </c>
      <c r="L484" s="408">
        <f t="shared" si="37"/>
        <v>430</v>
      </c>
      <c r="M484" s="409">
        <v>230</v>
      </c>
      <c r="N484" s="306">
        <v>200</v>
      </c>
      <c r="O484" s="409"/>
      <c r="P484" s="410" t="e">
        <f>IF(M484="nio",0,IF(M484&gt;0,M484*K484/S484,0))*VLOOKUP(B484,'2-Kosten per locatie'!$A$14:$C$61,3,FALSE)</f>
        <v>#DIV/0!</v>
      </c>
      <c r="Q484" s="410" t="e">
        <f>IF(N484&gt;0,N484*K484/T484,0)*VLOOKUP(B484,'2-Kosten per locatie'!$A$14:$C$61,3,FALSE)</f>
        <v>#DIV/0!</v>
      </c>
      <c r="R484" s="410">
        <f>IF(O484&gt;0,O484*K484/U484,0)*VLOOKUP(B484,'2-Kosten per locatie'!$A$14:$C$61,3,FALSE)</f>
        <v>0</v>
      </c>
      <c r="S484" s="411">
        <f>IF(M484="nio",0,IF(M484&gt;0,VLOOKUP(I484,'3-Productie normen'!A:P,VLOOKUP(M484,'3-Productie normen'!$B$38:$C$48,2,FALSE),FALSE)))</f>
        <v>0</v>
      </c>
      <c r="T484" s="411">
        <f t="shared" si="38"/>
        <v>0</v>
      </c>
      <c r="U484" s="411">
        <f t="shared" si="41"/>
        <v>0</v>
      </c>
      <c r="V484" s="412"/>
      <c r="X484" s="413">
        <f t="shared" si="39"/>
        <v>141083</v>
      </c>
    </row>
    <row r="485" spans="1:24" ht="14.1" customHeight="1">
      <c r="A485" s="70">
        <f t="shared" si="40"/>
        <v>485</v>
      </c>
      <c r="B485" s="354" t="s">
        <v>66</v>
      </c>
      <c r="C485" s="354" t="s">
        <v>438</v>
      </c>
      <c r="D485" s="354" t="s">
        <v>165</v>
      </c>
      <c r="E485" s="404" t="s">
        <v>444</v>
      </c>
      <c r="F485" s="405" t="s">
        <v>167</v>
      </c>
      <c r="G485" s="406" t="s">
        <v>488</v>
      </c>
      <c r="H485" s="420" t="s">
        <v>444</v>
      </c>
      <c r="I485" s="420" t="s">
        <v>114</v>
      </c>
      <c r="J485" s="399" t="s">
        <v>457</v>
      </c>
      <c r="K485" s="414">
        <v>316.7</v>
      </c>
      <c r="L485" s="408">
        <f t="shared" si="37"/>
        <v>430</v>
      </c>
      <c r="M485" s="409">
        <v>230</v>
      </c>
      <c r="N485" s="306">
        <v>200</v>
      </c>
      <c r="O485" s="409"/>
      <c r="P485" s="410" t="e">
        <f>IF(M485="nio",0,IF(M485&gt;0,M485*K485/S485,0))*VLOOKUP(B485,'2-Kosten per locatie'!$A$14:$C$61,3,FALSE)</f>
        <v>#DIV/0!</v>
      </c>
      <c r="Q485" s="410" t="e">
        <f>IF(N485&gt;0,N485*K485/T485,0)*VLOOKUP(B485,'2-Kosten per locatie'!$A$14:$C$61,3,FALSE)</f>
        <v>#DIV/0!</v>
      </c>
      <c r="R485" s="410">
        <f>IF(O485&gt;0,O485*K485/U485,0)*VLOOKUP(B485,'2-Kosten per locatie'!$A$14:$C$61,3,FALSE)</f>
        <v>0</v>
      </c>
      <c r="S485" s="411">
        <f>IF(M485="nio",0,IF(M485&gt;0,VLOOKUP(I485,'3-Productie normen'!A:P,VLOOKUP(M485,'3-Productie normen'!$B$38:$C$48,2,FALSE),FALSE)))</f>
        <v>0</v>
      </c>
      <c r="T485" s="411">
        <f t="shared" si="38"/>
        <v>0</v>
      </c>
      <c r="U485" s="411">
        <f t="shared" si="41"/>
        <v>0</v>
      </c>
      <c r="V485" s="412"/>
      <c r="X485" s="413">
        <f t="shared" si="39"/>
        <v>136181</v>
      </c>
    </row>
    <row r="486" spans="1:24" ht="14.1" customHeight="1">
      <c r="A486" s="70">
        <f t="shared" si="40"/>
        <v>486</v>
      </c>
      <c r="B486" s="354" t="s">
        <v>66</v>
      </c>
      <c r="C486" s="354" t="s">
        <v>438</v>
      </c>
      <c r="D486" s="354" t="s">
        <v>165</v>
      </c>
      <c r="E486" s="404" t="s">
        <v>444</v>
      </c>
      <c r="F486" s="405" t="s">
        <v>273</v>
      </c>
      <c r="G486" s="406" t="s">
        <v>489</v>
      </c>
      <c r="H486" s="420" t="s">
        <v>473</v>
      </c>
      <c r="I486" s="420" t="s">
        <v>108</v>
      </c>
      <c r="J486" s="399" t="s">
        <v>185</v>
      </c>
      <c r="K486" s="414">
        <v>28</v>
      </c>
      <c r="L486" s="408">
        <f t="shared" si="37"/>
        <v>430</v>
      </c>
      <c r="M486" s="409">
        <v>230</v>
      </c>
      <c r="N486" s="306">
        <v>200</v>
      </c>
      <c r="O486" s="409"/>
      <c r="P486" s="410" t="e">
        <f>IF(M486="nio",0,IF(M486&gt;0,M486*K486/S486,0))*VLOOKUP(B486,'2-Kosten per locatie'!$A$14:$C$61,3,FALSE)</f>
        <v>#DIV/0!</v>
      </c>
      <c r="Q486" s="410" t="e">
        <f>IF(N486&gt;0,N486*K486/T486,0)*VLOOKUP(B486,'2-Kosten per locatie'!$A$14:$C$61,3,FALSE)</f>
        <v>#DIV/0!</v>
      </c>
      <c r="R486" s="410">
        <f>IF(O486&gt;0,O486*K486/U486,0)*VLOOKUP(B486,'2-Kosten per locatie'!$A$14:$C$61,3,FALSE)</f>
        <v>0</v>
      </c>
      <c r="S486" s="411">
        <f>IF(M486="nio",0,IF(M486&gt;0,VLOOKUP(I486,'3-Productie normen'!A:P,VLOOKUP(M486,'3-Productie normen'!$B$38:$C$48,2,FALSE),FALSE)))</f>
        <v>0</v>
      </c>
      <c r="T486" s="411">
        <f t="shared" si="38"/>
        <v>0</v>
      </c>
      <c r="U486" s="411">
        <f t="shared" si="41"/>
        <v>0</v>
      </c>
      <c r="V486" s="412"/>
      <c r="X486" s="413">
        <f t="shared" si="39"/>
        <v>12040</v>
      </c>
    </row>
    <row r="487" spans="1:24" ht="14.1" customHeight="1">
      <c r="A487" s="70">
        <f t="shared" si="40"/>
        <v>487</v>
      </c>
      <c r="B487" s="354" t="s">
        <v>66</v>
      </c>
      <c r="C487" s="354" t="s">
        <v>438</v>
      </c>
      <c r="D487" s="354" t="s">
        <v>165</v>
      </c>
      <c r="E487" s="404" t="s">
        <v>444</v>
      </c>
      <c r="F487" s="405" t="s">
        <v>273</v>
      </c>
      <c r="G487" s="406" t="s">
        <v>367</v>
      </c>
      <c r="H487" s="420" t="s">
        <v>287</v>
      </c>
      <c r="I487" s="399" t="s">
        <v>124</v>
      </c>
      <c r="J487" s="399" t="s">
        <v>185</v>
      </c>
      <c r="K487" s="414">
        <v>14.6</v>
      </c>
      <c r="L487" s="408">
        <f t="shared" si="37"/>
        <v>0</v>
      </c>
      <c r="M487" s="409" t="s">
        <v>242</v>
      </c>
      <c r="N487" s="306"/>
      <c r="O487" s="409"/>
      <c r="P487" s="410">
        <f>IF(M487="nio",0,IF(M487&gt;0,M487*K487/S487,0))*VLOOKUP(B487,'2-Kosten per locatie'!$A$14:$C$61,3,FALSE)</f>
        <v>0</v>
      </c>
      <c r="Q487" s="410">
        <f>IF(N487&gt;0,N487*K487/T487,0)*VLOOKUP(B487,'2-Kosten per locatie'!$A$14:$C$61,3,FALSE)</f>
        <v>0</v>
      </c>
      <c r="R487" s="410">
        <f>IF(O487&gt;0,O487*K487/U487,0)*VLOOKUP(B487,'2-Kosten per locatie'!$A$14:$C$61,3,FALSE)</f>
        <v>0</v>
      </c>
      <c r="S487" s="411">
        <f>IF(M487="nio",0,IF(M487&gt;0,VLOOKUP(I487,'3-Productie normen'!A:P,VLOOKUP(M487,'3-Productie normen'!$B$38:$C$48,2,FALSE),FALSE)))</f>
        <v>0</v>
      </c>
      <c r="T487" s="411">
        <f t="shared" si="38"/>
        <v>0</v>
      </c>
      <c r="U487" s="411">
        <f t="shared" si="41"/>
        <v>0</v>
      </c>
      <c r="V487" s="412"/>
      <c r="X487" s="413">
        <f t="shared" si="39"/>
        <v>0</v>
      </c>
    </row>
    <row r="488" spans="1:24" ht="14.1" customHeight="1">
      <c r="A488" s="70">
        <f t="shared" si="40"/>
        <v>488</v>
      </c>
      <c r="B488" s="354" t="s">
        <v>66</v>
      </c>
      <c r="C488" s="354" t="s">
        <v>438</v>
      </c>
      <c r="D488" s="354" t="s">
        <v>165</v>
      </c>
      <c r="E488" s="404" t="s">
        <v>444</v>
      </c>
      <c r="F488" s="405" t="s">
        <v>273</v>
      </c>
      <c r="G488" s="406" t="s">
        <v>369</v>
      </c>
      <c r="H488" s="420" t="s">
        <v>206</v>
      </c>
      <c r="I488" s="420" t="s">
        <v>108</v>
      </c>
      <c r="J488" s="399" t="s">
        <v>185</v>
      </c>
      <c r="K488" s="414">
        <v>1.03</v>
      </c>
      <c r="L488" s="408">
        <f t="shared" si="37"/>
        <v>430</v>
      </c>
      <c r="M488" s="409">
        <v>230</v>
      </c>
      <c r="N488" s="306">
        <v>200</v>
      </c>
      <c r="O488" s="409"/>
      <c r="P488" s="410" t="e">
        <f>IF(M488="nio",0,IF(M488&gt;0,M488*K488/S488,0))*VLOOKUP(B488,'2-Kosten per locatie'!$A$14:$C$61,3,FALSE)</f>
        <v>#DIV/0!</v>
      </c>
      <c r="Q488" s="410" t="e">
        <f>IF(N488&gt;0,N488*K488/T488,0)*VLOOKUP(B488,'2-Kosten per locatie'!$A$14:$C$61,3,FALSE)</f>
        <v>#DIV/0!</v>
      </c>
      <c r="R488" s="410">
        <f>IF(O488&gt;0,O488*K488/U488,0)*VLOOKUP(B488,'2-Kosten per locatie'!$A$14:$C$61,3,FALSE)</f>
        <v>0</v>
      </c>
      <c r="S488" s="411">
        <f>IF(M488="nio",0,IF(M488&gt;0,VLOOKUP(I488,'3-Productie normen'!A:P,VLOOKUP(M488,'3-Productie normen'!$B$38:$C$48,2,FALSE),FALSE)))</f>
        <v>0</v>
      </c>
      <c r="T488" s="411">
        <f t="shared" si="38"/>
        <v>0</v>
      </c>
      <c r="U488" s="411">
        <f t="shared" si="41"/>
        <v>0</v>
      </c>
      <c r="V488" s="412"/>
      <c r="X488" s="413">
        <f t="shared" si="39"/>
        <v>442.90000000000003</v>
      </c>
    </row>
    <row r="489" spans="1:24" ht="14.1" customHeight="1">
      <c r="A489" s="70">
        <f t="shared" si="40"/>
        <v>489</v>
      </c>
      <c r="B489" s="354" t="s">
        <v>66</v>
      </c>
      <c r="C489" s="354" t="s">
        <v>438</v>
      </c>
      <c r="D489" s="354" t="s">
        <v>165</v>
      </c>
      <c r="E489" s="404" t="s">
        <v>444</v>
      </c>
      <c r="F489" s="405" t="s">
        <v>273</v>
      </c>
      <c r="G489" s="406" t="s">
        <v>490</v>
      </c>
      <c r="H489" s="420" t="s">
        <v>206</v>
      </c>
      <c r="I489" s="420" t="s">
        <v>108</v>
      </c>
      <c r="J489" s="399" t="s">
        <v>185</v>
      </c>
      <c r="K489" s="414">
        <v>5.6</v>
      </c>
      <c r="L489" s="408">
        <f t="shared" si="37"/>
        <v>430</v>
      </c>
      <c r="M489" s="409">
        <v>230</v>
      </c>
      <c r="N489" s="306">
        <v>200</v>
      </c>
      <c r="O489" s="409"/>
      <c r="P489" s="410" t="e">
        <f>IF(M489="nio",0,IF(M489&gt;0,M489*K489/S489,0))*VLOOKUP(B489,'2-Kosten per locatie'!$A$14:$C$61,3,FALSE)</f>
        <v>#DIV/0!</v>
      </c>
      <c r="Q489" s="410" t="e">
        <f>IF(N489&gt;0,N489*K489/T489,0)*VLOOKUP(B489,'2-Kosten per locatie'!$A$14:$C$61,3,FALSE)</f>
        <v>#DIV/0!</v>
      </c>
      <c r="R489" s="410">
        <f>IF(O489&gt;0,O489*K489/U489,0)*VLOOKUP(B489,'2-Kosten per locatie'!$A$14:$C$61,3,FALSE)</f>
        <v>0</v>
      </c>
      <c r="S489" s="411">
        <f>IF(M489="nio",0,IF(M489&gt;0,VLOOKUP(I489,'3-Productie normen'!A:P,VLOOKUP(M489,'3-Productie normen'!$B$38:$C$48,2,FALSE),FALSE)))</f>
        <v>0</v>
      </c>
      <c r="T489" s="411">
        <f t="shared" si="38"/>
        <v>0</v>
      </c>
      <c r="U489" s="411">
        <f t="shared" si="41"/>
        <v>0</v>
      </c>
      <c r="V489" s="412"/>
      <c r="X489" s="413">
        <f t="shared" si="39"/>
        <v>2408</v>
      </c>
    </row>
    <row r="490" spans="1:24" ht="14.1" customHeight="1">
      <c r="A490" s="70">
        <f t="shared" si="40"/>
        <v>490</v>
      </c>
      <c r="B490" s="354" t="s">
        <v>66</v>
      </c>
      <c r="C490" s="354" t="s">
        <v>438</v>
      </c>
      <c r="D490" s="354" t="s">
        <v>165</v>
      </c>
      <c r="E490" s="404" t="s">
        <v>444</v>
      </c>
      <c r="F490" s="405" t="s">
        <v>273</v>
      </c>
      <c r="G490" s="406" t="s">
        <v>491</v>
      </c>
      <c r="H490" s="420" t="s">
        <v>243</v>
      </c>
      <c r="I490" s="420" t="s">
        <v>116</v>
      </c>
      <c r="J490" s="399" t="s">
        <v>492</v>
      </c>
      <c r="K490" s="414">
        <v>10</v>
      </c>
      <c r="L490" s="408">
        <f t="shared" si="37"/>
        <v>430</v>
      </c>
      <c r="M490" s="409">
        <v>230</v>
      </c>
      <c r="N490" s="306">
        <v>200</v>
      </c>
      <c r="O490" s="409"/>
      <c r="P490" s="410" t="e">
        <f>IF(M490="nio",0,IF(M490&gt;0,M490*K490/S490,0))*VLOOKUP(B490,'2-Kosten per locatie'!$A$14:$C$61,3,FALSE)</f>
        <v>#DIV/0!</v>
      </c>
      <c r="Q490" s="410" t="e">
        <f>IF(N490&gt;0,N490*K490/T490,0)*VLOOKUP(B490,'2-Kosten per locatie'!$A$14:$C$61,3,FALSE)</f>
        <v>#DIV/0!</v>
      </c>
      <c r="R490" s="410">
        <f>IF(O490&gt;0,O490*K490/U490,0)*VLOOKUP(B490,'2-Kosten per locatie'!$A$14:$C$61,3,FALSE)</f>
        <v>0</v>
      </c>
      <c r="S490" s="411">
        <f>IF(M490="nio",0,IF(M490&gt;0,VLOOKUP(I490,'3-Productie normen'!A:P,VLOOKUP(M490,'3-Productie normen'!$B$38:$C$48,2,FALSE),FALSE)))</f>
        <v>0</v>
      </c>
      <c r="T490" s="411">
        <f t="shared" si="38"/>
        <v>0</v>
      </c>
      <c r="U490" s="411">
        <f t="shared" si="41"/>
        <v>0</v>
      </c>
      <c r="V490" s="412"/>
      <c r="X490" s="413">
        <f t="shared" si="39"/>
        <v>4300</v>
      </c>
    </row>
    <row r="491" spans="1:24" ht="14.1" customHeight="1">
      <c r="A491" s="70">
        <f t="shared" si="40"/>
        <v>491</v>
      </c>
      <c r="B491" s="354" t="s">
        <v>67</v>
      </c>
      <c r="C491" s="354" t="s">
        <v>493</v>
      </c>
      <c r="D491" s="354" t="s">
        <v>165</v>
      </c>
      <c r="E491" s="404" t="s">
        <v>494</v>
      </c>
      <c r="F491" s="405" t="s">
        <v>495</v>
      </c>
      <c r="G491" s="406" t="s">
        <v>191</v>
      </c>
      <c r="H491" s="420" t="s">
        <v>186</v>
      </c>
      <c r="I491" s="420" t="s">
        <v>120</v>
      </c>
      <c r="J491" s="399" t="s">
        <v>218</v>
      </c>
      <c r="K491" s="414">
        <v>57</v>
      </c>
      <c r="L491" s="408">
        <f t="shared" si="37"/>
        <v>200</v>
      </c>
      <c r="M491" s="409">
        <v>200</v>
      </c>
      <c r="N491" s="306"/>
      <c r="O491" s="409"/>
      <c r="P491" s="410" t="e">
        <f>IF(M491="nio",0,IF(M491&gt;0,M491*K491/S491,0))*VLOOKUP(B491,'2-Kosten per locatie'!$A$14:$C$61,3,FALSE)</f>
        <v>#DIV/0!</v>
      </c>
      <c r="Q491" s="410">
        <f>IF(N491&gt;0,N491*K491/T491,0)*VLOOKUP(B491,'2-Kosten per locatie'!$A$14:$C$61,3,FALSE)</f>
        <v>0</v>
      </c>
      <c r="R491" s="410">
        <f>IF(O491&gt;0,O491*K491/U491,0)*VLOOKUP(B491,'2-Kosten per locatie'!$A$14:$C$61,3,FALSE)</f>
        <v>0</v>
      </c>
      <c r="S491" s="411">
        <f>IF(M491="nio",0,IF(M491&gt;0,VLOOKUP(I491,'3-Productie normen'!A:P,VLOOKUP(M491,'3-Productie normen'!$B$38:$C$48,2,FALSE),FALSE)))</f>
        <v>0</v>
      </c>
      <c r="T491" s="411">
        <f t="shared" si="38"/>
        <v>0</v>
      </c>
      <c r="U491" s="411">
        <f t="shared" si="41"/>
        <v>0</v>
      </c>
      <c r="V491" s="412"/>
      <c r="X491" s="413">
        <f t="shared" si="39"/>
        <v>11400</v>
      </c>
    </row>
    <row r="492" spans="1:24" ht="14.1" customHeight="1">
      <c r="A492" s="70">
        <f t="shared" si="40"/>
        <v>492</v>
      </c>
      <c r="B492" s="354" t="s">
        <v>67</v>
      </c>
      <c r="C492" s="354" t="s">
        <v>493</v>
      </c>
      <c r="D492" s="354" t="s">
        <v>165</v>
      </c>
      <c r="E492" s="404" t="s">
        <v>494</v>
      </c>
      <c r="F492" s="405" t="s">
        <v>495</v>
      </c>
      <c r="G492" s="406" t="s">
        <v>194</v>
      </c>
      <c r="H492" s="420" t="s">
        <v>186</v>
      </c>
      <c r="I492" s="420" t="s">
        <v>120</v>
      </c>
      <c r="J492" s="399" t="s">
        <v>218</v>
      </c>
      <c r="K492" s="414">
        <v>56</v>
      </c>
      <c r="L492" s="408">
        <f t="shared" ref="L492:L555" si="42">SUM(M492:O492)</f>
        <v>200</v>
      </c>
      <c r="M492" s="409">
        <v>200</v>
      </c>
      <c r="N492" s="306"/>
      <c r="O492" s="409"/>
      <c r="P492" s="410" t="e">
        <f>IF(M492="nio",0,IF(M492&gt;0,M492*K492/S492,0))*VLOOKUP(B492,'2-Kosten per locatie'!$A$14:$C$61,3,FALSE)</f>
        <v>#DIV/0!</v>
      </c>
      <c r="Q492" s="410">
        <f>IF(N492&gt;0,N492*K492/T492,0)*VLOOKUP(B492,'2-Kosten per locatie'!$A$14:$C$61,3,FALSE)</f>
        <v>0</v>
      </c>
      <c r="R492" s="410">
        <f>IF(O492&gt;0,O492*K492/U492,0)*VLOOKUP(B492,'2-Kosten per locatie'!$A$14:$C$61,3,FALSE)</f>
        <v>0</v>
      </c>
      <c r="S492" s="411">
        <f>IF(M492="nio",0,IF(M492&gt;0,VLOOKUP(I492,'3-Productie normen'!A:P,VLOOKUP(M492,'3-Productie normen'!$B$38:$C$48,2,FALSE),FALSE)))</f>
        <v>0</v>
      </c>
      <c r="T492" s="411">
        <f t="shared" si="38"/>
        <v>0</v>
      </c>
      <c r="U492" s="411">
        <f t="shared" si="41"/>
        <v>0</v>
      </c>
      <c r="V492" s="412"/>
      <c r="X492" s="413">
        <f t="shared" si="39"/>
        <v>11200</v>
      </c>
    </row>
    <row r="493" spans="1:24" ht="14.1" customHeight="1">
      <c r="A493" s="70">
        <f t="shared" si="40"/>
        <v>493</v>
      </c>
      <c r="B493" s="354" t="s">
        <v>67</v>
      </c>
      <c r="C493" s="354" t="s">
        <v>493</v>
      </c>
      <c r="D493" s="354" t="s">
        <v>165</v>
      </c>
      <c r="E493" s="404" t="s">
        <v>494</v>
      </c>
      <c r="F493" s="405" t="s">
        <v>495</v>
      </c>
      <c r="G493" s="406" t="s">
        <v>196</v>
      </c>
      <c r="H493" s="420" t="s">
        <v>186</v>
      </c>
      <c r="I493" s="420" t="s">
        <v>120</v>
      </c>
      <c r="J493" s="399" t="s">
        <v>218</v>
      </c>
      <c r="K493" s="414">
        <v>58</v>
      </c>
      <c r="L493" s="408">
        <f t="shared" si="42"/>
        <v>200</v>
      </c>
      <c r="M493" s="409">
        <v>200</v>
      </c>
      <c r="N493" s="306"/>
      <c r="O493" s="409"/>
      <c r="P493" s="410" t="e">
        <f>IF(M493="nio",0,IF(M493&gt;0,M493*K493/S493,0))*VLOOKUP(B493,'2-Kosten per locatie'!$A$14:$C$61,3,FALSE)</f>
        <v>#DIV/0!</v>
      </c>
      <c r="Q493" s="410">
        <f>IF(N493&gt;0,N493*K493/T493,0)*VLOOKUP(B493,'2-Kosten per locatie'!$A$14:$C$61,3,FALSE)</f>
        <v>0</v>
      </c>
      <c r="R493" s="410">
        <f>IF(O493&gt;0,O493*K493/U493,0)*VLOOKUP(B493,'2-Kosten per locatie'!$A$14:$C$61,3,FALSE)</f>
        <v>0</v>
      </c>
      <c r="S493" s="411">
        <f>IF(M493="nio",0,IF(M493&gt;0,VLOOKUP(I493,'3-Productie normen'!A:P,VLOOKUP(M493,'3-Productie normen'!$B$38:$C$48,2,FALSE),FALSE)))</f>
        <v>0</v>
      </c>
      <c r="T493" s="411">
        <f t="shared" si="38"/>
        <v>0</v>
      </c>
      <c r="U493" s="411">
        <f t="shared" si="41"/>
        <v>0</v>
      </c>
      <c r="V493" s="412"/>
      <c r="X493" s="413">
        <f t="shared" si="39"/>
        <v>11600</v>
      </c>
    </row>
    <row r="494" spans="1:24" ht="14.1" customHeight="1">
      <c r="A494" s="70">
        <f t="shared" si="40"/>
        <v>494</v>
      </c>
      <c r="B494" s="354" t="s">
        <v>67</v>
      </c>
      <c r="C494" s="354" t="s">
        <v>493</v>
      </c>
      <c r="D494" s="354" t="s">
        <v>165</v>
      </c>
      <c r="E494" s="404" t="s">
        <v>494</v>
      </c>
      <c r="F494" s="405" t="s">
        <v>495</v>
      </c>
      <c r="G494" s="406" t="s">
        <v>198</v>
      </c>
      <c r="H494" s="420" t="s">
        <v>464</v>
      </c>
      <c r="I494" s="420" t="s">
        <v>105</v>
      </c>
      <c r="J494" s="399" t="s">
        <v>218</v>
      </c>
      <c r="K494" s="414">
        <v>20</v>
      </c>
      <c r="L494" s="408">
        <f t="shared" si="42"/>
        <v>200</v>
      </c>
      <c r="M494" s="409">
        <v>200</v>
      </c>
      <c r="N494" s="306"/>
      <c r="O494" s="409"/>
      <c r="P494" s="410" t="e">
        <f>IF(M494="nio",0,IF(M494&gt;0,M494*K494/S494,0))*VLOOKUP(B494,'2-Kosten per locatie'!$A$14:$C$61,3,FALSE)</f>
        <v>#DIV/0!</v>
      </c>
      <c r="Q494" s="410">
        <f>IF(N494&gt;0,N494*K494/T494,0)*VLOOKUP(B494,'2-Kosten per locatie'!$A$14:$C$61,3,FALSE)</f>
        <v>0</v>
      </c>
      <c r="R494" s="410">
        <f>IF(O494&gt;0,O494*K494/U494,0)*VLOOKUP(B494,'2-Kosten per locatie'!$A$14:$C$61,3,FALSE)</f>
        <v>0</v>
      </c>
      <c r="S494" s="411">
        <f>IF(M494="nio",0,IF(M494&gt;0,VLOOKUP(I494,'3-Productie normen'!A:P,VLOOKUP(M494,'3-Productie normen'!$B$38:$C$48,2,FALSE),FALSE)))</f>
        <v>0</v>
      </c>
      <c r="T494" s="411">
        <f t="shared" si="38"/>
        <v>0</v>
      </c>
      <c r="U494" s="411">
        <f t="shared" si="41"/>
        <v>0</v>
      </c>
      <c r="V494" s="412"/>
      <c r="X494" s="413">
        <f t="shared" si="39"/>
        <v>4000</v>
      </c>
    </row>
    <row r="495" spans="1:24" ht="14.1" customHeight="1">
      <c r="A495" s="70">
        <f t="shared" si="40"/>
        <v>495</v>
      </c>
      <c r="B495" s="354" t="s">
        <v>67</v>
      </c>
      <c r="C495" s="354" t="s">
        <v>493</v>
      </c>
      <c r="D495" s="354" t="s">
        <v>165</v>
      </c>
      <c r="E495" s="404" t="s">
        <v>494</v>
      </c>
      <c r="F495" s="405" t="s">
        <v>495</v>
      </c>
      <c r="G495" s="406" t="s">
        <v>199</v>
      </c>
      <c r="H495" s="420" t="s">
        <v>464</v>
      </c>
      <c r="I495" s="420" t="s">
        <v>105</v>
      </c>
      <c r="J495" s="399" t="s">
        <v>173</v>
      </c>
      <c r="K495" s="414">
        <v>29</v>
      </c>
      <c r="L495" s="408">
        <f t="shared" si="42"/>
        <v>80</v>
      </c>
      <c r="M495" s="409">
        <v>80</v>
      </c>
      <c r="N495" s="306"/>
      <c r="O495" s="409"/>
      <c r="P495" s="410" t="e">
        <f>IF(M495="nio",0,IF(M495&gt;0,M495*K495/S495,0))*VLOOKUP(B495,'2-Kosten per locatie'!$A$14:$C$61,3,FALSE)</f>
        <v>#DIV/0!</v>
      </c>
      <c r="Q495" s="410">
        <f>IF(N495&gt;0,N495*K495/T495,0)*VLOOKUP(B495,'2-Kosten per locatie'!$A$14:$C$61,3,FALSE)</f>
        <v>0</v>
      </c>
      <c r="R495" s="410">
        <f>IF(O495&gt;0,O495*K495/U495,0)*VLOOKUP(B495,'2-Kosten per locatie'!$A$14:$C$61,3,FALSE)</f>
        <v>0</v>
      </c>
      <c r="S495" s="411">
        <f>IF(M495="nio",0,IF(M495&gt;0,VLOOKUP(I495,'3-Productie normen'!A:P,VLOOKUP(M495,'3-Productie normen'!$B$38:$C$48,2,FALSE),FALSE)))</f>
        <v>0</v>
      </c>
      <c r="T495" s="411">
        <f t="shared" si="38"/>
        <v>0</v>
      </c>
      <c r="U495" s="411">
        <f t="shared" si="41"/>
        <v>0</v>
      </c>
      <c r="V495" s="412"/>
      <c r="X495" s="413">
        <f t="shared" si="39"/>
        <v>2320</v>
      </c>
    </row>
    <row r="496" spans="1:24" ht="14.1" customHeight="1">
      <c r="A496" s="70">
        <f t="shared" si="40"/>
        <v>496</v>
      </c>
      <c r="B496" s="354" t="s">
        <v>67</v>
      </c>
      <c r="C496" s="354" t="s">
        <v>493</v>
      </c>
      <c r="D496" s="354" t="s">
        <v>165</v>
      </c>
      <c r="E496" s="404" t="s">
        <v>494</v>
      </c>
      <c r="F496" s="405" t="s">
        <v>495</v>
      </c>
      <c r="G496" s="406" t="s">
        <v>202</v>
      </c>
      <c r="H496" s="420" t="s">
        <v>464</v>
      </c>
      <c r="I496" s="420" t="s">
        <v>105</v>
      </c>
      <c r="J496" s="399" t="s">
        <v>218</v>
      </c>
      <c r="K496" s="414">
        <v>10</v>
      </c>
      <c r="L496" s="408">
        <f t="shared" si="42"/>
        <v>200</v>
      </c>
      <c r="M496" s="409">
        <v>200</v>
      </c>
      <c r="N496" s="306"/>
      <c r="O496" s="409"/>
      <c r="P496" s="410" t="e">
        <f>IF(M496="nio",0,IF(M496&gt;0,M496*K496/S496,0))*VLOOKUP(B496,'2-Kosten per locatie'!$A$14:$C$61,3,FALSE)</f>
        <v>#DIV/0!</v>
      </c>
      <c r="Q496" s="410">
        <f>IF(N496&gt;0,N496*K496/T496,0)*VLOOKUP(B496,'2-Kosten per locatie'!$A$14:$C$61,3,FALSE)</f>
        <v>0</v>
      </c>
      <c r="R496" s="410">
        <f>IF(O496&gt;0,O496*K496/U496,0)*VLOOKUP(B496,'2-Kosten per locatie'!$A$14:$C$61,3,FALSE)</f>
        <v>0</v>
      </c>
      <c r="S496" s="411">
        <f>IF(M496="nio",0,IF(M496&gt;0,VLOOKUP(I496,'3-Productie normen'!A:P,VLOOKUP(M496,'3-Productie normen'!$B$38:$C$48,2,FALSE),FALSE)))</f>
        <v>0</v>
      </c>
      <c r="T496" s="411">
        <f t="shared" si="38"/>
        <v>0</v>
      </c>
      <c r="U496" s="411">
        <f t="shared" si="41"/>
        <v>0</v>
      </c>
      <c r="V496" s="412"/>
      <c r="X496" s="413">
        <f t="shared" si="39"/>
        <v>2000</v>
      </c>
    </row>
    <row r="497" spans="1:24" ht="14.1" customHeight="1">
      <c r="A497" s="70">
        <f t="shared" si="40"/>
        <v>497</v>
      </c>
      <c r="B497" s="354" t="s">
        <v>67</v>
      </c>
      <c r="C497" s="354" t="s">
        <v>493</v>
      </c>
      <c r="D497" s="354" t="s">
        <v>165</v>
      </c>
      <c r="E497" s="404" t="s">
        <v>494</v>
      </c>
      <c r="F497" s="405" t="s">
        <v>495</v>
      </c>
      <c r="G497" s="406" t="s">
        <v>203</v>
      </c>
      <c r="H497" s="420" t="s">
        <v>220</v>
      </c>
      <c r="I497" s="420" t="s">
        <v>108</v>
      </c>
      <c r="J497" s="399" t="s">
        <v>218</v>
      </c>
      <c r="K497" s="414">
        <v>14</v>
      </c>
      <c r="L497" s="408">
        <f t="shared" si="42"/>
        <v>200</v>
      </c>
      <c r="M497" s="409">
        <v>200</v>
      </c>
      <c r="N497" s="306"/>
      <c r="O497" s="409"/>
      <c r="P497" s="410" t="e">
        <f>IF(M497="nio",0,IF(M497&gt;0,M497*K497/S497,0))*VLOOKUP(B497,'2-Kosten per locatie'!$A$14:$C$61,3,FALSE)</f>
        <v>#DIV/0!</v>
      </c>
      <c r="Q497" s="410">
        <f>IF(N497&gt;0,N497*K497/T497,0)*VLOOKUP(B497,'2-Kosten per locatie'!$A$14:$C$61,3,FALSE)</f>
        <v>0</v>
      </c>
      <c r="R497" s="410">
        <f>IF(O497&gt;0,O497*K497/U497,0)*VLOOKUP(B497,'2-Kosten per locatie'!$A$14:$C$61,3,FALSE)</f>
        <v>0</v>
      </c>
      <c r="S497" s="411">
        <f>IF(M497="nio",0,IF(M497&gt;0,VLOOKUP(I497,'3-Productie normen'!A:P,VLOOKUP(M497,'3-Productie normen'!$B$38:$C$48,2,FALSE),FALSE)))</f>
        <v>0</v>
      </c>
      <c r="T497" s="411">
        <f t="shared" si="38"/>
        <v>0</v>
      </c>
      <c r="U497" s="411">
        <f t="shared" si="41"/>
        <v>0</v>
      </c>
      <c r="V497" s="412"/>
      <c r="X497" s="413">
        <f t="shared" si="39"/>
        <v>2800</v>
      </c>
    </row>
    <row r="498" spans="1:24" ht="14.1" customHeight="1">
      <c r="A498" s="70">
        <f t="shared" si="40"/>
        <v>498</v>
      </c>
      <c r="B498" s="354" t="s">
        <v>67</v>
      </c>
      <c r="C498" s="354" t="s">
        <v>493</v>
      </c>
      <c r="D498" s="354" t="s">
        <v>165</v>
      </c>
      <c r="E498" s="404" t="s">
        <v>494</v>
      </c>
      <c r="F498" s="405" t="s">
        <v>495</v>
      </c>
      <c r="G498" s="406" t="s">
        <v>204</v>
      </c>
      <c r="H498" s="420" t="s">
        <v>496</v>
      </c>
      <c r="I498" s="420" t="s">
        <v>110</v>
      </c>
      <c r="J498" s="399" t="s">
        <v>218</v>
      </c>
      <c r="K498" s="414">
        <v>218</v>
      </c>
      <c r="L498" s="408">
        <f t="shared" si="42"/>
        <v>200</v>
      </c>
      <c r="M498" s="409">
        <v>200</v>
      </c>
      <c r="N498" s="306"/>
      <c r="O498" s="409"/>
      <c r="P498" s="410" t="e">
        <f>IF(M498="nio",0,IF(M498&gt;0,M498*K498/S498,0))*VLOOKUP(B498,'2-Kosten per locatie'!$A$14:$C$61,3,FALSE)</f>
        <v>#DIV/0!</v>
      </c>
      <c r="Q498" s="410">
        <f>IF(N498&gt;0,N498*K498/T498,0)*VLOOKUP(B498,'2-Kosten per locatie'!$A$14:$C$61,3,FALSE)</f>
        <v>0</v>
      </c>
      <c r="R498" s="410">
        <f>IF(O498&gt;0,O498*K498/U498,0)*VLOOKUP(B498,'2-Kosten per locatie'!$A$14:$C$61,3,FALSE)</f>
        <v>0</v>
      </c>
      <c r="S498" s="411">
        <f>IF(M498="nio",0,IF(M498&gt;0,VLOOKUP(I498,'3-Productie normen'!A:P,VLOOKUP(M498,'3-Productie normen'!$B$38:$C$48,2,FALSE),FALSE)))</f>
        <v>0</v>
      </c>
      <c r="T498" s="411">
        <f t="shared" si="38"/>
        <v>0</v>
      </c>
      <c r="U498" s="411">
        <f t="shared" si="41"/>
        <v>0</v>
      </c>
      <c r="V498" s="412"/>
      <c r="X498" s="413">
        <f t="shared" si="39"/>
        <v>43600</v>
      </c>
    </row>
    <row r="499" spans="1:24" ht="14.1" customHeight="1">
      <c r="A499" s="70">
        <f t="shared" si="40"/>
        <v>499</v>
      </c>
      <c r="B499" s="354" t="s">
        <v>67</v>
      </c>
      <c r="C499" s="354" t="s">
        <v>493</v>
      </c>
      <c r="D499" s="354" t="s">
        <v>165</v>
      </c>
      <c r="E499" s="404" t="s">
        <v>494</v>
      </c>
      <c r="F499" s="405" t="s">
        <v>495</v>
      </c>
      <c r="G499" s="406" t="s">
        <v>497</v>
      </c>
      <c r="H499" s="420" t="s">
        <v>187</v>
      </c>
      <c r="I499" s="420" t="s">
        <v>107</v>
      </c>
      <c r="J499" s="399" t="s">
        <v>169</v>
      </c>
      <c r="K499" s="414">
        <v>7</v>
      </c>
      <c r="L499" s="408">
        <f t="shared" si="42"/>
        <v>200</v>
      </c>
      <c r="M499" s="409">
        <v>200</v>
      </c>
      <c r="N499" s="306"/>
      <c r="O499" s="409"/>
      <c r="P499" s="410" t="e">
        <f>IF(M499="nio",0,IF(M499&gt;0,M499*K499/S499,0))*VLOOKUP(B499,'2-Kosten per locatie'!$A$14:$C$61,3,FALSE)</f>
        <v>#DIV/0!</v>
      </c>
      <c r="Q499" s="410">
        <f>IF(N499&gt;0,N499*K499/T499,0)*VLOOKUP(B499,'2-Kosten per locatie'!$A$14:$C$61,3,FALSE)</f>
        <v>0</v>
      </c>
      <c r="R499" s="410">
        <f>IF(O499&gt;0,O499*K499/U499,0)*VLOOKUP(B499,'2-Kosten per locatie'!$A$14:$C$61,3,FALSE)</f>
        <v>0</v>
      </c>
      <c r="S499" s="411">
        <f>IF(M499="nio",0,IF(M499&gt;0,VLOOKUP(I499,'3-Productie normen'!A:P,VLOOKUP(M499,'3-Productie normen'!$B$38:$C$48,2,FALSE),FALSE)))</f>
        <v>0</v>
      </c>
      <c r="T499" s="411">
        <f t="shared" si="38"/>
        <v>0</v>
      </c>
      <c r="U499" s="411">
        <f t="shared" si="41"/>
        <v>0</v>
      </c>
      <c r="V499" s="412"/>
      <c r="X499" s="413">
        <f t="shared" si="39"/>
        <v>1400</v>
      </c>
    </row>
    <row r="500" spans="1:24" ht="14.1" customHeight="1">
      <c r="A500" s="70">
        <f t="shared" si="40"/>
        <v>500</v>
      </c>
      <c r="B500" s="354" t="s">
        <v>67</v>
      </c>
      <c r="C500" s="354" t="s">
        <v>493</v>
      </c>
      <c r="D500" s="354" t="s">
        <v>165</v>
      </c>
      <c r="E500" s="404" t="s">
        <v>494</v>
      </c>
      <c r="F500" s="405" t="s">
        <v>495</v>
      </c>
      <c r="G500" s="406" t="s">
        <v>205</v>
      </c>
      <c r="H500" s="420" t="s">
        <v>183</v>
      </c>
      <c r="I500" s="420" t="s">
        <v>106</v>
      </c>
      <c r="J500" s="399" t="s">
        <v>184</v>
      </c>
      <c r="K500" s="414">
        <v>14</v>
      </c>
      <c r="L500" s="408">
        <f t="shared" si="42"/>
        <v>200</v>
      </c>
      <c r="M500" s="409">
        <v>200</v>
      </c>
      <c r="N500" s="306"/>
      <c r="O500" s="409"/>
      <c r="P500" s="410" t="e">
        <f>IF(M500="nio",0,IF(M500&gt;0,M500*K500/S500,0))*VLOOKUP(B500,'2-Kosten per locatie'!$A$14:$C$61,3,FALSE)</f>
        <v>#DIV/0!</v>
      </c>
      <c r="Q500" s="410">
        <f>IF(N500&gt;0,N500*K500/T500,0)*VLOOKUP(B500,'2-Kosten per locatie'!$A$14:$C$61,3,FALSE)</f>
        <v>0</v>
      </c>
      <c r="R500" s="410">
        <f>IF(O500&gt;0,O500*K500/U500,0)*VLOOKUP(B500,'2-Kosten per locatie'!$A$14:$C$61,3,FALSE)</f>
        <v>0</v>
      </c>
      <c r="S500" s="411">
        <f>IF(M500="nio",0,IF(M500&gt;0,VLOOKUP(I500,'3-Productie normen'!A:P,VLOOKUP(M500,'3-Productie normen'!$B$38:$C$48,2,FALSE),FALSE)))</f>
        <v>0</v>
      </c>
      <c r="T500" s="411">
        <f t="shared" si="38"/>
        <v>0</v>
      </c>
      <c r="U500" s="411">
        <f t="shared" si="41"/>
        <v>0</v>
      </c>
      <c r="V500" s="412"/>
      <c r="X500" s="413">
        <f t="shared" si="39"/>
        <v>2800</v>
      </c>
    </row>
    <row r="501" spans="1:24" ht="14.1" customHeight="1">
      <c r="A501" s="70">
        <f t="shared" si="40"/>
        <v>501</v>
      </c>
      <c r="B501" s="354" t="s">
        <v>67</v>
      </c>
      <c r="C501" s="354" t="s">
        <v>493</v>
      </c>
      <c r="D501" s="354" t="s">
        <v>165</v>
      </c>
      <c r="E501" s="404" t="s">
        <v>494</v>
      </c>
      <c r="F501" s="405" t="s">
        <v>495</v>
      </c>
      <c r="G501" s="406" t="s">
        <v>180</v>
      </c>
      <c r="H501" s="420" t="s">
        <v>183</v>
      </c>
      <c r="I501" s="420" t="s">
        <v>106</v>
      </c>
      <c r="J501" s="399" t="s">
        <v>184</v>
      </c>
      <c r="K501" s="414">
        <v>4</v>
      </c>
      <c r="L501" s="408">
        <f t="shared" si="42"/>
        <v>200</v>
      </c>
      <c r="M501" s="409">
        <v>200</v>
      </c>
      <c r="N501" s="306"/>
      <c r="O501" s="409"/>
      <c r="P501" s="410" t="e">
        <f>IF(M501="nio",0,IF(M501&gt;0,M501*K501/S501,0))*VLOOKUP(B501,'2-Kosten per locatie'!$A$14:$C$61,3,FALSE)</f>
        <v>#DIV/0!</v>
      </c>
      <c r="Q501" s="410">
        <f>IF(N501&gt;0,N501*K501/T501,0)*VLOOKUP(B501,'2-Kosten per locatie'!$A$14:$C$61,3,FALSE)</f>
        <v>0</v>
      </c>
      <c r="R501" s="410">
        <f>IF(O501&gt;0,O501*K501/U501,0)*VLOOKUP(B501,'2-Kosten per locatie'!$A$14:$C$61,3,FALSE)</f>
        <v>0</v>
      </c>
      <c r="S501" s="411">
        <f>IF(M501="nio",0,IF(M501&gt;0,VLOOKUP(I501,'3-Productie normen'!A:P,VLOOKUP(M501,'3-Productie normen'!$B$38:$C$48,2,FALSE),FALSE)))</f>
        <v>0</v>
      </c>
      <c r="T501" s="411">
        <f t="shared" si="38"/>
        <v>0</v>
      </c>
      <c r="U501" s="411">
        <f t="shared" si="41"/>
        <v>0</v>
      </c>
      <c r="V501" s="412"/>
      <c r="X501" s="413">
        <f t="shared" si="39"/>
        <v>800</v>
      </c>
    </row>
    <row r="502" spans="1:24" ht="14.1" customHeight="1">
      <c r="A502" s="70">
        <f t="shared" si="40"/>
        <v>502</v>
      </c>
      <c r="B502" s="354" t="s">
        <v>67</v>
      </c>
      <c r="C502" s="354" t="s">
        <v>493</v>
      </c>
      <c r="D502" s="354" t="s">
        <v>165</v>
      </c>
      <c r="E502" s="404" t="s">
        <v>494</v>
      </c>
      <c r="F502" s="405" t="s">
        <v>273</v>
      </c>
      <c r="G502" s="406" t="s">
        <v>257</v>
      </c>
      <c r="H502" s="420" t="s">
        <v>220</v>
      </c>
      <c r="I502" s="420" t="s">
        <v>108</v>
      </c>
      <c r="J502" s="399" t="s">
        <v>218</v>
      </c>
      <c r="K502" s="414">
        <v>40</v>
      </c>
      <c r="L502" s="408">
        <f t="shared" si="42"/>
        <v>200</v>
      </c>
      <c r="M502" s="409">
        <v>200</v>
      </c>
      <c r="N502" s="306"/>
      <c r="O502" s="409"/>
      <c r="P502" s="410" t="e">
        <f>IF(M502="nio",0,IF(M502&gt;0,M502*K502/S502,0))*VLOOKUP(B502,'2-Kosten per locatie'!$A$14:$C$61,3,FALSE)</f>
        <v>#DIV/0!</v>
      </c>
      <c r="Q502" s="410">
        <f>IF(N502&gt;0,N502*K502/T502,0)*VLOOKUP(B502,'2-Kosten per locatie'!$A$14:$C$61,3,FALSE)</f>
        <v>0</v>
      </c>
      <c r="R502" s="410">
        <f>IF(O502&gt;0,O502*K502/U502,0)*VLOOKUP(B502,'2-Kosten per locatie'!$A$14:$C$61,3,FALSE)</f>
        <v>0</v>
      </c>
      <c r="S502" s="411">
        <f>IF(M502="nio",0,IF(M502&gt;0,VLOOKUP(I502,'3-Productie normen'!A:P,VLOOKUP(M502,'3-Productie normen'!$B$38:$C$48,2,FALSE),FALSE)))</f>
        <v>0</v>
      </c>
      <c r="T502" s="411">
        <f t="shared" si="38"/>
        <v>0</v>
      </c>
      <c r="U502" s="411">
        <f t="shared" si="41"/>
        <v>0</v>
      </c>
      <c r="V502" s="412"/>
      <c r="X502" s="413">
        <f t="shared" si="39"/>
        <v>8000</v>
      </c>
    </row>
    <row r="503" spans="1:24" ht="14.1" customHeight="1">
      <c r="A503" s="70">
        <f t="shared" si="40"/>
        <v>503</v>
      </c>
      <c r="B503" s="354" t="s">
        <v>67</v>
      </c>
      <c r="C503" s="354" t="s">
        <v>493</v>
      </c>
      <c r="D503" s="354" t="s">
        <v>165</v>
      </c>
      <c r="E503" s="404" t="s">
        <v>494</v>
      </c>
      <c r="F503" s="405" t="s">
        <v>273</v>
      </c>
      <c r="G503" s="406" t="s">
        <v>258</v>
      </c>
      <c r="H503" s="420" t="s">
        <v>186</v>
      </c>
      <c r="I503" s="420" t="s">
        <v>120</v>
      </c>
      <c r="J503" s="399" t="s">
        <v>218</v>
      </c>
      <c r="K503" s="414">
        <v>55</v>
      </c>
      <c r="L503" s="408">
        <f t="shared" si="42"/>
        <v>200</v>
      </c>
      <c r="M503" s="409">
        <v>200</v>
      </c>
      <c r="N503" s="306"/>
      <c r="O503" s="409"/>
      <c r="P503" s="410" t="e">
        <f>IF(M503="nio",0,IF(M503&gt;0,M503*K503/S503,0))*VLOOKUP(B503,'2-Kosten per locatie'!$A$14:$C$61,3,FALSE)</f>
        <v>#DIV/0!</v>
      </c>
      <c r="Q503" s="410">
        <f>IF(N503&gt;0,N503*K503/T503,0)*VLOOKUP(B503,'2-Kosten per locatie'!$A$14:$C$61,3,FALSE)</f>
        <v>0</v>
      </c>
      <c r="R503" s="410">
        <f>IF(O503&gt;0,O503*K503/U503,0)*VLOOKUP(B503,'2-Kosten per locatie'!$A$14:$C$61,3,FALSE)</f>
        <v>0</v>
      </c>
      <c r="S503" s="411">
        <f>IF(M503="nio",0,IF(M503&gt;0,VLOOKUP(I503,'3-Productie normen'!A:P,VLOOKUP(M503,'3-Productie normen'!$B$38:$C$48,2,FALSE),FALSE)))</f>
        <v>0</v>
      </c>
      <c r="T503" s="411">
        <f t="shared" si="38"/>
        <v>0</v>
      </c>
      <c r="U503" s="411">
        <f t="shared" si="41"/>
        <v>0</v>
      </c>
      <c r="V503" s="412"/>
      <c r="X503" s="413">
        <f t="shared" si="39"/>
        <v>11000</v>
      </c>
    </row>
    <row r="504" spans="1:24" ht="14.1" customHeight="1">
      <c r="A504" s="70">
        <f t="shared" si="40"/>
        <v>504</v>
      </c>
      <c r="B504" s="354" t="s">
        <v>67</v>
      </c>
      <c r="C504" s="354" t="s">
        <v>493</v>
      </c>
      <c r="D504" s="354" t="s">
        <v>165</v>
      </c>
      <c r="E504" s="404" t="s">
        <v>494</v>
      </c>
      <c r="F504" s="405" t="s">
        <v>273</v>
      </c>
      <c r="G504" s="406" t="s">
        <v>259</v>
      </c>
      <c r="H504" s="420" t="s">
        <v>186</v>
      </c>
      <c r="I504" s="420" t="s">
        <v>120</v>
      </c>
      <c r="J504" s="399" t="s">
        <v>218</v>
      </c>
      <c r="K504" s="414">
        <v>57</v>
      </c>
      <c r="L504" s="408">
        <f t="shared" si="42"/>
        <v>200</v>
      </c>
      <c r="M504" s="409">
        <v>200</v>
      </c>
      <c r="N504" s="306"/>
      <c r="O504" s="409"/>
      <c r="P504" s="410" t="e">
        <f>IF(M504="nio",0,IF(M504&gt;0,M504*K504/S504,0))*VLOOKUP(B504,'2-Kosten per locatie'!$A$14:$C$61,3,FALSE)</f>
        <v>#DIV/0!</v>
      </c>
      <c r="Q504" s="410">
        <f>IF(N504&gt;0,N504*K504/T504,0)*VLOOKUP(B504,'2-Kosten per locatie'!$A$14:$C$61,3,FALSE)</f>
        <v>0</v>
      </c>
      <c r="R504" s="410">
        <f>IF(O504&gt;0,O504*K504/U504,0)*VLOOKUP(B504,'2-Kosten per locatie'!$A$14:$C$61,3,FALSE)</f>
        <v>0</v>
      </c>
      <c r="S504" s="411">
        <f>IF(M504="nio",0,IF(M504&gt;0,VLOOKUP(I504,'3-Productie normen'!A:P,VLOOKUP(M504,'3-Productie normen'!$B$38:$C$48,2,FALSE),FALSE)))</f>
        <v>0</v>
      </c>
      <c r="T504" s="411">
        <f t="shared" si="38"/>
        <v>0</v>
      </c>
      <c r="U504" s="411">
        <f t="shared" si="41"/>
        <v>0</v>
      </c>
      <c r="V504" s="412"/>
      <c r="X504" s="413">
        <f t="shared" si="39"/>
        <v>11400</v>
      </c>
    </row>
    <row r="505" spans="1:24" ht="14.1" customHeight="1">
      <c r="A505" s="70">
        <f t="shared" si="40"/>
        <v>505</v>
      </c>
      <c r="B505" s="354" t="s">
        <v>67</v>
      </c>
      <c r="C505" s="354" t="s">
        <v>493</v>
      </c>
      <c r="D505" s="354" t="s">
        <v>165</v>
      </c>
      <c r="E505" s="404" t="s">
        <v>494</v>
      </c>
      <c r="F505" s="405" t="s">
        <v>273</v>
      </c>
      <c r="G505" s="406" t="s">
        <v>260</v>
      </c>
      <c r="H505" s="420" t="s">
        <v>186</v>
      </c>
      <c r="I505" s="420" t="s">
        <v>120</v>
      </c>
      <c r="J505" s="399" t="s">
        <v>218</v>
      </c>
      <c r="K505" s="414">
        <v>56</v>
      </c>
      <c r="L505" s="408">
        <f t="shared" si="42"/>
        <v>200</v>
      </c>
      <c r="M505" s="409">
        <v>200</v>
      </c>
      <c r="N505" s="306"/>
      <c r="O505" s="409"/>
      <c r="P505" s="410" t="e">
        <f>IF(M505="nio",0,IF(M505&gt;0,M505*K505/S505,0))*VLOOKUP(B505,'2-Kosten per locatie'!$A$14:$C$61,3,FALSE)</f>
        <v>#DIV/0!</v>
      </c>
      <c r="Q505" s="410">
        <f>IF(N505&gt;0,N505*K505/T505,0)*VLOOKUP(B505,'2-Kosten per locatie'!$A$14:$C$61,3,FALSE)</f>
        <v>0</v>
      </c>
      <c r="R505" s="410">
        <f>IF(O505&gt;0,O505*K505/U505,0)*VLOOKUP(B505,'2-Kosten per locatie'!$A$14:$C$61,3,FALSE)</f>
        <v>0</v>
      </c>
      <c r="S505" s="411">
        <f>IF(M505="nio",0,IF(M505&gt;0,VLOOKUP(I505,'3-Productie normen'!A:P,VLOOKUP(M505,'3-Productie normen'!$B$38:$C$48,2,FALSE),FALSE)))</f>
        <v>0</v>
      </c>
      <c r="T505" s="411">
        <f t="shared" si="38"/>
        <v>0</v>
      </c>
      <c r="U505" s="411">
        <f t="shared" si="41"/>
        <v>0</v>
      </c>
      <c r="V505" s="412"/>
      <c r="X505" s="413">
        <f t="shared" si="39"/>
        <v>11200</v>
      </c>
    </row>
    <row r="506" spans="1:24" ht="14.1" customHeight="1">
      <c r="A506" s="70">
        <f t="shared" si="40"/>
        <v>506</v>
      </c>
      <c r="B506" s="354" t="s">
        <v>67</v>
      </c>
      <c r="C506" s="354" t="s">
        <v>493</v>
      </c>
      <c r="D506" s="354" t="s">
        <v>165</v>
      </c>
      <c r="E506" s="404" t="s">
        <v>494</v>
      </c>
      <c r="F506" s="405" t="s">
        <v>273</v>
      </c>
      <c r="G506" s="406" t="s">
        <v>261</v>
      </c>
      <c r="H506" s="420" t="s">
        <v>464</v>
      </c>
      <c r="I506" s="420" t="s">
        <v>105</v>
      </c>
      <c r="J506" s="399" t="s">
        <v>218</v>
      </c>
      <c r="K506" s="414">
        <v>10</v>
      </c>
      <c r="L506" s="408">
        <f t="shared" si="42"/>
        <v>200</v>
      </c>
      <c r="M506" s="409">
        <v>200</v>
      </c>
      <c r="N506" s="306"/>
      <c r="O506" s="409"/>
      <c r="P506" s="410" t="e">
        <f>IF(M506="nio",0,IF(M506&gt;0,M506*K506/S506,0))*VLOOKUP(B506,'2-Kosten per locatie'!$A$14:$C$61,3,FALSE)</f>
        <v>#DIV/0!</v>
      </c>
      <c r="Q506" s="410">
        <f>IF(N506&gt;0,N506*K506/T506,0)*VLOOKUP(B506,'2-Kosten per locatie'!$A$14:$C$61,3,FALSE)</f>
        <v>0</v>
      </c>
      <c r="R506" s="410">
        <f>IF(O506&gt;0,O506*K506/U506,0)*VLOOKUP(B506,'2-Kosten per locatie'!$A$14:$C$61,3,FALSE)</f>
        <v>0</v>
      </c>
      <c r="S506" s="411">
        <f>IF(M506="nio",0,IF(M506&gt;0,VLOOKUP(I506,'3-Productie normen'!A:P,VLOOKUP(M506,'3-Productie normen'!$B$38:$C$48,2,FALSE),FALSE)))</f>
        <v>0</v>
      </c>
      <c r="T506" s="411">
        <f t="shared" si="38"/>
        <v>0</v>
      </c>
      <c r="U506" s="411">
        <f t="shared" si="41"/>
        <v>0</v>
      </c>
      <c r="V506" s="412"/>
      <c r="X506" s="413">
        <f t="shared" si="39"/>
        <v>2000</v>
      </c>
    </row>
    <row r="507" spans="1:24" ht="14.1" customHeight="1">
      <c r="A507" s="70">
        <f t="shared" si="40"/>
        <v>507</v>
      </c>
      <c r="B507" s="354" t="s">
        <v>67</v>
      </c>
      <c r="C507" s="354" t="s">
        <v>493</v>
      </c>
      <c r="D507" s="354" t="s">
        <v>165</v>
      </c>
      <c r="E507" s="404" t="s">
        <v>494</v>
      </c>
      <c r="F507" s="405" t="s">
        <v>273</v>
      </c>
      <c r="G507" s="406" t="s">
        <v>262</v>
      </c>
      <c r="H507" s="420" t="s">
        <v>186</v>
      </c>
      <c r="I507" s="420" t="s">
        <v>120</v>
      </c>
      <c r="J507" s="399" t="s">
        <v>218</v>
      </c>
      <c r="K507" s="414">
        <v>58</v>
      </c>
      <c r="L507" s="408">
        <f t="shared" si="42"/>
        <v>200</v>
      </c>
      <c r="M507" s="409">
        <v>200</v>
      </c>
      <c r="N507" s="306"/>
      <c r="O507" s="409"/>
      <c r="P507" s="410" t="e">
        <f>IF(M507="nio",0,IF(M507&gt;0,M507*K507/S507,0))*VLOOKUP(B507,'2-Kosten per locatie'!$A$14:$C$61,3,FALSE)</f>
        <v>#DIV/0!</v>
      </c>
      <c r="Q507" s="410">
        <f>IF(N507&gt;0,N507*K507/T507,0)*VLOOKUP(B507,'2-Kosten per locatie'!$A$14:$C$61,3,FALSE)</f>
        <v>0</v>
      </c>
      <c r="R507" s="410">
        <f>IF(O507&gt;0,O507*K507/U507,0)*VLOOKUP(B507,'2-Kosten per locatie'!$A$14:$C$61,3,FALSE)</f>
        <v>0</v>
      </c>
      <c r="S507" s="411">
        <f>IF(M507="nio",0,IF(M507&gt;0,VLOOKUP(I507,'3-Productie normen'!A:P,VLOOKUP(M507,'3-Productie normen'!$B$38:$C$48,2,FALSE),FALSE)))</f>
        <v>0</v>
      </c>
      <c r="T507" s="411">
        <f t="shared" si="38"/>
        <v>0</v>
      </c>
      <c r="U507" s="411">
        <f t="shared" si="41"/>
        <v>0</v>
      </c>
      <c r="V507" s="412"/>
      <c r="X507" s="413">
        <f t="shared" si="39"/>
        <v>11600</v>
      </c>
    </row>
    <row r="508" spans="1:24" ht="14.1" customHeight="1">
      <c r="A508" s="70">
        <f t="shared" si="40"/>
        <v>508</v>
      </c>
      <c r="B508" s="354" t="s">
        <v>67</v>
      </c>
      <c r="C508" s="354" t="s">
        <v>493</v>
      </c>
      <c r="D508" s="354" t="s">
        <v>165</v>
      </c>
      <c r="E508" s="404" t="s">
        <v>494</v>
      </c>
      <c r="F508" s="405" t="s">
        <v>273</v>
      </c>
      <c r="G508" s="406" t="s">
        <v>263</v>
      </c>
      <c r="H508" s="420" t="s">
        <v>186</v>
      </c>
      <c r="I508" s="420" t="s">
        <v>120</v>
      </c>
      <c r="J508" s="399" t="s">
        <v>218</v>
      </c>
      <c r="K508" s="414">
        <v>57</v>
      </c>
      <c r="L508" s="408">
        <f t="shared" si="42"/>
        <v>200</v>
      </c>
      <c r="M508" s="409">
        <v>200</v>
      </c>
      <c r="N508" s="306"/>
      <c r="O508" s="409"/>
      <c r="P508" s="410" t="e">
        <f>IF(M508="nio",0,IF(M508&gt;0,M508*K508/S508,0))*VLOOKUP(B508,'2-Kosten per locatie'!$A$14:$C$61,3,FALSE)</f>
        <v>#DIV/0!</v>
      </c>
      <c r="Q508" s="410">
        <f>IF(N508&gt;0,N508*K508/T508,0)*VLOOKUP(B508,'2-Kosten per locatie'!$A$14:$C$61,3,FALSE)</f>
        <v>0</v>
      </c>
      <c r="R508" s="410">
        <f>IF(O508&gt;0,O508*K508/U508,0)*VLOOKUP(B508,'2-Kosten per locatie'!$A$14:$C$61,3,FALSE)</f>
        <v>0</v>
      </c>
      <c r="S508" s="411">
        <f>IF(M508="nio",0,IF(M508&gt;0,VLOOKUP(I508,'3-Productie normen'!A:P,VLOOKUP(M508,'3-Productie normen'!$B$38:$C$48,2,FALSE),FALSE)))</f>
        <v>0</v>
      </c>
      <c r="T508" s="411">
        <f t="shared" si="38"/>
        <v>0</v>
      </c>
      <c r="U508" s="411">
        <f t="shared" si="41"/>
        <v>0</v>
      </c>
      <c r="V508" s="412"/>
      <c r="X508" s="413">
        <f t="shared" si="39"/>
        <v>11400</v>
      </c>
    </row>
    <row r="509" spans="1:24" ht="14.1" customHeight="1">
      <c r="A509" s="70">
        <f t="shared" si="40"/>
        <v>509</v>
      </c>
      <c r="B509" s="354" t="s">
        <v>67</v>
      </c>
      <c r="C509" s="354" t="s">
        <v>493</v>
      </c>
      <c r="D509" s="354" t="s">
        <v>165</v>
      </c>
      <c r="E509" s="404" t="s">
        <v>494</v>
      </c>
      <c r="F509" s="405" t="s">
        <v>273</v>
      </c>
      <c r="G509" s="406" t="s">
        <v>264</v>
      </c>
      <c r="H509" s="420" t="s">
        <v>186</v>
      </c>
      <c r="I509" s="420" t="s">
        <v>120</v>
      </c>
      <c r="J509" s="399" t="s">
        <v>218</v>
      </c>
      <c r="K509" s="414">
        <v>57</v>
      </c>
      <c r="L509" s="408">
        <f t="shared" si="42"/>
        <v>200</v>
      </c>
      <c r="M509" s="409">
        <v>200</v>
      </c>
      <c r="N509" s="306"/>
      <c r="O509" s="409"/>
      <c r="P509" s="410" t="e">
        <f>IF(M509="nio",0,IF(M509&gt;0,M509*K509/S509,0))*VLOOKUP(B509,'2-Kosten per locatie'!$A$14:$C$61,3,FALSE)</f>
        <v>#DIV/0!</v>
      </c>
      <c r="Q509" s="410">
        <f>IF(N509&gt;0,N509*K509/T509,0)*VLOOKUP(B509,'2-Kosten per locatie'!$A$14:$C$61,3,FALSE)</f>
        <v>0</v>
      </c>
      <c r="R509" s="410">
        <f>IF(O509&gt;0,O509*K509/U509,0)*VLOOKUP(B509,'2-Kosten per locatie'!$A$14:$C$61,3,FALSE)</f>
        <v>0</v>
      </c>
      <c r="S509" s="411">
        <f>IF(M509="nio",0,IF(M509&gt;0,VLOOKUP(I509,'3-Productie normen'!A:P,VLOOKUP(M509,'3-Productie normen'!$B$38:$C$48,2,FALSE),FALSE)))</f>
        <v>0</v>
      </c>
      <c r="T509" s="411">
        <f t="shared" si="38"/>
        <v>0</v>
      </c>
      <c r="U509" s="411">
        <f t="shared" si="41"/>
        <v>0</v>
      </c>
      <c r="V509" s="412"/>
      <c r="X509" s="413">
        <f t="shared" si="39"/>
        <v>11400</v>
      </c>
    </row>
    <row r="510" spans="1:24" ht="14.1" customHeight="1">
      <c r="A510" s="70">
        <f t="shared" si="40"/>
        <v>510</v>
      </c>
      <c r="B510" s="354" t="s">
        <v>67</v>
      </c>
      <c r="C510" s="354" t="s">
        <v>493</v>
      </c>
      <c r="D510" s="354" t="s">
        <v>165</v>
      </c>
      <c r="E510" s="404" t="s">
        <v>494</v>
      </c>
      <c r="F510" s="405" t="s">
        <v>273</v>
      </c>
      <c r="G510" s="406" t="s">
        <v>265</v>
      </c>
      <c r="H510" s="420" t="s">
        <v>464</v>
      </c>
      <c r="I510" s="420" t="s">
        <v>105</v>
      </c>
      <c r="J510" s="399" t="s">
        <v>218</v>
      </c>
      <c r="K510" s="414">
        <v>12</v>
      </c>
      <c r="L510" s="408">
        <f t="shared" si="42"/>
        <v>200</v>
      </c>
      <c r="M510" s="409">
        <v>200</v>
      </c>
      <c r="N510" s="306"/>
      <c r="O510" s="409"/>
      <c r="P510" s="410" t="e">
        <f>IF(M510="nio",0,IF(M510&gt;0,M510*K510/S510,0))*VLOOKUP(B510,'2-Kosten per locatie'!$A$14:$C$61,3,FALSE)</f>
        <v>#DIV/0!</v>
      </c>
      <c r="Q510" s="410">
        <f>IF(N510&gt;0,N510*K510/T510,0)*VLOOKUP(B510,'2-Kosten per locatie'!$A$14:$C$61,3,FALSE)</f>
        <v>0</v>
      </c>
      <c r="R510" s="410">
        <f>IF(O510&gt;0,O510*K510/U510,0)*VLOOKUP(B510,'2-Kosten per locatie'!$A$14:$C$61,3,FALSE)</f>
        <v>0</v>
      </c>
      <c r="S510" s="411">
        <f>IF(M510="nio",0,IF(M510&gt;0,VLOOKUP(I510,'3-Productie normen'!A:P,VLOOKUP(M510,'3-Productie normen'!$B$38:$C$48,2,FALSE),FALSE)))</f>
        <v>0</v>
      </c>
      <c r="T510" s="411">
        <f t="shared" si="38"/>
        <v>0</v>
      </c>
      <c r="U510" s="411">
        <f t="shared" si="41"/>
        <v>0</v>
      </c>
      <c r="V510" s="412"/>
      <c r="X510" s="413">
        <f t="shared" si="39"/>
        <v>2400</v>
      </c>
    </row>
    <row r="511" spans="1:24" ht="14.1" customHeight="1">
      <c r="A511" s="70">
        <f t="shared" si="40"/>
        <v>511</v>
      </c>
      <c r="B511" s="354" t="s">
        <v>67</v>
      </c>
      <c r="C511" s="354" t="s">
        <v>493</v>
      </c>
      <c r="D511" s="354" t="s">
        <v>165</v>
      </c>
      <c r="E511" s="404" t="s">
        <v>494</v>
      </c>
      <c r="F511" s="405" t="s">
        <v>273</v>
      </c>
      <c r="G511" s="406" t="s">
        <v>266</v>
      </c>
      <c r="H511" s="420" t="s">
        <v>220</v>
      </c>
      <c r="I511" s="420" t="s">
        <v>108</v>
      </c>
      <c r="J511" s="399" t="s">
        <v>218</v>
      </c>
      <c r="K511" s="414">
        <v>45</v>
      </c>
      <c r="L511" s="408">
        <f t="shared" si="42"/>
        <v>200</v>
      </c>
      <c r="M511" s="409">
        <v>200</v>
      </c>
      <c r="N511" s="306"/>
      <c r="O511" s="409"/>
      <c r="P511" s="410" t="e">
        <f>IF(M511="nio",0,IF(M511&gt;0,M511*K511/S511,0))*VLOOKUP(B511,'2-Kosten per locatie'!$A$14:$C$61,3,FALSE)</f>
        <v>#DIV/0!</v>
      </c>
      <c r="Q511" s="410">
        <f>IF(N511&gt;0,N511*K511/T511,0)*VLOOKUP(B511,'2-Kosten per locatie'!$A$14:$C$61,3,FALSE)</f>
        <v>0</v>
      </c>
      <c r="R511" s="410">
        <f>IF(O511&gt;0,O511*K511/U511,0)*VLOOKUP(B511,'2-Kosten per locatie'!$A$14:$C$61,3,FALSE)</f>
        <v>0</v>
      </c>
      <c r="S511" s="411">
        <f>IF(M511="nio",0,IF(M511&gt;0,VLOOKUP(I511,'3-Productie normen'!A:P,VLOOKUP(M511,'3-Productie normen'!$B$38:$C$48,2,FALSE),FALSE)))</f>
        <v>0</v>
      </c>
      <c r="T511" s="411">
        <f t="shared" si="38"/>
        <v>0</v>
      </c>
      <c r="U511" s="411">
        <f t="shared" si="41"/>
        <v>0</v>
      </c>
      <c r="V511" s="412"/>
      <c r="X511" s="413">
        <f t="shared" si="39"/>
        <v>9000</v>
      </c>
    </row>
    <row r="512" spans="1:24" ht="14.1" customHeight="1">
      <c r="A512" s="70">
        <f t="shared" si="40"/>
        <v>512</v>
      </c>
      <c r="B512" s="354" t="s">
        <v>67</v>
      </c>
      <c r="C512" s="354" t="s">
        <v>493</v>
      </c>
      <c r="D512" s="354" t="s">
        <v>165</v>
      </c>
      <c r="E512" s="404" t="s">
        <v>494</v>
      </c>
      <c r="F512" s="405" t="s">
        <v>273</v>
      </c>
      <c r="G512" s="406" t="s">
        <v>268</v>
      </c>
      <c r="H512" s="420" t="s">
        <v>290</v>
      </c>
      <c r="I512" s="420" t="s">
        <v>108</v>
      </c>
      <c r="J512" s="399" t="s">
        <v>498</v>
      </c>
      <c r="K512" s="414">
        <v>8</v>
      </c>
      <c r="L512" s="408">
        <f t="shared" si="42"/>
        <v>200</v>
      </c>
      <c r="M512" s="409">
        <v>200</v>
      </c>
      <c r="N512" s="306"/>
      <c r="O512" s="409"/>
      <c r="P512" s="410" t="e">
        <f>IF(M512="nio",0,IF(M512&gt;0,M512*K512/S512,0))*VLOOKUP(B512,'2-Kosten per locatie'!$A$14:$C$61,3,FALSE)</f>
        <v>#DIV/0!</v>
      </c>
      <c r="Q512" s="410">
        <f>IF(N512&gt;0,N512*K512/T512,0)*VLOOKUP(B512,'2-Kosten per locatie'!$A$14:$C$61,3,FALSE)</f>
        <v>0</v>
      </c>
      <c r="R512" s="410">
        <f>IF(O512&gt;0,O512*K512/U512,0)*VLOOKUP(B512,'2-Kosten per locatie'!$A$14:$C$61,3,FALSE)</f>
        <v>0</v>
      </c>
      <c r="S512" s="411">
        <f>IF(M512="nio",0,IF(M512&gt;0,VLOOKUP(I512,'3-Productie normen'!A:P,VLOOKUP(M512,'3-Productie normen'!$B$38:$C$48,2,FALSE),FALSE)))</f>
        <v>0</v>
      </c>
      <c r="T512" s="411">
        <f t="shared" si="38"/>
        <v>0</v>
      </c>
      <c r="U512" s="411">
        <f t="shared" si="41"/>
        <v>0</v>
      </c>
      <c r="V512" s="412"/>
      <c r="X512" s="413">
        <f t="shared" si="39"/>
        <v>1600</v>
      </c>
    </row>
    <row r="513" spans="1:24" ht="14.1" customHeight="1">
      <c r="A513" s="70">
        <f t="shared" si="40"/>
        <v>513</v>
      </c>
      <c r="B513" s="354" t="s">
        <v>67</v>
      </c>
      <c r="C513" s="354" t="s">
        <v>493</v>
      </c>
      <c r="D513" s="354" t="s">
        <v>165</v>
      </c>
      <c r="E513" s="404" t="s">
        <v>494</v>
      </c>
      <c r="F513" s="405" t="s">
        <v>273</v>
      </c>
      <c r="G513" s="406" t="s">
        <v>269</v>
      </c>
      <c r="H513" s="420" t="s">
        <v>183</v>
      </c>
      <c r="I513" s="420" t="s">
        <v>106</v>
      </c>
      <c r="J513" s="399" t="s">
        <v>184</v>
      </c>
      <c r="K513" s="414">
        <v>9</v>
      </c>
      <c r="L513" s="408">
        <f t="shared" si="42"/>
        <v>200</v>
      </c>
      <c r="M513" s="409">
        <v>200</v>
      </c>
      <c r="N513" s="306"/>
      <c r="O513" s="409"/>
      <c r="P513" s="410" t="e">
        <f>IF(M513="nio",0,IF(M513&gt;0,M513*K513/S513,0))*VLOOKUP(B513,'2-Kosten per locatie'!$A$14:$C$61,3,FALSE)</f>
        <v>#DIV/0!</v>
      </c>
      <c r="Q513" s="410">
        <f>IF(N513&gt;0,N513*K513/T513,0)*VLOOKUP(B513,'2-Kosten per locatie'!$A$14:$C$61,3,FALSE)</f>
        <v>0</v>
      </c>
      <c r="R513" s="410">
        <f>IF(O513&gt;0,O513*K513/U513,0)*VLOOKUP(B513,'2-Kosten per locatie'!$A$14:$C$61,3,FALSE)</f>
        <v>0</v>
      </c>
      <c r="S513" s="411">
        <f>IF(M513="nio",0,IF(M513&gt;0,VLOOKUP(I513,'3-Productie normen'!A:P,VLOOKUP(M513,'3-Productie normen'!$B$38:$C$48,2,FALSE),FALSE)))</f>
        <v>0</v>
      </c>
      <c r="T513" s="411">
        <f t="shared" si="38"/>
        <v>0</v>
      </c>
      <c r="U513" s="411">
        <f t="shared" si="41"/>
        <v>0</v>
      </c>
      <c r="V513" s="412"/>
      <c r="X513" s="413">
        <f t="shared" si="39"/>
        <v>1800</v>
      </c>
    </row>
    <row r="514" spans="1:24" ht="14.1" customHeight="1">
      <c r="A514" s="70">
        <f t="shared" si="40"/>
        <v>514</v>
      </c>
      <c r="B514" s="354" t="s">
        <v>67</v>
      </c>
      <c r="C514" s="354" t="s">
        <v>493</v>
      </c>
      <c r="D514" s="354" t="s">
        <v>165</v>
      </c>
      <c r="E514" s="404" t="s">
        <v>494</v>
      </c>
      <c r="F514" s="405" t="s">
        <v>273</v>
      </c>
      <c r="G514" s="406" t="s">
        <v>270</v>
      </c>
      <c r="H514" s="420" t="s">
        <v>183</v>
      </c>
      <c r="I514" s="420" t="s">
        <v>106</v>
      </c>
      <c r="J514" s="399" t="s">
        <v>184</v>
      </c>
      <c r="K514" s="414">
        <v>14</v>
      </c>
      <c r="L514" s="408">
        <f t="shared" si="42"/>
        <v>200</v>
      </c>
      <c r="M514" s="409">
        <v>200</v>
      </c>
      <c r="N514" s="306"/>
      <c r="O514" s="409"/>
      <c r="P514" s="410" t="e">
        <f>IF(M514="nio",0,IF(M514&gt;0,M514*K514/S514,0))*VLOOKUP(B514,'2-Kosten per locatie'!$A$14:$C$61,3,FALSE)</f>
        <v>#DIV/0!</v>
      </c>
      <c r="Q514" s="410">
        <f>IF(N514&gt;0,N514*K514/T514,0)*VLOOKUP(B514,'2-Kosten per locatie'!$A$14:$C$61,3,FALSE)</f>
        <v>0</v>
      </c>
      <c r="R514" s="410">
        <f>IF(O514&gt;0,O514*K514/U514,0)*VLOOKUP(B514,'2-Kosten per locatie'!$A$14:$C$61,3,FALSE)</f>
        <v>0</v>
      </c>
      <c r="S514" s="411">
        <f>IF(M514="nio",0,IF(M514&gt;0,VLOOKUP(I514,'3-Productie normen'!A:P,VLOOKUP(M514,'3-Productie normen'!$B$38:$C$48,2,FALSE),FALSE)))</f>
        <v>0</v>
      </c>
      <c r="T514" s="411">
        <f t="shared" si="38"/>
        <v>0</v>
      </c>
      <c r="U514" s="411">
        <f t="shared" si="41"/>
        <v>0</v>
      </c>
      <c r="V514" s="412"/>
      <c r="X514" s="413">
        <f t="shared" si="39"/>
        <v>2800</v>
      </c>
    </row>
    <row r="515" spans="1:24" ht="14.1" customHeight="1">
      <c r="A515" s="70">
        <f t="shared" si="40"/>
        <v>515</v>
      </c>
      <c r="B515" s="354" t="s">
        <v>68</v>
      </c>
      <c r="C515" s="354" t="s">
        <v>499</v>
      </c>
      <c r="D515" s="354" t="s">
        <v>165</v>
      </c>
      <c r="E515" s="404" t="s">
        <v>500</v>
      </c>
      <c r="F515" s="405" t="s">
        <v>495</v>
      </c>
      <c r="G515" s="406" t="s">
        <v>191</v>
      </c>
      <c r="H515" s="420" t="s">
        <v>187</v>
      </c>
      <c r="I515" s="420" t="s">
        <v>107</v>
      </c>
      <c r="J515" s="399" t="s">
        <v>169</v>
      </c>
      <c r="K515" s="414">
        <v>8</v>
      </c>
      <c r="L515" s="408">
        <f t="shared" si="42"/>
        <v>208</v>
      </c>
      <c r="M515" s="409">
        <v>208</v>
      </c>
      <c r="N515" s="306"/>
      <c r="O515" s="409"/>
      <c r="P515" s="410" t="e">
        <f>IF(M515="nio",0,IF(M515&gt;0,M515*K515/S515,0))*VLOOKUP(B515,'2-Kosten per locatie'!$A$14:$C$61,3,FALSE)</f>
        <v>#DIV/0!</v>
      </c>
      <c r="Q515" s="410">
        <f>IF(N515&gt;0,N515*K515/T515,0)*VLOOKUP(B515,'2-Kosten per locatie'!$A$14:$C$61,3,FALSE)</f>
        <v>0</v>
      </c>
      <c r="R515" s="410">
        <f>IF(O515&gt;0,O515*K515/U515,0)*VLOOKUP(B515,'2-Kosten per locatie'!$A$14:$C$61,3,FALSE)</f>
        <v>0</v>
      </c>
      <c r="S515" s="411">
        <f>IF(M515="nio",0,IF(M515&gt;0,VLOOKUP(I515,'3-Productie normen'!A:P,VLOOKUP(M515,'3-Productie normen'!$B$38:$C$48,2,FALSE),FALSE)))</f>
        <v>0</v>
      </c>
      <c r="T515" s="411">
        <f t="shared" si="38"/>
        <v>0</v>
      </c>
      <c r="U515" s="411">
        <f t="shared" si="41"/>
        <v>0</v>
      </c>
      <c r="V515" s="412"/>
      <c r="X515" s="413">
        <f t="shared" si="39"/>
        <v>1664</v>
      </c>
    </row>
    <row r="516" spans="1:24" ht="14.1" customHeight="1">
      <c r="A516" s="70">
        <f t="shared" si="40"/>
        <v>516</v>
      </c>
      <c r="B516" s="354" t="s">
        <v>68</v>
      </c>
      <c r="C516" s="354" t="s">
        <v>499</v>
      </c>
      <c r="D516" s="354" t="s">
        <v>165</v>
      </c>
      <c r="E516" s="404" t="s">
        <v>500</v>
      </c>
      <c r="F516" s="405" t="s">
        <v>273</v>
      </c>
      <c r="G516" s="406">
        <v>1.1000000000000001</v>
      </c>
      <c r="H516" s="420" t="s">
        <v>501</v>
      </c>
      <c r="I516" s="420" t="s">
        <v>116</v>
      </c>
      <c r="J516" s="399" t="s">
        <v>185</v>
      </c>
      <c r="K516" s="414">
        <v>5</v>
      </c>
      <c r="L516" s="408">
        <f t="shared" si="42"/>
        <v>208</v>
      </c>
      <c r="M516" s="409">
        <v>208</v>
      </c>
      <c r="N516" s="306"/>
      <c r="O516" s="409"/>
      <c r="P516" s="410" t="e">
        <f>IF(M516="nio",0,IF(M516&gt;0,M516*K516/S516,0))*VLOOKUP(B516,'2-Kosten per locatie'!$A$14:$C$61,3,FALSE)</f>
        <v>#DIV/0!</v>
      </c>
      <c r="Q516" s="410">
        <f>IF(N516&gt;0,N516*K516/T516,0)*VLOOKUP(B516,'2-Kosten per locatie'!$A$14:$C$61,3,FALSE)</f>
        <v>0</v>
      </c>
      <c r="R516" s="410">
        <f>IF(O516&gt;0,O516*K516/U516,0)*VLOOKUP(B516,'2-Kosten per locatie'!$A$14:$C$61,3,FALSE)</f>
        <v>0</v>
      </c>
      <c r="S516" s="411">
        <f>IF(M516="nio",0,IF(M516&gt;0,VLOOKUP(I516,'3-Productie normen'!A:P,VLOOKUP(M516,'3-Productie normen'!$B$38:$C$48,2,FALSE),FALSE)))</f>
        <v>0</v>
      </c>
      <c r="T516" s="411">
        <f t="shared" si="38"/>
        <v>0</v>
      </c>
      <c r="U516" s="411">
        <f t="shared" si="41"/>
        <v>0</v>
      </c>
      <c r="V516" s="412"/>
      <c r="X516" s="413">
        <f t="shared" si="39"/>
        <v>1040</v>
      </c>
    </row>
    <row r="517" spans="1:24" ht="14.1" customHeight="1">
      <c r="A517" s="70">
        <f t="shared" si="40"/>
        <v>517</v>
      </c>
      <c r="B517" s="354" t="s">
        <v>68</v>
      </c>
      <c r="C517" s="354" t="s">
        <v>499</v>
      </c>
      <c r="D517" s="354" t="s">
        <v>165</v>
      </c>
      <c r="E517" s="404" t="s">
        <v>500</v>
      </c>
      <c r="F517" s="405" t="s">
        <v>273</v>
      </c>
      <c r="G517" s="406">
        <v>1.2</v>
      </c>
      <c r="H517" s="420" t="s">
        <v>502</v>
      </c>
      <c r="I517" s="420" t="s">
        <v>108</v>
      </c>
      <c r="J517" s="399" t="s">
        <v>185</v>
      </c>
      <c r="K517" s="414">
        <v>34</v>
      </c>
      <c r="L517" s="408">
        <f t="shared" si="42"/>
        <v>208</v>
      </c>
      <c r="M517" s="409">
        <v>208</v>
      </c>
      <c r="N517" s="306"/>
      <c r="O517" s="409"/>
      <c r="P517" s="410" t="e">
        <f>IF(M517="nio",0,IF(M517&gt;0,M517*K517/S517,0))*VLOOKUP(B517,'2-Kosten per locatie'!$A$14:$C$61,3,FALSE)</f>
        <v>#DIV/0!</v>
      </c>
      <c r="Q517" s="410">
        <f>IF(N517&gt;0,N517*K517/T517,0)*VLOOKUP(B517,'2-Kosten per locatie'!$A$14:$C$61,3,FALSE)</f>
        <v>0</v>
      </c>
      <c r="R517" s="410">
        <f>IF(O517&gt;0,O517*K517/U517,0)*VLOOKUP(B517,'2-Kosten per locatie'!$A$14:$C$61,3,FALSE)</f>
        <v>0</v>
      </c>
      <c r="S517" s="411">
        <f>IF(M517="nio",0,IF(M517&gt;0,VLOOKUP(I517,'3-Productie normen'!A:P,VLOOKUP(M517,'3-Productie normen'!$B$38:$C$48,2,FALSE),FALSE)))</f>
        <v>0</v>
      </c>
      <c r="T517" s="411">
        <f t="shared" si="38"/>
        <v>0</v>
      </c>
      <c r="U517" s="411">
        <f t="shared" si="41"/>
        <v>0</v>
      </c>
      <c r="V517" s="412"/>
      <c r="X517" s="413">
        <f t="shared" si="39"/>
        <v>7072</v>
      </c>
    </row>
    <row r="518" spans="1:24" ht="14.1" customHeight="1">
      <c r="A518" s="70">
        <f t="shared" si="40"/>
        <v>518</v>
      </c>
      <c r="B518" s="354" t="s">
        <v>68</v>
      </c>
      <c r="C518" s="354" t="s">
        <v>499</v>
      </c>
      <c r="D518" s="354" t="s">
        <v>165</v>
      </c>
      <c r="E518" s="404" t="s">
        <v>500</v>
      </c>
      <c r="F518" s="405" t="s">
        <v>273</v>
      </c>
      <c r="G518" s="406" t="s">
        <v>259</v>
      </c>
      <c r="H518" s="420" t="s">
        <v>290</v>
      </c>
      <c r="I518" s="420" t="s">
        <v>108</v>
      </c>
      <c r="J518" s="399" t="s">
        <v>169</v>
      </c>
      <c r="K518" s="414">
        <v>6</v>
      </c>
      <c r="L518" s="408">
        <f t="shared" si="42"/>
        <v>208</v>
      </c>
      <c r="M518" s="409">
        <v>208</v>
      </c>
      <c r="N518" s="306"/>
      <c r="O518" s="409"/>
      <c r="P518" s="410" t="e">
        <f>IF(M518="nio",0,IF(M518&gt;0,M518*K518/S518,0))*VLOOKUP(B518,'2-Kosten per locatie'!$A$14:$C$61,3,FALSE)</f>
        <v>#DIV/0!</v>
      </c>
      <c r="Q518" s="410">
        <f>IF(N518&gt;0,N518*K518/T518,0)*VLOOKUP(B518,'2-Kosten per locatie'!$A$14:$C$61,3,FALSE)</f>
        <v>0</v>
      </c>
      <c r="R518" s="410">
        <f>IF(O518&gt;0,O518*K518/U518,0)*VLOOKUP(B518,'2-Kosten per locatie'!$A$14:$C$61,3,FALSE)</f>
        <v>0</v>
      </c>
      <c r="S518" s="411">
        <f>IF(M518="nio",0,IF(M518&gt;0,VLOOKUP(I518,'3-Productie normen'!A:P,VLOOKUP(M518,'3-Productie normen'!$B$38:$C$48,2,FALSE),FALSE)))</f>
        <v>0</v>
      </c>
      <c r="T518" s="411">
        <f t="shared" si="38"/>
        <v>0</v>
      </c>
      <c r="U518" s="411">
        <f t="shared" si="41"/>
        <v>0</v>
      </c>
      <c r="V518" s="412"/>
      <c r="X518" s="413">
        <f t="shared" si="39"/>
        <v>1248</v>
      </c>
    </row>
    <row r="519" spans="1:24" ht="14.1" customHeight="1">
      <c r="A519" s="70">
        <f t="shared" si="40"/>
        <v>519</v>
      </c>
      <c r="B519" s="354" t="s">
        <v>68</v>
      </c>
      <c r="C519" s="354" t="s">
        <v>499</v>
      </c>
      <c r="D519" s="354" t="s">
        <v>165</v>
      </c>
      <c r="E519" s="404" t="s">
        <v>500</v>
      </c>
      <c r="F519" s="405" t="s">
        <v>273</v>
      </c>
      <c r="G519" s="406">
        <v>1.4</v>
      </c>
      <c r="H519" s="420" t="s">
        <v>186</v>
      </c>
      <c r="I519" s="420" t="s">
        <v>120</v>
      </c>
      <c r="J519" s="399" t="s">
        <v>218</v>
      </c>
      <c r="K519" s="414">
        <v>64</v>
      </c>
      <c r="L519" s="408">
        <f t="shared" si="42"/>
        <v>208</v>
      </c>
      <c r="M519" s="409">
        <v>208</v>
      </c>
      <c r="N519" s="306"/>
      <c r="O519" s="409"/>
      <c r="P519" s="410" t="e">
        <f>IF(M519="nio",0,IF(M519&gt;0,M519*K519/S519,0))*VLOOKUP(B519,'2-Kosten per locatie'!$A$14:$C$61,3,FALSE)</f>
        <v>#DIV/0!</v>
      </c>
      <c r="Q519" s="410">
        <f>IF(N519&gt;0,N519*K519/T519,0)*VLOOKUP(B519,'2-Kosten per locatie'!$A$14:$C$61,3,FALSE)</f>
        <v>0</v>
      </c>
      <c r="R519" s="410">
        <f>IF(O519&gt;0,O519*K519/U519,0)*VLOOKUP(B519,'2-Kosten per locatie'!$A$14:$C$61,3,FALSE)</f>
        <v>0</v>
      </c>
      <c r="S519" s="411">
        <f>IF(M519="nio",0,IF(M519&gt;0,VLOOKUP(I519,'3-Productie normen'!A:P,VLOOKUP(M519,'3-Productie normen'!$B$38:$C$48,2,FALSE),FALSE)))</f>
        <v>0</v>
      </c>
      <c r="T519" s="411">
        <f t="shared" si="38"/>
        <v>0</v>
      </c>
      <c r="U519" s="411">
        <f t="shared" si="41"/>
        <v>0</v>
      </c>
      <c r="V519" s="412"/>
      <c r="X519" s="413">
        <f t="shared" si="39"/>
        <v>13312</v>
      </c>
    </row>
    <row r="520" spans="1:24" ht="14.1" customHeight="1">
      <c r="A520" s="70">
        <f t="shared" si="40"/>
        <v>520</v>
      </c>
      <c r="B520" s="354" t="s">
        <v>68</v>
      </c>
      <c r="C520" s="354" t="s">
        <v>499</v>
      </c>
      <c r="D520" s="354" t="s">
        <v>165</v>
      </c>
      <c r="E520" s="404" t="s">
        <v>500</v>
      </c>
      <c r="F520" s="405" t="s">
        <v>273</v>
      </c>
      <c r="G520" s="406" t="s">
        <v>261</v>
      </c>
      <c r="H520" s="420" t="s">
        <v>464</v>
      </c>
      <c r="I520" s="420" t="s">
        <v>105</v>
      </c>
      <c r="J520" s="399" t="s">
        <v>218</v>
      </c>
      <c r="K520" s="414">
        <v>7</v>
      </c>
      <c r="L520" s="408">
        <f t="shared" si="42"/>
        <v>208</v>
      </c>
      <c r="M520" s="409">
        <v>208</v>
      </c>
      <c r="N520" s="306"/>
      <c r="O520" s="409"/>
      <c r="P520" s="410" t="e">
        <f>IF(M520="nio",0,IF(M520&gt;0,M520*K520/S520,0))*VLOOKUP(B520,'2-Kosten per locatie'!$A$14:$C$61,3,FALSE)</f>
        <v>#DIV/0!</v>
      </c>
      <c r="Q520" s="410">
        <f>IF(N520&gt;0,N520*K520/T520,0)*VLOOKUP(B520,'2-Kosten per locatie'!$A$14:$C$61,3,FALSE)</f>
        <v>0</v>
      </c>
      <c r="R520" s="410">
        <f>IF(O520&gt;0,O520*K520/U520,0)*VLOOKUP(B520,'2-Kosten per locatie'!$A$14:$C$61,3,FALSE)</f>
        <v>0</v>
      </c>
      <c r="S520" s="411">
        <f>IF(M520="nio",0,IF(M520&gt;0,VLOOKUP(I520,'3-Productie normen'!A:P,VLOOKUP(M520,'3-Productie normen'!$B$38:$C$48,2,FALSE),FALSE)))</f>
        <v>0</v>
      </c>
      <c r="T520" s="411">
        <f t="shared" si="38"/>
        <v>0</v>
      </c>
      <c r="U520" s="411">
        <f t="shared" si="41"/>
        <v>0</v>
      </c>
      <c r="V520" s="412"/>
      <c r="X520" s="413">
        <f t="shared" si="39"/>
        <v>1456</v>
      </c>
    </row>
    <row r="521" spans="1:24" ht="14.1" customHeight="1">
      <c r="A521" s="70">
        <f t="shared" si="40"/>
        <v>521</v>
      </c>
      <c r="B521" s="354" t="s">
        <v>68</v>
      </c>
      <c r="C521" s="354" t="s">
        <v>499</v>
      </c>
      <c r="D521" s="354" t="s">
        <v>165</v>
      </c>
      <c r="E521" s="404" t="s">
        <v>500</v>
      </c>
      <c r="F521" s="405" t="s">
        <v>273</v>
      </c>
      <c r="G521" s="406" t="s">
        <v>262</v>
      </c>
      <c r="H521" s="420" t="s">
        <v>183</v>
      </c>
      <c r="I521" s="420" t="s">
        <v>106</v>
      </c>
      <c r="J521" s="399" t="s">
        <v>184</v>
      </c>
      <c r="K521" s="414">
        <v>8</v>
      </c>
      <c r="L521" s="408">
        <f t="shared" si="42"/>
        <v>208</v>
      </c>
      <c r="M521" s="409">
        <v>208</v>
      </c>
      <c r="N521" s="306"/>
      <c r="O521" s="409"/>
      <c r="P521" s="410" t="e">
        <f>IF(M521="nio",0,IF(M521&gt;0,M521*K521/S521,0))*VLOOKUP(B521,'2-Kosten per locatie'!$A$14:$C$61,3,FALSE)</f>
        <v>#DIV/0!</v>
      </c>
      <c r="Q521" s="410">
        <f>IF(N521&gt;0,N521*K521/T521,0)*VLOOKUP(B521,'2-Kosten per locatie'!$A$14:$C$61,3,FALSE)</f>
        <v>0</v>
      </c>
      <c r="R521" s="410">
        <f>IF(O521&gt;0,O521*K521/U521,0)*VLOOKUP(B521,'2-Kosten per locatie'!$A$14:$C$61,3,FALSE)</f>
        <v>0</v>
      </c>
      <c r="S521" s="411">
        <f>IF(M521="nio",0,IF(M521&gt;0,VLOOKUP(I521,'3-Productie normen'!A:P,VLOOKUP(M521,'3-Productie normen'!$B$38:$C$48,2,FALSE),FALSE)))</f>
        <v>0</v>
      </c>
      <c r="T521" s="411">
        <f t="shared" si="38"/>
        <v>0</v>
      </c>
      <c r="U521" s="411">
        <f t="shared" si="41"/>
        <v>0</v>
      </c>
      <c r="V521" s="412"/>
      <c r="X521" s="413">
        <f t="shared" si="39"/>
        <v>1664</v>
      </c>
    </row>
    <row r="522" spans="1:24" ht="14.1" customHeight="1">
      <c r="A522" s="70">
        <f t="shared" si="40"/>
        <v>522</v>
      </c>
      <c r="B522" s="354" t="s">
        <v>68</v>
      </c>
      <c r="C522" s="354" t="s">
        <v>499</v>
      </c>
      <c r="D522" s="354" t="s">
        <v>165</v>
      </c>
      <c r="E522" s="404" t="s">
        <v>500</v>
      </c>
      <c r="F522" s="405" t="s">
        <v>273</v>
      </c>
      <c r="G522" s="406" t="s">
        <v>263</v>
      </c>
      <c r="H522" s="420" t="s">
        <v>467</v>
      </c>
      <c r="I522" s="383" t="s">
        <v>113</v>
      </c>
      <c r="J522" s="399" t="s">
        <v>218</v>
      </c>
      <c r="K522" s="414">
        <v>6</v>
      </c>
      <c r="L522" s="408">
        <f t="shared" si="42"/>
        <v>52</v>
      </c>
      <c r="M522" s="421">
        <v>52</v>
      </c>
      <c r="N522" s="306"/>
      <c r="O522" s="409"/>
      <c r="P522" s="410" t="e">
        <f>IF(M522="nio",0,IF(M522&gt;0,M522*K522/S522,0))*VLOOKUP(B522,'2-Kosten per locatie'!$A$14:$C$61,3,FALSE)</f>
        <v>#DIV/0!</v>
      </c>
      <c r="Q522" s="410">
        <f>IF(N522&gt;0,N522*K522/T522,0)*VLOOKUP(B522,'2-Kosten per locatie'!$A$14:$C$61,3,FALSE)</f>
        <v>0</v>
      </c>
      <c r="R522" s="410">
        <f>IF(O522&gt;0,O522*K522/U522,0)*VLOOKUP(B522,'2-Kosten per locatie'!$A$14:$C$61,3,FALSE)</f>
        <v>0</v>
      </c>
      <c r="S522" s="411">
        <f>IF(M522="nio",0,IF(M522&gt;0,VLOOKUP(I522,'3-Productie normen'!A:P,VLOOKUP(M522,'3-Productie normen'!$B$38:$C$48,2,FALSE),FALSE)))</f>
        <v>0</v>
      </c>
      <c r="T522" s="411">
        <f t="shared" ref="T522:T585" si="43">IF(N522&gt;0,S522*$T$8,0)</f>
        <v>0</v>
      </c>
      <c r="U522" s="411">
        <f t="shared" si="41"/>
        <v>0</v>
      </c>
      <c r="V522" s="412"/>
      <c r="X522" s="413">
        <f t="shared" ref="X522:X585" si="44">L522*K522</f>
        <v>312</v>
      </c>
    </row>
    <row r="523" spans="1:24" ht="14.1" customHeight="1">
      <c r="A523" s="70">
        <f t="shared" ref="A523:A586" si="45">A522+1</f>
        <v>523</v>
      </c>
      <c r="B523" s="354" t="s">
        <v>69</v>
      </c>
      <c r="C523" s="354" t="s">
        <v>503</v>
      </c>
      <c r="D523" s="354" t="s">
        <v>165</v>
      </c>
      <c r="E523" s="404" t="s">
        <v>504</v>
      </c>
      <c r="F523" s="405" t="s">
        <v>495</v>
      </c>
      <c r="G523" s="406" t="s">
        <v>191</v>
      </c>
      <c r="H523" s="420" t="s">
        <v>505</v>
      </c>
      <c r="I523" s="420" t="s">
        <v>108</v>
      </c>
      <c r="J523" s="399" t="s">
        <v>218</v>
      </c>
      <c r="K523" s="414">
        <v>94</v>
      </c>
      <c r="L523" s="408">
        <f t="shared" si="42"/>
        <v>255</v>
      </c>
      <c r="M523" s="409">
        <v>255</v>
      </c>
      <c r="N523" s="306"/>
      <c r="O523" s="409"/>
      <c r="P523" s="410" t="e">
        <f>IF(M523="nio",0,IF(M523&gt;0,M523*K523/S523,0))*VLOOKUP(B523,'2-Kosten per locatie'!$A$14:$C$61,3,FALSE)</f>
        <v>#DIV/0!</v>
      </c>
      <c r="Q523" s="410">
        <f>IF(N523&gt;0,N523*K523/T523,0)*VLOOKUP(B523,'2-Kosten per locatie'!$A$14:$C$61,3,FALSE)</f>
        <v>0</v>
      </c>
      <c r="R523" s="410">
        <f>IF(O523&gt;0,O523*K523/U523,0)*VLOOKUP(B523,'2-Kosten per locatie'!$A$14:$C$61,3,FALSE)</f>
        <v>0</v>
      </c>
      <c r="S523" s="411">
        <f>IF(M523="nio",0,IF(M523&gt;0,VLOOKUP(I523,'3-Productie normen'!A:P,VLOOKUP(M523,'3-Productie normen'!$B$38:$C$48,2,FALSE),FALSE)))</f>
        <v>0</v>
      </c>
      <c r="T523" s="411">
        <f t="shared" si="43"/>
        <v>0</v>
      </c>
      <c r="U523" s="411">
        <f t="shared" si="41"/>
        <v>0</v>
      </c>
      <c r="V523" s="412"/>
      <c r="X523" s="413">
        <f t="shared" si="44"/>
        <v>23970</v>
      </c>
    </row>
    <row r="524" spans="1:24" ht="14.1" customHeight="1">
      <c r="A524" s="70">
        <f t="shared" si="45"/>
        <v>524</v>
      </c>
      <c r="B524" s="354" t="s">
        <v>69</v>
      </c>
      <c r="C524" s="354" t="s">
        <v>503</v>
      </c>
      <c r="D524" s="354" t="s">
        <v>165</v>
      </c>
      <c r="E524" s="404" t="s">
        <v>504</v>
      </c>
      <c r="F524" s="405" t="s">
        <v>495</v>
      </c>
      <c r="G524" s="406" t="s">
        <v>194</v>
      </c>
      <c r="H524" s="420" t="s">
        <v>186</v>
      </c>
      <c r="I524" s="420" t="s">
        <v>120</v>
      </c>
      <c r="J524" s="399" t="s">
        <v>218</v>
      </c>
      <c r="K524" s="414">
        <v>20</v>
      </c>
      <c r="L524" s="408">
        <f t="shared" si="42"/>
        <v>255</v>
      </c>
      <c r="M524" s="409">
        <v>255</v>
      </c>
      <c r="N524" s="306"/>
      <c r="O524" s="409"/>
      <c r="P524" s="410" t="e">
        <f>IF(M524="nio",0,IF(M524&gt;0,M524*K524/S524,0))*VLOOKUP(B524,'2-Kosten per locatie'!$A$14:$C$61,3,FALSE)</f>
        <v>#DIV/0!</v>
      </c>
      <c r="Q524" s="410">
        <f>IF(N524&gt;0,N524*K524/T524,0)*VLOOKUP(B524,'2-Kosten per locatie'!$A$14:$C$61,3,FALSE)</f>
        <v>0</v>
      </c>
      <c r="R524" s="410">
        <f>IF(O524&gt;0,O524*K524/U524,0)*VLOOKUP(B524,'2-Kosten per locatie'!$A$14:$C$61,3,FALSE)</f>
        <v>0</v>
      </c>
      <c r="S524" s="411">
        <f>IF(M524="nio",0,IF(M524&gt;0,VLOOKUP(I524,'3-Productie normen'!A:P,VLOOKUP(M524,'3-Productie normen'!$B$38:$C$48,2,FALSE),FALSE)))</f>
        <v>0</v>
      </c>
      <c r="T524" s="411">
        <f t="shared" si="43"/>
        <v>0</v>
      </c>
      <c r="U524" s="411">
        <f t="shared" si="41"/>
        <v>0</v>
      </c>
      <c r="V524" s="412"/>
      <c r="X524" s="413">
        <f t="shared" si="44"/>
        <v>5100</v>
      </c>
    </row>
    <row r="525" spans="1:24" ht="14.1" customHeight="1">
      <c r="A525" s="70">
        <f t="shared" si="45"/>
        <v>525</v>
      </c>
      <c r="B525" s="354" t="s">
        <v>69</v>
      </c>
      <c r="C525" s="354" t="s">
        <v>503</v>
      </c>
      <c r="D525" s="354" t="s">
        <v>165</v>
      </c>
      <c r="E525" s="404" t="s">
        <v>504</v>
      </c>
      <c r="F525" s="405" t="s">
        <v>495</v>
      </c>
      <c r="G525" s="406" t="s">
        <v>196</v>
      </c>
      <c r="H525" s="420" t="s">
        <v>186</v>
      </c>
      <c r="I525" s="420" t="s">
        <v>120</v>
      </c>
      <c r="J525" s="399" t="s">
        <v>218</v>
      </c>
      <c r="K525" s="414">
        <v>21</v>
      </c>
      <c r="L525" s="408">
        <f t="shared" si="42"/>
        <v>255</v>
      </c>
      <c r="M525" s="409">
        <v>255</v>
      </c>
      <c r="N525" s="306"/>
      <c r="O525" s="409"/>
      <c r="P525" s="410" t="e">
        <f>IF(M525="nio",0,IF(M525&gt;0,M525*K525/S525,0))*VLOOKUP(B525,'2-Kosten per locatie'!$A$14:$C$61,3,FALSE)</f>
        <v>#DIV/0!</v>
      </c>
      <c r="Q525" s="410">
        <f>IF(N525&gt;0,N525*K525/T525,0)*VLOOKUP(B525,'2-Kosten per locatie'!$A$14:$C$61,3,FALSE)</f>
        <v>0</v>
      </c>
      <c r="R525" s="410">
        <f>IF(O525&gt;0,O525*K525/U525,0)*VLOOKUP(B525,'2-Kosten per locatie'!$A$14:$C$61,3,FALSE)</f>
        <v>0</v>
      </c>
      <c r="S525" s="411">
        <f>IF(M525="nio",0,IF(M525&gt;0,VLOOKUP(I525,'3-Productie normen'!A:P,VLOOKUP(M525,'3-Productie normen'!$B$38:$C$48,2,FALSE),FALSE)))</f>
        <v>0</v>
      </c>
      <c r="T525" s="411">
        <f t="shared" si="43"/>
        <v>0</v>
      </c>
      <c r="U525" s="411">
        <f t="shared" si="41"/>
        <v>0</v>
      </c>
      <c r="V525" s="412"/>
      <c r="X525" s="413">
        <f t="shared" si="44"/>
        <v>5355</v>
      </c>
    </row>
    <row r="526" spans="1:24" ht="14.1" customHeight="1">
      <c r="A526" s="70">
        <f t="shared" si="45"/>
        <v>526</v>
      </c>
      <c r="B526" s="354" t="s">
        <v>69</v>
      </c>
      <c r="C526" s="354" t="s">
        <v>503</v>
      </c>
      <c r="D526" s="354" t="s">
        <v>165</v>
      </c>
      <c r="E526" s="404" t="s">
        <v>504</v>
      </c>
      <c r="F526" s="405" t="s">
        <v>495</v>
      </c>
      <c r="G526" s="406" t="s">
        <v>198</v>
      </c>
      <c r="H526" s="420" t="s">
        <v>195</v>
      </c>
      <c r="I526" s="420" t="s">
        <v>121</v>
      </c>
      <c r="J526" s="399" t="s">
        <v>218</v>
      </c>
      <c r="K526" s="414">
        <v>9</v>
      </c>
      <c r="L526" s="408">
        <f t="shared" si="42"/>
        <v>255</v>
      </c>
      <c r="M526" s="409">
        <v>255</v>
      </c>
      <c r="N526" s="306"/>
      <c r="O526" s="409"/>
      <c r="P526" s="410" t="e">
        <f>IF(M526="nio",0,IF(M526&gt;0,M526*K526/S526,0))*VLOOKUP(B526,'2-Kosten per locatie'!$A$14:$C$61,3,FALSE)</f>
        <v>#DIV/0!</v>
      </c>
      <c r="Q526" s="410">
        <f>IF(N526&gt;0,N526*K526/T526,0)*VLOOKUP(B526,'2-Kosten per locatie'!$A$14:$C$61,3,FALSE)</f>
        <v>0</v>
      </c>
      <c r="R526" s="410">
        <f>IF(O526&gt;0,O526*K526/U526,0)*VLOOKUP(B526,'2-Kosten per locatie'!$A$14:$C$61,3,FALSE)</f>
        <v>0</v>
      </c>
      <c r="S526" s="411">
        <f>IF(M526="nio",0,IF(M526&gt;0,VLOOKUP(I526,'3-Productie normen'!A:P,VLOOKUP(M526,'3-Productie normen'!$B$38:$C$48,2,FALSE),FALSE)))</f>
        <v>0</v>
      </c>
      <c r="T526" s="411">
        <f t="shared" si="43"/>
        <v>0</v>
      </c>
      <c r="U526" s="411">
        <f t="shared" ref="U526:U589" si="46">IF(OR(O526&gt;0),S526*$U$8,0)</f>
        <v>0</v>
      </c>
      <c r="V526" s="412"/>
      <c r="X526" s="413">
        <f t="shared" si="44"/>
        <v>2295</v>
      </c>
    </row>
    <row r="527" spans="1:24" ht="14.1" customHeight="1">
      <c r="A527" s="70">
        <f t="shared" si="45"/>
        <v>527</v>
      </c>
      <c r="B527" s="354" t="s">
        <v>69</v>
      </c>
      <c r="C527" s="354" t="s">
        <v>503</v>
      </c>
      <c r="D527" s="354" t="s">
        <v>165</v>
      </c>
      <c r="E527" s="404" t="s">
        <v>504</v>
      </c>
      <c r="F527" s="405" t="s">
        <v>495</v>
      </c>
      <c r="G527" s="406" t="s">
        <v>199</v>
      </c>
      <c r="H527" s="420" t="s">
        <v>220</v>
      </c>
      <c r="I527" s="420" t="s">
        <v>108</v>
      </c>
      <c r="J527" s="399" t="s">
        <v>218</v>
      </c>
      <c r="K527" s="414">
        <v>12</v>
      </c>
      <c r="L527" s="408">
        <f t="shared" si="42"/>
        <v>255</v>
      </c>
      <c r="M527" s="409">
        <v>255</v>
      </c>
      <c r="N527" s="306"/>
      <c r="O527" s="409"/>
      <c r="P527" s="410" t="e">
        <f>IF(M527="nio",0,IF(M527&gt;0,M527*K527/S527,0))*VLOOKUP(B527,'2-Kosten per locatie'!$A$14:$C$61,3,FALSE)</f>
        <v>#DIV/0!</v>
      </c>
      <c r="Q527" s="410">
        <f>IF(N527&gt;0,N527*K527/T527,0)*VLOOKUP(B527,'2-Kosten per locatie'!$A$14:$C$61,3,FALSE)</f>
        <v>0</v>
      </c>
      <c r="R527" s="410">
        <f>IF(O527&gt;0,O527*K527/U527,0)*VLOOKUP(B527,'2-Kosten per locatie'!$A$14:$C$61,3,FALSE)</f>
        <v>0</v>
      </c>
      <c r="S527" s="411">
        <f>IF(M527="nio",0,IF(M527&gt;0,VLOOKUP(I527,'3-Productie normen'!A:P,VLOOKUP(M527,'3-Productie normen'!$B$38:$C$48,2,FALSE),FALSE)))</f>
        <v>0</v>
      </c>
      <c r="T527" s="411">
        <f t="shared" si="43"/>
        <v>0</v>
      </c>
      <c r="U527" s="411">
        <f t="shared" si="46"/>
        <v>0</v>
      </c>
      <c r="V527" s="412"/>
      <c r="X527" s="413">
        <f t="shared" si="44"/>
        <v>3060</v>
      </c>
    </row>
    <row r="528" spans="1:24" ht="14.1" customHeight="1">
      <c r="A528" s="70">
        <f t="shared" si="45"/>
        <v>528</v>
      </c>
      <c r="B528" s="354" t="s">
        <v>69</v>
      </c>
      <c r="C528" s="354" t="s">
        <v>503</v>
      </c>
      <c r="D528" s="354" t="s">
        <v>165</v>
      </c>
      <c r="E528" s="404" t="s">
        <v>504</v>
      </c>
      <c r="F528" s="405" t="s">
        <v>495</v>
      </c>
      <c r="G528" s="406" t="s">
        <v>202</v>
      </c>
      <c r="H528" s="420" t="s">
        <v>464</v>
      </c>
      <c r="I528" s="420" t="s">
        <v>105</v>
      </c>
      <c r="J528" s="399" t="s">
        <v>218</v>
      </c>
      <c r="K528" s="414">
        <v>117</v>
      </c>
      <c r="L528" s="408">
        <f t="shared" si="42"/>
        <v>255</v>
      </c>
      <c r="M528" s="409">
        <v>255</v>
      </c>
      <c r="N528" s="306"/>
      <c r="O528" s="409"/>
      <c r="P528" s="410" t="e">
        <f>IF(M528="nio",0,IF(M528&gt;0,M528*K528/S528,0))*VLOOKUP(B528,'2-Kosten per locatie'!$A$14:$C$61,3,FALSE)</f>
        <v>#DIV/0!</v>
      </c>
      <c r="Q528" s="410">
        <f>IF(N528&gt;0,N528*K528/T528,0)*VLOOKUP(B528,'2-Kosten per locatie'!$A$14:$C$61,3,FALSE)</f>
        <v>0</v>
      </c>
      <c r="R528" s="410">
        <f>IF(O528&gt;0,O528*K528/U528,0)*VLOOKUP(B528,'2-Kosten per locatie'!$A$14:$C$61,3,FALSE)</f>
        <v>0</v>
      </c>
      <c r="S528" s="411">
        <f>IF(M528="nio",0,IF(M528&gt;0,VLOOKUP(I528,'3-Productie normen'!A:P,VLOOKUP(M528,'3-Productie normen'!$B$38:$C$48,2,FALSE),FALSE)))</f>
        <v>0</v>
      </c>
      <c r="T528" s="411">
        <f t="shared" si="43"/>
        <v>0</v>
      </c>
      <c r="U528" s="411">
        <f t="shared" si="46"/>
        <v>0</v>
      </c>
      <c r="V528" s="412"/>
      <c r="X528" s="413">
        <f t="shared" si="44"/>
        <v>29835</v>
      </c>
    </row>
    <row r="529" spans="1:24" ht="14.1" customHeight="1">
      <c r="A529" s="70">
        <f t="shared" si="45"/>
        <v>529</v>
      </c>
      <c r="B529" s="354" t="s">
        <v>69</v>
      </c>
      <c r="C529" s="354" t="s">
        <v>503</v>
      </c>
      <c r="D529" s="354" t="s">
        <v>165</v>
      </c>
      <c r="E529" s="404" t="s">
        <v>504</v>
      </c>
      <c r="F529" s="405" t="s">
        <v>495</v>
      </c>
      <c r="G529" s="406" t="s">
        <v>203</v>
      </c>
      <c r="H529" s="420" t="s">
        <v>464</v>
      </c>
      <c r="I529" s="420" t="s">
        <v>105</v>
      </c>
      <c r="J529" s="399" t="s">
        <v>218</v>
      </c>
      <c r="K529" s="414">
        <v>18</v>
      </c>
      <c r="L529" s="408">
        <f t="shared" si="42"/>
        <v>255</v>
      </c>
      <c r="M529" s="409">
        <v>255</v>
      </c>
      <c r="N529" s="306"/>
      <c r="O529" s="409"/>
      <c r="P529" s="410" t="e">
        <f>IF(M529="nio",0,IF(M529&gt;0,M529*K529/S529,0))*VLOOKUP(B529,'2-Kosten per locatie'!$A$14:$C$61,3,FALSE)</f>
        <v>#DIV/0!</v>
      </c>
      <c r="Q529" s="410">
        <f>IF(N529&gt;0,N529*K529/T529,0)*VLOOKUP(B529,'2-Kosten per locatie'!$A$14:$C$61,3,FALSE)</f>
        <v>0</v>
      </c>
      <c r="R529" s="410">
        <f>IF(O529&gt;0,O529*K529/U529,0)*VLOOKUP(B529,'2-Kosten per locatie'!$A$14:$C$61,3,FALSE)</f>
        <v>0</v>
      </c>
      <c r="S529" s="411">
        <f>IF(M529="nio",0,IF(M529&gt;0,VLOOKUP(I529,'3-Productie normen'!A:P,VLOOKUP(M529,'3-Productie normen'!$B$38:$C$48,2,FALSE),FALSE)))</f>
        <v>0</v>
      </c>
      <c r="T529" s="411">
        <f t="shared" si="43"/>
        <v>0</v>
      </c>
      <c r="U529" s="411">
        <f t="shared" si="46"/>
        <v>0</v>
      </c>
      <c r="V529" s="412"/>
      <c r="X529" s="413">
        <f t="shared" si="44"/>
        <v>4590</v>
      </c>
    </row>
    <row r="530" spans="1:24" ht="14.1" customHeight="1">
      <c r="A530" s="70">
        <f t="shared" si="45"/>
        <v>530</v>
      </c>
      <c r="B530" s="354" t="s">
        <v>69</v>
      </c>
      <c r="C530" s="354" t="s">
        <v>503</v>
      </c>
      <c r="D530" s="354" t="s">
        <v>165</v>
      </c>
      <c r="E530" s="404" t="s">
        <v>504</v>
      </c>
      <c r="F530" s="405" t="s">
        <v>495</v>
      </c>
      <c r="G530" s="406" t="s">
        <v>204</v>
      </c>
      <c r="H530" s="420" t="s">
        <v>506</v>
      </c>
      <c r="I530" s="420" t="s">
        <v>105</v>
      </c>
      <c r="J530" s="399" t="s">
        <v>218</v>
      </c>
      <c r="K530" s="414">
        <v>21</v>
      </c>
      <c r="L530" s="408">
        <f t="shared" si="42"/>
        <v>255</v>
      </c>
      <c r="M530" s="409">
        <v>255</v>
      </c>
      <c r="N530" s="306"/>
      <c r="O530" s="409"/>
      <c r="P530" s="410" t="e">
        <f>IF(M530="nio",0,IF(M530&gt;0,M530*K530/S530,0))*VLOOKUP(B530,'2-Kosten per locatie'!$A$14:$C$61,3,FALSE)</f>
        <v>#DIV/0!</v>
      </c>
      <c r="Q530" s="410">
        <f>IF(N530&gt;0,N530*K530/T530,0)*VLOOKUP(B530,'2-Kosten per locatie'!$A$14:$C$61,3,FALSE)</f>
        <v>0</v>
      </c>
      <c r="R530" s="410">
        <f>IF(O530&gt;0,O530*K530/U530,0)*VLOOKUP(B530,'2-Kosten per locatie'!$A$14:$C$61,3,FALSE)</f>
        <v>0</v>
      </c>
      <c r="S530" s="411">
        <f>IF(M530="nio",0,IF(M530&gt;0,VLOOKUP(I530,'3-Productie normen'!A:P,VLOOKUP(M530,'3-Productie normen'!$B$38:$C$48,2,FALSE),FALSE)))</f>
        <v>0</v>
      </c>
      <c r="T530" s="411">
        <f t="shared" si="43"/>
        <v>0</v>
      </c>
      <c r="U530" s="411">
        <f t="shared" si="46"/>
        <v>0</v>
      </c>
      <c r="V530" s="412"/>
      <c r="X530" s="413">
        <f t="shared" si="44"/>
        <v>5355</v>
      </c>
    </row>
    <row r="531" spans="1:24" ht="14.1" customHeight="1">
      <c r="A531" s="70">
        <f t="shared" si="45"/>
        <v>531</v>
      </c>
      <c r="B531" s="354" t="s">
        <v>69</v>
      </c>
      <c r="C531" s="354" t="s">
        <v>503</v>
      </c>
      <c r="D531" s="354" t="s">
        <v>165</v>
      </c>
      <c r="E531" s="404" t="s">
        <v>504</v>
      </c>
      <c r="F531" s="405" t="s">
        <v>495</v>
      </c>
      <c r="G531" s="406" t="s">
        <v>205</v>
      </c>
      <c r="H531" s="420" t="s">
        <v>506</v>
      </c>
      <c r="I531" s="420" t="s">
        <v>105</v>
      </c>
      <c r="J531" s="399" t="s">
        <v>218</v>
      </c>
      <c r="K531" s="414">
        <v>21</v>
      </c>
      <c r="L531" s="408">
        <f t="shared" si="42"/>
        <v>255</v>
      </c>
      <c r="M531" s="409">
        <v>255</v>
      </c>
      <c r="N531" s="306"/>
      <c r="O531" s="409"/>
      <c r="P531" s="410" t="e">
        <f>IF(M531="nio",0,IF(M531&gt;0,M531*K531/S531,0))*VLOOKUP(B531,'2-Kosten per locatie'!$A$14:$C$61,3,FALSE)</f>
        <v>#DIV/0!</v>
      </c>
      <c r="Q531" s="410">
        <f>IF(N531&gt;0,N531*K531/T531,0)*VLOOKUP(B531,'2-Kosten per locatie'!$A$14:$C$61,3,FALSE)</f>
        <v>0</v>
      </c>
      <c r="R531" s="410">
        <f>IF(O531&gt;0,O531*K531/U531,0)*VLOOKUP(B531,'2-Kosten per locatie'!$A$14:$C$61,3,FALSE)</f>
        <v>0</v>
      </c>
      <c r="S531" s="411">
        <f>IF(M531="nio",0,IF(M531&gt;0,VLOOKUP(I531,'3-Productie normen'!A:P,VLOOKUP(M531,'3-Productie normen'!$B$38:$C$48,2,FALSE),FALSE)))</f>
        <v>0</v>
      </c>
      <c r="T531" s="411">
        <f t="shared" si="43"/>
        <v>0</v>
      </c>
      <c r="U531" s="411">
        <f t="shared" si="46"/>
        <v>0</v>
      </c>
      <c r="V531" s="412"/>
      <c r="X531" s="413">
        <f t="shared" si="44"/>
        <v>5355</v>
      </c>
    </row>
    <row r="532" spans="1:24" ht="14.1" customHeight="1">
      <c r="A532" s="70">
        <f t="shared" si="45"/>
        <v>532</v>
      </c>
      <c r="B532" s="354" t="s">
        <v>69</v>
      </c>
      <c r="C532" s="354" t="s">
        <v>503</v>
      </c>
      <c r="D532" s="354" t="s">
        <v>165</v>
      </c>
      <c r="E532" s="404" t="s">
        <v>504</v>
      </c>
      <c r="F532" s="405" t="s">
        <v>495</v>
      </c>
      <c r="G532" s="406" t="s">
        <v>497</v>
      </c>
      <c r="H532" s="420" t="s">
        <v>187</v>
      </c>
      <c r="I532" s="420" t="s">
        <v>107</v>
      </c>
      <c r="J532" s="399" t="s">
        <v>169</v>
      </c>
      <c r="K532" s="414">
        <v>9</v>
      </c>
      <c r="L532" s="408">
        <f t="shared" si="42"/>
        <v>255</v>
      </c>
      <c r="M532" s="409">
        <v>255</v>
      </c>
      <c r="N532" s="306"/>
      <c r="O532" s="409"/>
      <c r="P532" s="410" t="e">
        <f>IF(M532="nio",0,IF(M532&gt;0,M532*K532/S532,0))*VLOOKUP(B532,'2-Kosten per locatie'!$A$14:$C$61,3,FALSE)</f>
        <v>#DIV/0!</v>
      </c>
      <c r="Q532" s="410">
        <f>IF(N532&gt;0,N532*K532/T532,0)*VLOOKUP(B532,'2-Kosten per locatie'!$A$14:$C$61,3,FALSE)</f>
        <v>0</v>
      </c>
      <c r="R532" s="410">
        <f>IF(O532&gt;0,O532*K532/U532,0)*VLOOKUP(B532,'2-Kosten per locatie'!$A$14:$C$61,3,FALSE)</f>
        <v>0</v>
      </c>
      <c r="S532" s="411">
        <f>IF(M532="nio",0,IF(M532&gt;0,VLOOKUP(I532,'3-Productie normen'!A:P,VLOOKUP(M532,'3-Productie normen'!$B$38:$C$48,2,FALSE),FALSE)))</f>
        <v>0</v>
      </c>
      <c r="T532" s="411">
        <f t="shared" si="43"/>
        <v>0</v>
      </c>
      <c r="U532" s="411">
        <f t="shared" si="46"/>
        <v>0</v>
      </c>
      <c r="V532" s="412"/>
      <c r="X532" s="413">
        <f t="shared" si="44"/>
        <v>2295</v>
      </c>
    </row>
    <row r="533" spans="1:24" ht="14.1" customHeight="1">
      <c r="A533" s="70">
        <f t="shared" si="45"/>
        <v>533</v>
      </c>
      <c r="B533" s="354" t="s">
        <v>69</v>
      </c>
      <c r="C533" s="354" t="s">
        <v>503</v>
      </c>
      <c r="D533" s="354" t="s">
        <v>165</v>
      </c>
      <c r="E533" s="404" t="s">
        <v>504</v>
      </c>
      <c r="F533" s="405" t="s">
        <v>495</v>
      </c>
      <c r="G533" s="406" t="s">
        <v>212</v>
      </c>
      <c r="H533" s="420" t="s">
        <v>507</v>
      </c>
      <c r="I533" s="420" t="s">
        <v>106</v>
      </c>
      <c r="J533" s="399" t="s">
        <v>184</v>
      </c>
      <c r="K533" s="414">
        <v>7</v>
      </c>
      <c r="L533" s="408">
        <f t="shared" si="42"/>
        <v>255</v>
      </c>
      <c r="M533" s="409">
        <v>255</v>
      </c>
      <c r="N533" s="306"/>
      <c r="O533" s="409"/>
      <c r="P533" s="410" t="e">
        <f>IF(M533="nio",0,IF(M533&gt;0,M533*K533/S533,0))*VLOOKUP(B533,'2-Kosten per locatie'!$A$14:$C$61,3,FALSE)</f>
        <v>#DIV/0!</v>
      </c>
      <c r="Q533" s="410">
        <f>IF(N533&gt;0,N533*K533/T533,0)*VLOOKUP(B533,'2-Kosten per locatie'!$A$14:$C$61,3,FALSE)</f>
        <v>0</v>
      </c>
      <c r="R533" s="410">
        <f>IF(O533&gt;0,O533*K533/U533,0)*VLOOKUP(B533,'2-Kosten per locatie'!$A$14:$C$61,3,FALSE)</f>
        <v>0</v>
      </c>
      <c r="S533" s="411">
        <f>IF(M533="nio",0,IF(M533&gt;0,VLOOKUP(I533,'3-Productie normen'!A:P,VLOOKUP(M533,'3-Productie normen'!$B$38:$C$48,2,FALSE),FALSE)))</f>
        <v>0</v>
      </c>
      <c r="T533" s="411">
        <f t="shared" si="43"/>
        <v>0</v>
      </c>
      <c r="U533" s="411">
        <f t="shared" si="46"/>
        <v>0</v>
      </c>
      <c r="V533" s="412"/>
      <c r="X533" s="413">
        <f t="shared" si="44"/>
        <v>1785</v>
      </c>
    </row>
    <row r="534" spans="1:24" ht="14.1" customHeight="1">
      <c r="A534" s="70">
        <f t="shared" si="45"/>
        <v>534</v>
      </c>
      <c r="B534" s="354" t="s">
        <v>69</v>
      </c>
      <c r="C534" s="354" t="s">
        <v>503</v>
      </c>
      <c r="D534" s="354" t="s">
        <v>165</v>
      </c>
      <c r="E534" s="404" t="s">
        <v>504</v>
      </c>
      <c r="F534" s="405" t="s">
        <v>495</v>
      </c>
      <c r="G534" s="406" t="s">
        <v>245</v>
      </c>
      <c r="H534" s="420" t="s">
        <v>183</v>
      </c>
      <c r="I534" s="420" t="s">
        <v>106</v>
      </c>
      <c r="J534" s="399" t="s">
        <v>184</v>
      </c>
      <c r="K534" s="414">
        <v>3</v>
      </c>
      <c r="L534" s="408">
        <f t="shared" si="42"/>
        <v>255</v>
      </c>
      <c r="M534" s="409">
        <v>255</v>
      </c>
      <c r="N534" s="306"/>
      <c r="O534" s="409"/>
      <c r="P534" s="410" t="e">
        <f>IF(M534="nio",0,IF(M534&gt;0,M534*K534/S534,0))*VLOOKUP(B534,'2-Kosten per locatie'!$A$14:$C$61,3,FALSE)</f>
        <v>#DIV/0!</v>
      </c>
      <c r="Q534" s="410">
        <f>IF(N534&gt;0,N534*K534/T534,0)*VLOOKUP(B534,'2-Kosten per locatie'!$A$14:$C$61,3,FALSE)</f>
        <v>0</v>
      </c>
      <c r="R534" s="410">
        <f>IF(O534&gt;0,O534*K534/U534,0)*VLOOKUP(B534,'2-Kosten per locatie'!$A$14:$C$61,3,FALSE)</f>
        <v>0</v>
      </c>
      <c r="S534" s="411">
        <f>IF(M534="nio",0,IF(M534&gt;0,VLOOKUP(I534,'3-Productie normen'!A:P,VLOOKUP(M534,'3-Productie normen'!$B$38:$C$48,2,FALSE),FALSE)))</f>
        <v>0</v>
      </c>
      <c r="T534" s="411">
        <f t="shared" si="43"/>
        <v>0</v>
      </c>
      <c r="U534" s="411">
        <f t="shared" si="46"/>
        <v>0</v>
      </c>
      <c r="V534" s="412"/>
      <c r="X534" s="413">
        <f t="shared" si="44"/>
        <v>765</v>
      </c>
    </row>
    <row r="535" spans="1:24" ht="14.1" customHeight="1">
      <c r="A535" s="70">
        <f t="shared" si="45"/>
        <v>535</v>
      </c>
      <c r="B535" s="354" t="s">
        <v>69</v>
      </c>
      <c r="C535" s="354" t="s">
        <v>503</v>
      </c>
      <c r="D535" s="354" t="s">
        <v>165</v>
      </c>
      <c r="E535" s="404" t="s">
        <v>504</v>
      </c>
      <c r="F535" s="405" t="s">
        <v>495</v>
      </c>
      <c r="G535" s="406" t="s">
        <v>246</v>
      </c>
      <c r="H535" s="420" t="s">
        <v>183</v>
      </c>
      <c r="I535" s="420" t="s">
        <v>106</v>
      </c>
      <c r="J535" s="399" t="s">
        <v>184</v>
      </c>
      <c r="K535" s="414">
        <v>5</v>
      </c>
      <c r="L535" s="408">
        <f t="shared" si="42"/>
        <v>255</v>
      </c>
      <c r="M535" s="409">
        <v>255</v>
      </c>
      <c r="N535" s="306"/>
      <c r="O535" s="409"/>
      <c r="P535" s="410" t="e">
        <f>IF(M535="nio",0,IF(M535&gt;0,M535*K535/S535,0))*VLOOKUP(B535,'2-Kosten per locatie'!$A$14:$C$61,3,FALSE)</f>
        <v>#DIV/0!</v>
      </c>
      <c r="Q535" s="410">
        <f>IF(N535&gt;0,N535*K535/T535,0)*VLOOKUP(B535,'2-Kosten per locatie'!$A$14:$C$61,3,FALSE)</f>
        <v>0</v>
      </c>
      <c r="R535" s="410">
        <f>IF(O535&gt;0,O535*K535/U535,0)*VLOOKUP(B535,'2-Kosten per locatie'!$A$14:$C$61,3,FALSE)</f>
        <v>0</v>
      </c>
      <c r="S535" s="411">
        <f>IF(M535="nio",0,IF(M535&gt;0,VLOOKUP(I535,'3-Productie normen'!A:P,VLOOKUP(M535,'3-Productie normen'!$B$38:$C$48,2,FALSE),FALSE)))</f>
        <v>0</v>
      </c>
      <c r="T535" s="411">
        <f t="shared" si="43"/>
        <v>0</v>
      </c>
      <c r="U535" s="411">
        <f t="shared" si="46"/>
        <v>0</v>
      </c>
      <c r="V535" s="412"/>
      <c r="X535" s="413">
        <f t="shared" si="44"/>
        <v>1275</v>
      </c>
    </row>
    <row r="536" spans="1:24" ht="14.1" customHeight="1">
      <c r="A536" s="70">
        <f t="shared" si="45"/>
        <v>536</v>
      </c>
      <c r="B536" s="354" t="s">
        <v>69</v>
      </c>
      <c r="C536" s="354" t="s">
        <v>503</v>
      </c>
      <c r="D536" s="354" t="s">
        <v>165</v>
      </c>
      <c r="E536" s="404" t="s">
        <v>504</v>
      </c>
      <c r="F536" s="405" t="s">
        <v>495</v>
      </c>
      <c r="G536" s="406" t="s">
        <v>180</v>
      </c>
      <c r="H536" s="420" t="s">
        <v>508</v>
      </c>
      <c r="I536" s="383" t="s">
        <v>113</v>
      </c>
      <c r="J536" s="399" t="s">
        <v>218</v>
      </c>
      <c r="K536" s="414">
        <v>20</v>
      </c>
      <c r="L536" s="408">
        <f t="shared" si="42"/>
        <v>52</v>
      </c>
      <c r="M536" s="421">
        <v>52</v>
      </c>
      <c r="N536" s="306"/>
      <c r="O536" s="409"/>
      <c r="P536" s="410" t="e">
        <f>IF(M536="nio",0,IF(M536&gt;0,M536*K536/S536,0))*VLOOKUP(B536,'2-Kosten per locatie'!$A$14:$C$61,3,FALSE)</f>
        <v>#DIV/0!</v>
      </c>
      <c r="Q536" s="410">
        <f>IF(N536&gt;0,N536*K536/T536,0)*VLOOKUP(B536,'2-Kosten per locatie'!$A$14:$C$61,3,FALSE)</f>
        <v>0</v>
      </c>
      <c r="R536" s="410">
        <f>IF(O536&gt;0,O536*K536/U536,0)*VLOOKUP(B536,'2-Kosten per locatie'!$A$14:$C$61,3,FALSE)</f>
        <v>0</v>
      </c>
      <c r="S536" s="411">
        <f>IF(M536="nio",0,IF(M536&gt;0,VLOOKUP(I536,'3-Productie normen'!A:P,VLOOKUP(M536,'3-Productie normen'!$B$38:$C$48,2,FALSE),FALSE)))</f>
        <v>0</v>
      </c>
      <c r="T536" s="411">
        <f t="shared" si="43"/>
        <v>0</v>
      </c>
      <c r="U536" s="411">
        <f t="shared" si="46"/>
        <v>0</v>
      </c>
      <c r="V536" s="412"/>
      <c r="X536" s="413">
        <f t="shared" si="44"/>
        <v>1040</v>
      </c>
    </row>
    <row r="537" spans="1:24" ht="14.1" customHeight="1">
      <c r="A537" s="70">
        <f t="shared" si="45"/>
        <v>537</v>
      </c>
      <c r="B537" s="354" t="s">
        <v>69</v>
      </c>
      <c r="C537" s="354" t="s">
        <v>503</v>
      </c>
      <c r="D537" s="354" t="s">
        <v>165</v>
      </c>
      <c r="E537" s="404" t="s">
        <v>504</v>
      </c>
      <c r="F537" s="405" t="s">
        <v>495</v>
      </c>
      <c r="G537" s="406" t="s">
        <v>182</v>
      </c>
      <c r="H537" s="420" t="s">
        <v>467</v>
      </c>
      <c r="I537" s="383" t="s">
        <v>113</v>
      </c>
      <c r="J537" s="399" t="s">
        <v>218</v>
      </c>
      <c r="K537" s="414">
        <v>12</v>
      </c>
      <c r="L537" s="408">
        <f t="shared" si="42"/>
        <v>52</v>
      </c>
      <c r="M537" s="421">
        <v>52</v>
      </c>
      <c r="N537" s="306"/>
      <c r="O537" s="409"/>
      <c r="P537" s="410" t="e">
        <f>IF(M537="nio",0,IF(M537&gt;0,M537*K537/S537,0))*VLOOKUP(B537,'2-Kosten per locatie'!$A$14:$C$61,3,FALSE)</f>
        <v>#DIV/0!</v>
      </c>
      <c r="Q537" s="410">
        <f>IF(N537&gt;0,N537*K537/T537,0)*VLOOKUP(B537,'2-Kosten per locatie'!$A$14:$C$61,3,FALSE)</f>
        <v>0</v>
      </c>
      <c r="R537" s="410">
        <f>IF(O537&gt;0,O537*K537/U537,0)*VLOOKUP(B537,'2-Kosten per locatie'!$A$14:$C$61,3,FALSE)</f>
        <v>0</v>
      </c>
      <c r="S537" s="411">
        <f>IF(M537="nio",0,IF(M537&gt;0,VLOOKUP(I537,'3-Productie normen'!A:P,VLOOKUP(M537,'3-Productie normen'!$B$38:$C$48,2,FALSE),FALSE)))</f>
        <v>0</v>
      </c>
      <c r="T537" s="411">
        <f t="shared" si="43"/>
        <v>0</v>
      </c>
      <c r="U537" s="411">
        <f t="shared" si="46"/>
        <v>0</v>
      </c>
      <c r="V537" s="412"/>
      <c r="X537" s="413">
        <f t="shared" si="44"/>
        <v>624</v>
      </c>
    </row>
    <row r="538" spans="1:24" ht="14.1" customHeight="1">
      <c r="A538" s="70">
        <f t="shared" si="45"/>
        <v>538</v>
      </c>
      <c r="B538" s="354" t="s">
        <v>69</v>
      </c>
      <c r="C538" s="354" t="s">
        <v>503</v>
      </c>
      <c r="D538" s="354" t="s">
        <v>165</v>
      </c>
      <c r="E538" s="404" t="s">
        <v>504</v>
      </c>
      <c r="F538" s="405" t="s">
        <v>495</v>
      </c>
      <c r="G538" s="406" t="s">
        <v>207</v>
      </c>
      <c r="H538" s="420" t="s">
        <v>467</v>
      </c>
      <c r="I538" s="383" t="s">
        <v>113</v>
      </c>
      <c r="J538" s="399" t="s">
        <v>218</v>
      </c>
      <c r="K538" s="414">
        <v>6</v>
      </c>
      <c r="L538" s="408">
        <f t="shared" si="42"/>
        <v>52</v>
      </c>
      <c r="M538" s="421">
        <v>52</v>
      </c>
      <c r="N538" s="306"/>
      <c r="O538" s="409"/>
      <c r="P538" s="410" t="e">
        <f>IF(M538="nio",0,IF(M538&gt;0,M538*K538/S538,0))*VLOOKUP(B538,'2-Kosten per locatie'!$A$14:$C$61,3,FALSE)</f>
        <v>#DIV/0!</v>
      </c>
      <c r="Q538" s="410">
        <f>IF(N538&gt;0,N538*K538/T538,0)*VLOOKUP(B538,'2-Kosten per locatie'!$A$14:$C$61,3,FALSE)</f>
        <v>0</v>
      </c>
      <c r="R538" s="410">
        <f>IF(O538&gt;0,O538*K538/U538,0)*VLOOKUP(B538,'2-Kosten per locatie'!$A$14:$C$61,3,FALSE)</f>
        <v>0</v>
      </c>
      <c r="S538" s="411">
        <f>IF(M538="nio",0,IF(M538&gt;0,VLOOKUP(I538,'3-Productie normen'!A:P,VLOOKUP(M538,'3-Productie normen'!$B$38:$C$48,2,FALSE),FALSE)))</f>
        <v>0</v>
      </c>
      <c r="T538" s="411">
        <f t="shared" si="43"/>
        <v>0</v>
      </c>
      <c r="U538" s="411">
        <f t="shared" si="46"/>
        <v>0</v>
      </c>
      <c r="V538" s="412"/>
      <c r="X538" s="413">
        <f t="shared" si="44"/>
        <v>312</v>
      </c>
    </row>
    <row r="539" spans="1:24" ht="14.1" customHeight="1">
      <c r="A539" s="70">
        <f t="shared" si="45"/>
        <v>539</v>
      </c>
      <c r="B539" s="354" t="s">
        <v>69</v>
      </c>
      <c r="C539" s="354" t="s">
        <v>503</v>
      </c>
      <c r="D539" s="354" t="s">
        <v>165</v>
      </c>
      <c r="E539" s="404" t="s">
        <v>504</v>
      </c>
      <c r="F539" s="405" t="s">
        <v>495</v>
      </c>
      <c r="G539" s="406" t="s">
        <v>209</v>
      </c>
      <c r="H539" s="420" t="s">
        <v>467</v>
      </c>
      <c r="I539" s="383" t="s">
        <v>113</v>
      </c>
      <c r="J539" s="399" t="s">
        <v>218</v>
      </c>
      <c r="K539" s="414">
        <v>4</v>
      </c>
      <c r="L539" s="408">
        <f t="shared" si="42"/>
        <v>52</v>
      </c>
      <c r="M539" s="421">
        <v>52</v>
      </c>
      <c r="N539" s="306"/>
      <c r="O539" s="409"/>
      <c r="P539" s="410" t="e">
        <f>IF(M539="nio",0,IF(M539&gt;0,M539*K539/S539,0))*VLOOKUP(B539,'2-Kosten per locatie'!$A$14:$C$61,3,FALSE)</f>
        <v>#DIV/0!</v>
      </c>
      <c r="Q539" s="410">
        <f>IF(N539&gt;0,N539*K539/T539,0)*VLOOKUP(B539,'2-Kosten per locatie'!$A$14:$C$61,3,FALSE)</f>
        <v>0</v>
      </c>
      <c r="R539" s="410">
        <f>IF(O539&gt;0,O539*K539/U539,0)*VLOOKUP(B539,'2-Kosten per locatie'!$A$14:$C$61,3,FALSE)</f>
        <v>0</v>
      </c>
      <c r="S539" s="411">
        <f>IF(M539="nio",0,IF(M539&gt;0,VLOOKUP(I539,'3-Productie normen'!A:P,VLOOKUP(M539,'3-Productie normen'!$B$38:$C$48,2,FALSE),FALSE)))</f>
        <v>0</v>
      </c>
      <c r="T539" s="411">
        <f t="shared" si="43"/>
        <v>0</v>
      </c>
      <c r="U539" s="411">
        <f t="shared" si="46"/>
        <v>0</v>
      </c>
      <c r="V539" s="412"/>
      <c r="X539" s="413">
        <f t="shared" si="44"/>
        <v>208</v>
      </c>
    </row>
    <row r="540" spans="1:24" ht="14.1" customHeight="1">
      <c r="A540" s="70">
        <f t="shared" si="45"/>
        <v>540</v>
      </c>
      <c r="B540" s="354" t="s">
        <v>69</v>
      </c>
      <c r="C540" s="354" t="s">
        <v>503</v>
      </c>
      <c r="D540" s="354" t="s">
        <v>165</v>
      </c>
      <c r="E540" s="404" t="s">
        <v>504</v>
      </c>
      <c r="F540" s="405" t="s">
        <v>495</v>
      </c>
      <c r="G540" s="406" t="s">
        <v>210</v>
      </c>
      <c r="H540" s="420" t="s">
        <v>467</v>
      </c>
      <c r="I540" s="383" t="s">
        <v>113</v>
      </c>
      <c r="J540" s="399" t="s">
        <v>218</v>
      </c>
      <c r="K540" s="414">
        <v>4</v>
      </c>
      <c r="L540" s="408">
        <f t="shared" si="42"/>
        <v>52</v>
      </c>
      <c r="M540" s="421">
        <v>52</v>
      </c>
      <c r="N540" s="306"/>
      <c r="O540" s="409"/>
      <c r="P540" s="410" t="e">
        <f>IF(M540="nio",0,IF(M540&gt;0,M540*K540/S540,0))*VLOOKUP(B540,'2-Kosten per locatie'!$A$14:$C$61,3,FALSE)</f>
        <v>#DIV/0!</v>
      </c>
      <c r="Q540" s="410">
        <f>IF(N540&gt;0,N540*K540/T540,0)*VLOOKUP(B540,'2-Kosten per locatie'!$A$14:$C$61,3,FALSE)</f>
        <v>0</v>
      </c>
      <c r="R540" s="410">
        <f>IF(O540&gt;0,O540*K540/U540,0)*VLOOKUP(B540,'2-Kosten per locatie'!$A$14:$C$61,3,FALSE)</f>
        <v>0</v>
      </c>
      <c r="S540" s="411">
        <f>IF(M540="nio",0,IF(M540&gt;0,VLOOKUP(I540,'3-Productie normen'!A:P,VLOOKUP(M540,'3-Productie normen'!$B$38:$C$48,2,FALSE),FALSE)))</f>
        <v>0</v>
      </c>
      <c r="T540" s="411">
        <f t="shared" si="43"/>
        <v>0</v>
      </c>
      <c r="U540" s="411">
        <f t="shared" si="46"/>
        <v>0</v>
      </c>
      <c r="V540" s="412"/>
      <c r="X540" s="413">
        <f t="shared" si="44"/>
        <v>208</v>
      </c>
    </row>
    <row r="541" spans="1:24" ht="14.1" customHeight="1">
      <c r="A541" s="70">
        <f t="shared" si="45"/>
        <v>541</v>
      </c>
      <c r="B541" s="354" t="s">
        <v>70</v>
      </c>
      <c r="C541" s="354" t="s">
        <v>509</v>
      </c>
      <c r="D541" s="354" t="s">
        <v>165</v>
      </c>
      <c r="E541" s="404" t="s">
        <v>510</v>
      </c>
      <c r="F541" s="405" t="s">
        <v>495</v>
      </c>
      <c r="G541" s="406" t="s">
        <v>191</v>
      </c>
      <c r="H541" s="420" t="s">
        <v>290</v>
      </c>
      <c r="I541" s="420" t="s">
        <v>108</v>
      </c>
      <c r="J541" s="399" t="s">
        <v>218</v>
      </c>
      <c r="K541" s="414">
        <v>91</v>
      </c>
      <c r="L541" s="408">
        <f t="shared" si="42"/>
        <v>255</v>
      </c>
      <c r="M541" s="409">
        <v>255</v>
      </c>
      <c r="N541" s="306"/>
      <c r="O541" s="409"/>
      <c r="P541" s="410" t="e">
        <f>IF(M541="nio",0,IF(M541&gt;0,M541*K541/S541,0))*VLOOKUP(B541,'2-Kosten per locatie'!$A$14:$C$61,3,FALSE)</f>
        <v>#DIV/0!</v>
      </c>
      <c r="Q541" s="410">
        <f>IF(N541&gt;0,N541*K541/T541,0)*VLOOKUP(B541,'2-Kosten per locatie'!$A$14:$C$61,3,FALSE)</f>
        <v>0</v>
      </c>
      <c r="R541" s="410">
        <f>IF(O541&gt;0,O541*K541/U541,0)*VLOOKUP(B541,'2-Kosten per locatie'!$A$14:$C$61,3,FALSE)</f>
        <v>0</v>
      </c>
      <c r="S541" s="411">
        <f>IF(M541="nio",0,IF(M541&gt;0,VLOOKUP(I541,'3-Productie normen'!A:P,VLOOKUP(M541,'3-Productie normen'!$B$38:$C$48,2,FALSE),FALSE)))</f>
        <v>0</v>
      </c>
      <c r="T541" s="411">
        <f t="shared" si="43"/>
        <v>0</v>
      </c>
      <c r="U541" s="411">
        <f t="shared" si="46"/>
        <v>0</v>
      </c>
      <c r="V541" s="412"/>
      <c r="X541" s="413">
        <f t="shared" si="44"/>
        <v>23205</v>
      </c>
    </row>
    <row r="542" spans="1:24" ht="14.1" customHeight="1">
      <c r="A542" s="70">
        <f t="shared" si="45"/>
        <v>542</v>
      </c>
      <c r="B542" s="354" t="s">
        <v>70</v>
      </c>
      <c r="C542" s="354" t="s">
        <v>509</v>
      </c>
      <c r="D542" s="354" t="s">
        <v>165</v>
      </c>
      <c r="E542" s="404" t="s">
        <v>510</v>
      </c>
      <c r="F542" s="405" t="s">
        <v>495</v>
      </c>
      <c r="G542" s="406" t="s">
        <v>194</v>
      </c>
      <c r="H542" s="420" t="s">
        <v>186</v>
      </c>
      <c r="I542" s="420" t="s">
        <v>120</v>
      </c>
      <c r="J542" s="399" t="s">
        <v>218</v>
      </c>
      <c r="K542" s="414">
        <v>33</v>
      </c>
      <c r="L542" s="408">
        <f t="shared" si="42"/>
        <v>255</v>
      </c>
      <c r="M542" s="409">
        <v>255</v>
      </c>
      <c r="N542" s="306"/>
      <c r="O542" s="409"/>
      <c r="P542" s="410" t="e">
        <f>IF(M542="nio",0,IF(M542&gt;0,M542*K542/S542,0))*VLOOKUP(B542,'2-Kosten per locatie'!$A$14:$C$61,3,FALSE)</f>
        <v>#DIV/0!</v>
      </c>
      <c r="Q542" s="410">
        <f>IF(N542&gt;0,N542*K542/T542,0)*VLOOKUP(B542,'2-Kosten per locatie'!$A$14:$C$61,3,FALSE)</f>
        <v>0</v>
      </c>
      <c r="R542" s="410">
        <f>IF(O542&gt;0,O542*K542/U542,0)*VLOOKUP(B542,'2-Kosten per locatie'!$A$14:$C$61,3,FALSE)</f>
        <v>0</v>
      </c>
      <c r="S542" s="411">
        <f>IF(M542="nio",0,IF(M542&gt;0,VLOOKUP(I542,'3-Productie normen'!A:P,VLOOKUP(M542,'3-Productie normen'!$B$38:$C$48,2,FALSE),FALSE)))</f>
        <v>0</v>
      </c>
      <c r="T542" s="411">
        <f t="shared" si="43"/>
        <v>0</v>
      </c>
      <c r="U542" s="411">
        <f t="shared" si="46"/>
        <v>0</v>
      </c>
      <c r="V542" s="412"/>
      <c r="X542" s="413">
        <f t="shared" si="44"/>
        <v>8415</v>
      </c>
    </row>
    <row r="543" spans="1:24" ht="14.1" customHeight="1">
      <c r="A543" s="70">
        <f t="shared" si="45"/>
        <v>543</v>
      </c>
      <c r="B543" s="354" t="s">
        <v>70</v>
      </c>
      <c r="C543" s="354" t="s">
        <v>509</v>
      </c>
      <c r="D543" s="354" t="s">
        <v>165</v>
      </c>
      <c r="E543" s="404" t="s">
        <v>510</v>
      </c>
      <c r="F543" s="405" t="s">
        <v>495</v>
      </c>
      <c r="G543" s="406" t="s">
        <v>196</v>
      </c>
      <c r="H543" s="420" t="s">
        <v>464</v>
      </c>
      <c r="I543" s="420" t="s">
        <v>105</v>
      </c>
      <c r="J543" s="399" t="s">
        <v>218</v>
      </c>
      <c r="K543" s="414">
        <v>11</v>
      </c>
      <c r="L543" s="408">
        <f t="shared" si="42"/>
        <v>255</v>
      </c>
      <c r="M543" s="409">
        <v>255</v>
      </c>
      <c r="N543" s="306"/>
      <c r="O543" s="409"/>
      <c r="P543" s="410" t="e">
        <f>IF(M543="nio",0,IF(M543&gt;0,M543*K543/S543,0))*VLOOKUP(B543,'2-Kosten per locatie'!$A$14:$C$61,3,FALSE)</f>
        <v>#DIV/0!</v>
      </c>
      <c r="Q543" s="410">
        <f>IF(N543&gt;0,N543*K543/T543,0)*VLOOKUP(B543,'2-Kosten per locatie'!$A$14:$C$61,3,FALSE)</f>
        <v>0</v>
      </c>
      <c r="R543" s="410">
        <f>IF(O543&gt;0,O543*K543/U543,0)*VLOOKUP(B543,'2-Kosten per locatie'!$A$14:$C$61,3,FALSE)</f>
        <v>0</v>
      </c>
      <c r="S543" s="411">
        <f>IF(M543="nio",0,IF(M543&gt;0,VLOOKUP(I543,'3-Productie normen'!A:P,VLOOKUP(M543,'3-Productie normen'!$B$38:$C$48,2,FALSE),FALSE)))</f>
        <v>0</v>
      </c>
      <c r="T543" s="411">
        <f t="shared" si="43"/>
        <v>0</v>
      </c>
      <c r="U543" s="411">
        <f t="shared" si="46"/>
        <v>0</v>
      </c>
      <c r="V543" s="412"/>
      <c r="X543" s="413">
        <f t="shared" si="44"/>
        <v>2805</v>
      </c>
    </row>
    <row r="544" spans="1:24" ht="14.1" customHeight="1">
      <c r="A544" s="70">
        <f t="shared" si="45"/>
        <v>544</v>
      </c>
      <c r="B544" s="354" t="s">
        <v>70</v>
      </c>
      <c r="C544" s="354" t="s">
        <v>509</v>
      </c>
      <c r="D544" s="354" t="s">
        <v>165</v>
      </c>
      <c r="E544" s="404" t="s">
        <v>510</v>
      </c>
      <c r="F544" s="405" t="s">
        <v>495</v>
      </c>
      <c r="G544" s="406" t="s">
        <v>198</v>
      </c>
      <c r="H544" s="420" t="s">
        <v>464</v>
      </c>
      <c r="I544" s="420" t="s">
        <v>105</v>
      </c>
      <c r="J544" s="399" t="s">
        <v>218</v>
      </c>
      <c r="K544" s="414">
        <v>11</v>
      </c>
      <c r="L544" s="408">
        <f t="shared" si="42"/>
        <v>255</v>
      </c>
      <c r="M544" s="409">
        <v>255</v>
      </c>
      <c r="N544" s="306"/>
      <c r="O544" s="409"/>
      <c r="P544" s="410" t="e">
        <f>IF(M544="nio",0,IF(M544&gt;0,M544*K544/S544,0))*VLOOKUP(B544,'2-Kosten per locatie'!$A$14:$C$61,3,FALSE)</f>
        <v>#DIV/0!</v>
      </c>
      <c r="Q544" s="410">
        <f>IF(N544&gt;0,N544*K544/T544,0)*VLOOKUP(B544,'2-Kosten per locatie'!$A$14:$C$61,3,FALSE)</f>
        <v>0</v>
      </c>
      <c r="R544" s="410">
        <f>IF(O544&gt;0,O544*K544/U544,0)*VLOOKUP(B544,'2-Kosten per locatie'!$A$14:$C$61,3,FALSE)</f>
        <v>0</v>
      </c>
      <c r="S544" s="411">
        <f>IF(M544="nio",0,IF(M544&gt;0,VLOOKUP(I544,'3-Productie normen'!A:P,VLOOKUP(M544,'3-Productie normen'!$B$38:$C$48,2,FALSE),FALSE)))</f>
        <v>0</v>
      </c>
      <c r="T544" s="411">
        <f t="shared" si="43"/>
        <v>0</v>
      </c>
      <c r="U544" s="411">
        <f t="shared" si="46"/>
        <v>0</v>
      </c>
      <c r="V544" s="412"/>
      <c r="X544" s="413">
        <f t="shared" si="44"/>
        <v>2805</v>
      </c>
    </row>
    <row r="545" spans="1:24" ht="14.1" customHeight="1">
      <c r="A545" s="70">
        <f t="shared" si="45"/>
        <v>545</v>
      </c>
      <c r="B545" s="354" t="s">
        <v>70</v>
      </c>
      <c r="C545" s="354" t="s">
        <v>509</v>
      </c>
      <c r="D545" s="354" t="s">
        <v>165</v>
      </c>
      <c r="E545" s="404" t="s">
        <v>510</v>
      </c>
      <c r="F545" s="405" t="s">
        <v>495</v>
      </c>
      <c r="G545" s="406" t="s">
        <v>199</v>
      </c>
      <c r="H545" s="420" t="s">
        <v>464</v>
      </c>
      <c r="I545" s="420" t="s">
        <v>105</v>
      </c>
      <c r="J545" s="399" t="s">
        <v>218</v>
      </c>
      <c r="K545" s="414">
        <v>11</v>
      </c>
      <c r="L545" s="408">
        <f t="shared" si="42"/>
        <v>255</v>
      </c>
      <c r="M545" s="409">
        <v>255</v>
      </c>
      <c r="N545" s="306"/>
      <c r="O545" s="409"/>
      <c r="P545" s="410" t="e">
        <f>IF(M545="nio",0,IF(M545&gt;0,M545*K545/S545,0))*VLOOKUP(B545,'2-Kosten per locatie'!$A$14:$C$61,3,FALSE)</f>
        <v>#DIV/0!</v>
      </c>
      <c r="Q545" s="410">
        <f>IF(N545&gt;0,N545*K545/T545,0)*VLOOKUP(B545,'2-Kosten per locatie'!$A$14:$C$61,3,FALSE)</f>
        <v>0</v>
      </c>
      <c r="R545" s="410">
        <f>IF(O545&gt;0,O545*K545/U545,0)*VLOOKUP(B545,'2-Kosten per locatie'!$A$14:$C$61,3,FALSE)</f>
        <v>0</v>
      </c>
      <c r="S545" s="411">
        <f>IF(M545="nio",0,IF(M545&gt;0,VLOOKUP(I545,'3-Productie normen'!A:P,VLOOKUP(M545,'3-Productie normen'!$B$38:$C$48,2,FALSE),FALSE)))</f>
        <v>0</v>
      </c>
      <c r="T545" s="411">
        <f t="shared" si="43"/>
        <v>0</v>
      </c>
      <c r="U545" s="411">
        <f t="shared" si="46"/>
        <v>0</v>
      </c>
      <c r="V545" s="412"/>
      <c r="X545" s="413">
        <f t="shared" si="44"/>
        <v>2805</v>
      </c>
    </row>
    <row r="546" spans="1:24" ht="14.1" customHeight="1">
      <c r="A546" s="70">
        <f t="shared" si="45"/>
        <v>546</v>
      </c>
      <c r="B546" s="354" t="s">
        <v>70</v>
      </c>
      <c r="C546" s="354" t="s">
        <v>509</v>
      </c>
      <c r="D546" s="354" t="s">
        <v>165</v>
      </c>
      <c r="E546" s="404" t="s">
        <v>510</v>
      </c>
      <c r="F546" s="405" t="s">
        <v>495</v>
      </c>
      <c r="G546" s="406" t="s">
        <v>202</v>
      </c>
      <c r="H546" s="420" t="s">
        <v>186</v>
      </c>
      <c r="I546" s="420" t="s">
        <v>120</v>
      </c>
      <c r="J546" s="399" t="s">
        <v>218</v>
      </c>
      <c r="K546" s="414">
        <v>29</v>
      </c>
      <c r="L546" s="408">
        <f t="shared" si="42"/>
        <v>255</v>
      </c>
      <c r="M546" s="409">
        <v>255</v>
      </c>
      <c r="N546" s="306"/>
      <c r="O546" s="409"/>
      <c r="P546" s="410" t="e">
        <f>IF(M546="nio",0,IF(M546&gt;0,M546*K546/S546,0))*VLOOKUP(B546,'2-Kosten per locatie'!$A$14:$C$61,3,FALSE)</f>
        <v>#DIV/0!</v>
      </c>
      <c r="Q546" s="410">
        <f>IF(N546&gt;0,N546*K546/T546,0)*VLOOKUP(B546,'2-Kosten per locatie'!$A$14:$C$61,3,FALSE)</f>
        <v>0</v>
      </c>
      <c r="R546" s="410">
        <f>IF(O546&gt;0,O546*K546/U546,0)*VLOOKUP(B546,'2-Kosten per locatie'!$A$14:$C$61,3,FALSE)</f>
        <v>0</v>
      </c>
      <c r="S546" s="411">
        <f>IF(M546="nio",0,IF(M546&gt;0,VLOOKUP(I546,'3-Productie normen'!A:P,VLOOKUP(M546,'3-Productie normen'!$B$38:$C$48,2,FALSE),FALSE)))</f>
        <v>0</v>
      </c>
      <c r="T546" s="411">
        <f t="shared" si="43"/>
        <v>0</v>
      </c>
      <c r="U546" s="411">
        <f t="shared" si="46"/>
        <v>0</v>
      </c>
      <c r="V546" s="412"/>
      <c r="X546" s="413">
        <f t="shared" si="44"/>
        <v>7395</v>
      </c>
    </row>
    <row r="547" spans="1:24" ht="14.1" customHeight="1">
      <c r="A547" s="70">
        <f t="shared" si="45"/>
        <v>547</v>
      </c>
      <c r="B547" s="354" t="s">
        <v>70</v>
      </c>
      <c r="C547" s="354" t="s">
        <v>509</v>
      </c>
      <c r="D547" s="354" t="s">
        <v>165</v>
      </c>
      <c r="E547" s="404" t="s">
        <v>510</v>
      </c>
      <c r="F547" s="405" t="s">
        <v>495</v>
      </c>
      <c r="G547" s="406" t="s">
        <v>203</v>
      </c>
      <c r="H547" s="420" t="s">
        <v>181</v>
      </c>
      <c r="I547" s="420" t="s">
        <v>109</v>
      </c>
      <c r="J547" s="399" t="s">
        <v>184</v>
      </c>
      <c r="K547" s="414">
        <v>22</v>
      </c>
      <c r="L547" s="408">
        <f t="shared" si="42"/>
        <v>255</v>
      </c>
      <c r="M547" s="409">
        <v>255</v>
      </c>
      <c r="N547" s="306"/>
      <c r="O547" s="409"/>
      <c r="P547" s="410" t="e">
        <f>IF(M547="nio",0,IF(M547&gt;0,M547*K547/S547,0))*VLOOKUP(B547,'2-Kosten per locatie'!$A$14:$C$61,3,FALSE)</f>
        <v>#DIV/0!</v>
      </c>
      <c r="Q547" s="410">
        <f>IF(N547&gt;0,N547*K547/T547,0)*VLOOKUP(B547,'2-Kosten per locatie'!$A$14:$C$61,3,FALSE)</f>
        <v>0</v>
      </c>
      <c r="R547" s="410">
        <f>IF(O547&gt;0,O547*K547/U547,0)*VLOOKUP(B547,'2-Kosten per locatie'!$A$14:$C$61,3,FALSE)</f>
        <v>0</v>
      </c>
      <c r="S547" s="411">
        <f>IF(M547="nio",0,IF(M547&gt;0,VLOOKUP(I547,'3-Productie normen'!A:P,VLOOKUP(M547,'3-Productie normen'!$B$38:$C$48,2,FALSE),FALSE)))</f>
        <v>0</v>
      </c>
      <c r="T547" s="411">
        <f t="shared" si="43"/>
        <v>0</v>
      </c>
      <c r="U547" s="411">
        <f t="shared" si="46"/>
        <v>0</v>
      </c>
      <c r="V547" s="412"/>
      <c r="X547" s="413">
        <f t="shared" si="44"/>
        <v>5610</v>
      </c>
    </row>
    <row r="548" spans="1:24" ht="14.1" customHeight="1">
      <c r="A548" s="70">
        <f t="shared" si="45"/>
        <v>548</v>
      </c>
      <c r="B548" s="354" t="s">
        <v>70</v>
      </c>
      <c r="C548" s="354" t="s">
        <v>509</v>
      </c>
      <c r="D548" s="354" t="s">
        <v>165</v>
      </c>
      <c r="E548" s="404" t="s">
        <v>510</v>
      </c>
      <c r="F548" s="405" t="s">
        <v>495</v>
      </c>
      <c r="G548" s="406" t="s">
        <v>204</v>
      </c>
      <c r="H548" s="420" t="s">
        <v>186</v>
      </c>
      <c r="I548" s="420" t="s">
        <v>120</v>
      </c>
      <c r="J548" s="399" t="s">
        <v>218</v>
      </c>
      <c r="K548" s="414">
        <v>53</v>
      </c>
      <c r="L548" s="408">
        <f t="shared" si="42"/>
        <v>255</v>
      </c>
      <c r="M548" s="409">
        <v>255</v>
      </c>
      <c r="N548" s="306"/>
      <c r="O548" s="409"/>
      <c r="P548" s="410" t="e">
        <f>IF(M548="nio",0,IF(M548&gt;0,M548*K548/S548,0))*VLOOKUP(B548,'2-Kosten per locatie'!$A$14:$C$61,3,FALSE)</f>
        <v>#DIV/0!</v>
      </c>
      <c r="Q548" s="410">
        <f>IF(N548&gt;0,N548*K548/T548,0)*VLOOKUP(B548,'2-Kosten per locatie'!$A$14:$C$61,3,FALSE)</f>
        <v>0</v>
      </c>
      <c r="R548" s="410">
        <f>IF(O548&gt;0,O548*K548/U548,0)*VLOOKUP(B548,'2-Kosten per locatie'!$A$14:$C$61,3,FALSE)</f>
        <v>0</v>
      </c>
      <c r="S548" s="411">
        <f>IF(M548="nio",0,IF(M548&gt;0,VLOOKUP(I548,'3-Productie normen'!A:P,VLOOKUP(M548,'3-Productie normen'!$B$38:$C$48,2,FALSE),FALSE)))</f>
        <v>0</v>
      </c>
      <c r="T548" s="411">
        <f t="shared" si="43"/>
        <v>0</v>
      </c>
      <c r="U548" s="411">
        <f t="shared" si="46"/>
        <v>0</v>
      </c>
      <c r="V548" s="412"/>
      <c r="X548" s="413">
        <f t="shared" si="44"/>
        <v>13515</v>
      </c>
    </row>
    <row r="549" spans="1:24" ht="14.1" customHeight="1">
      <c r="A549" s="70">
        <f t="shared" si="45"/>
        <v>549</v>
      </c>
      <c r="B549" s="354" t="s">
        <v>70</v>
      </c>
      <c r="C549" s="354" t="s">
        <v>509</v>
      </c>
      <c r="D549" s="354" t="s">
        <v>165</v>
      </c>
      <c r="E549" s="404" t="s">
        <v>510</v>
      </c>
      <c r="F549" s="405" t="s">
        <v>495</v>
      </c>
      <c r="G549" s="406" t="s">
        <v>205</v>
      </c>
      <c r="H549" s="420" t="s">
        <v>186</v>
      </c>
      <c r="I549" s="420" t="s">
        <v>120</v>
      </c>
      <c r="J549" s="399" t="s">
        <v>218</v>
      </c>
      <c r="K549" s="414">
        <v>52</v>
      </c>
      <c r="L549" s="408">
        <f t="shared" si="42"/>
        <v>255</v>
      </c>
      <c r="M549" s="409">
        <v>255</v>
      </c>
      <c r="N549" s="306"/>
      <c r="O549" s="409"/>
      <c r="P549" s="410" t="e">
        <f>IF(M549="nio",0,IF(M549&gt;0,M549*K549/S549,0))*VLOOKUP(B549,'2-Kosten per locatie'!$A$14:$C$61,3,FALSE)</f>
        <v>#DIV/0!</v>
      </c>
      <c r="Q549" s="410">
        <f>IF(N549&gt;0,N549*K549/T549,0)*VLOOKUP(B549,'2-Kosten per locatie'!$A$14:$C$61,3,FALSE)</f>
        <v>0</v>
      </c>
      <c r="R549" s="410">
        <f>IF(O549&gt;0,O549*K549/U549,0)*VLOOKUP(B549,'2-Kosten per locatie'!$A$14:$C$61,3,FALSE)</f>
        <v>0</v>
      </c>
      <c r="S549" s="411">
        <f>IF(M549="nio",0,IF(M549&gt;0,VLOOKUP(I549,'3-Productie normen'!A:P,VLOOKUP(M549,'3-Productie normen'!$B$38:$C$48,2,FALSE),FALSE)))</f>
        <v>0</v>
      </c>
      <c r="T549" s="411">
        <f t="shared" si="43"/>
        <v>0</v>
      </c>
      <c r="U549" s="411">
        <f t="shared" si="46"/>
        <v>0</v>
      </c>
      <c r="V549" s="412"/>
      <c r="X549" s="413">
        <f t="shared" si="44"/>
        <v>13260</v>
      </c>
    </row>
    <row r="550" spans="1:24" ht="14.1" customHeight="1">
      <c r="A550" s="70">
        <f t="shared" si="45"/>
        <v>550</v>
      </c>
      <c r="B550" s="354" t="s">
        <v>70</v>
      </c>
      <c r="C550" s="354" t="s">
        <v>509</v>
      </c>
      <c r="D550" s="354" t="s">
        <v>165</v>
      </c>
      <c r="E550" s="404" t="s">
        <v>510</v>
      </c>
      <c r="F550" s="405" t="s">
        <v>495</v>
      </c>
      <c r="G550" s="406" t="s">
        <v>180</v>
      </c>
      <c r="H550" s="420" t="s">
        <v>186</v>
      </c>
      <c r="I550" s="420" t="s">
        <v>120</v>
      </c>
      <c r="J550" s="399" t="s">
        <v>218</v>
      </c>
      <c r="K550" s="414">
        <v>68</v>
      </c>
      <c r="L550" s="408">
        <f t="shared" si="42"/>
        <v>255</v>
      </c>
      <c r="M550" s="409">
        <v>255</v>
      </c>
      <c r="N550" s="306"/>
      <c r="O550" s="409"/>
      <c r="P550" s="410" t="e">
        <f>IF(M550="nio",0,IF(M550&gt;0,M550*K550/S550,0))*VLOOKUP(B550,'2-Kosten per locatie'!$A$14:$C$61,3,FALSE)</f>
        <v>#DIV/0!</v>
      </c>
      <c r="Q550" s="410">
        <f>IF(N550&gt;0,N550*K550/T550,0)*VLOOKUP(B550,'2-Kosten per locatie'!$A$14:$C$61,3,FALSE)</f>
        <v>0</v>
      </c>
      <c r="R550" s="410">
        <f>IF(O550&gt;0,O550*K550/U550,0)*VLOOKUP(B550,'2-Kosten per locatie'!$A$14:$C$61,3,FALSE)</f>
        <v>0</v>
      </c>
      <c r="S550" s="411">
        <f>IF(M550="nio",0,IF(M550&gt;0,VLOOKUP(I550,'3-Productie normen'!A:P,VLOOKUP(M550,'3-Productie normen'!$B$38:$C$48,2,FALSE),FALSE)))</f>
        <v>0</v>
      </c>
      <c r="T550" s="411">
        <f t="shared" si="43"/>
        <v>0</v>
      </c>
      <c r="U550" s="411">
        <f t="shared" si="46"/>
        <v>0</v>
      </c>
      <c r="V550" s="412"/>
      <c r="X550" s="413">
        <f t="shared" si="44"/>
        <v>17340</v>
      </c>
    </row>
    <row r="551" spans="1:24" ht="14.1" customHeight="1">
      <c r="A551" s="70">
        <f t="shared" si="45"/>
        <v>551</v>
      </c>
      <c r="B551" s="354" t="s">
        <v>70</v>
      </c>
      <c r="C551" s="354" t="s">
        <v>509</v>
      </c>
      <c r="D551" s="354" t="s">
        <v>165</v>
      </c>
      <c r="E551" s="404" t="s">
        <v>510</v>
      </c>
      <c r="F551" s="405" t="s">
        <v>495</v>
      </c>
      <c r="G551" s="406" t="s">
        <v>497</v>
      </c>
      <c r="H551" s="420" t="s">
        <v>187</v>
      </c>
      <c r="I551" s="420" t="s">
        <v>107</v>
      </c>
      <c r="J551" s="399" t="s">
        <v>169</v>
      </c>
      <c r="K551" s="414">
        <v>8</v>
      </c>
      <c r="L551" s="408">
        <f t="shared" si="42"/>
        <v>255</v>
      </c>
      <c r="M551" s="409">
        <v>255</v>
      </c>
      <c r="N551" s="306"/>
      <c r="O551" s="409"/>
      <c r="P551" s="410" t="e">
        <f>IF(M551="nio",0,IF(M551&gt;0,M551*K551/S551,0))*VLOOKUP(B551,'2-Kosten per locatie'!$A$14:$C$61,3,FALSE)</f>
        <v>#DIV/0!</v>
      </c>
      <c r="Q551" s="410">
        <f>IF(N551&gt;0,N551*K551/T551,0)*VLOOKUP(B551,'2-Kosten per locatie'!$A$14:$C$61,3,FALSE)</f>
        <v>0</v>
      </c>
      <c r="R551" s="410">
        <f>IF(O551&gt;0,O551*K551/U551,0)*VLOOKUP(B551,'2-Kosten per locatie'!$A$14:$C$61,3,FALSE)</f>
        <v>0</v>
      </c>
      <c r="S551" s="411">
        <f>IF(M551="nio",0,IF(M551&gt;0,VLOOKUP(I551,'3-Productie normen'!A:P,VLOOKUP(M551,'3-Productie normen'!$B$38:$C$48,2,FALSE),FALSE)))</f>
        <v>0</v>
      </c>
      <c r="T551" s="411">
        <f t="shared" si="43"/>
        <v>0</v>
      </c>
      <c r="U551" s="411">
        <f t="shared" si="46"/>
        <v>0</v>
      </c>
      <c r="V551" s="412"/>
      <c r="X551" s="413">
        <f t="shared" si="44"/>
        <v>2040</v>
      </c>
    </row>
    <row r="552" spans="1:24" ht="14.1" customHeight="1">
      <c r="A552" s="70">
        <f t="shared" si="45"/>
        <v>552</v>
      </c>
      <c r="B552" s="354" t="s">
        <v>70</v>
      </c>
      <c r="C552" s="354" t="s">
        <v>509</v>
      </c>
      <c r="D552" s="354" t="s">
        <v>165</v>
      </c>
      <c r="E552" s="404" t="s">
        <v>510</v>
      </c>
      <c r="F552" s="405" t="s">
        <v>495</v>
      </c>
      <c r="G552" s="406" t="s">
        <v>182</v>
      </c>
      <c r="H552" s="420" t="s">
        <v>511</v>
      </c>
      <c r="I552" s="420" t="s">
        <v>106</v>
      </c>
      <c r="J552" s="399" t="s">
        <v>184</v>
      </c>
      <c r="K552" s="414">
        <v>5</v>
      </c>
      <c r="L552" s="408">
        <f t="shared" si="42"/>
        <v>255</v>
      </c>
      <c r="M552" s="409">
        <v>255</v>
      </c>
      <c r="N552" s="306"/>
      <c r="O552" s="409"/>
      <c r="P552" s="410" t="e">
        <f>IF(M552="nio",0,IF(M552&gt;0,M552*K552/S552,0))*VLOOKUP(B552,'2-Kosten per locatie'!$A$14:$C$61,3,FALSE)</f>
        <v>#DIV/0!</v>
      </c>
      <c r="Q552" s="410">
        <f>IF(N552&gt;0,N552*K552/T552,0)*VLOOKUP(B552,'2-Kosten per locatie'!$A$14:$C$61,3,FALSE)</f>
        <v>0</v>
      </c>
      <c r="R552" s="410">
        <f>IF(O552&gt;0,O552*K552/U552,0)*VLOOKUP(B552,'2-Kosten per locatie'!$A$14:$C$61,3,FALSE)</f>
        <v>0</v>
      </c>
      <c r="S552" s="411">
        <f>IF(M552="nio",0,IF(M552&gt;0,VLOOKUP(I552,'3-Productie normen'!A:P,VLOOKUP(M552,'3-Productie normen'!$B$38:$C$48,2,FALSE),FALSE)))</f>
        <v>0</v>
      </c>
      <c r="T552" s="411">
        <f t="shared" si="43"/>
        <v>0</v>
      </c>
      <c r="U552" s="411">
        <f t="shared" si="46"/>
        <v>0</v>
      </c>
      <c r="V552" s="412"/>
      <c r="X552" s="413">
        <f t="shared" si="44"/>
        <v>1275</v>
      </c>
    </row>
    <row r="553" spans="1:24" ht="14.1" customHeight="1">
      <c r="A553" s="70">
        <f t="shared" si="45"/>
        <v>553</v>
      </c>
      <c r="B553" s="354" t="s">
        <v>70</v>
      </c>
      <c r="C553" s="354" t="s">
        <v>509</v>
      </c>
      <c r="D553" s="354" t="s">
        <v>165</v>
      </c>
      <c r="E553" s="404" t="s">
        <v>510</v>
      </c>
      <c r="F553" s="405" t="s">
        <v>495</v>
      </c>
      <c r="G553" s="406" t="s">
        <v>207</v>
      </c>
      <c r="H553" s="420" t="s">
        <v>183</v>
      </c>
      <c r="I553" s="420" t="s">
        <v>106</v>
      </c>
      <c r="J553" s="399" t="s">
        <v>184</v>
      </c>
      <c r="K553" s="414">
        <v>8</v>
      </c>
      <c r="L553" s="408">
        <f t="shared" si="42"/>
        <v>255</v>
      </c>
      <c r="M553" s="409">
        <v>255</v>
      </c>
      <c r="N553" s="306"/>
      <c r="O553" s="409"/>
      <c r="P553" s="410" t="e">
        <f>IF(M553="nio",0,IF(M553&gt;0,M553*K553/S553,0))*VLOOKUP(B553,'2-Kosten per locatie'!$A$14:$C$61,3,FALSE)</f>
        <v>#DIV/0!</v>
      </c>
      <c r="Q553" s="410">
        <f>IF(N553&gt;0,N553*K553/T553,0)*VLOOKUP(B553,'2-Kosten per locatie'!$A$14:$C$61,3,FALSE)</f>
        <v>0</v>
      </c>
      <c r="R553" s="410">
        <f>IF(O553&gt;0,O553*K553/U553,0)*VLOOKUP(B553,'2-Kosten per locatie'!$A$14:$C$61,3,FALSE)</f>
        <v>0</v>
      </c>
      <c r="S553" s="411">
        <f>IF(M553="nio",0,IF(M553&gt;0,VLOOKUP(I553,'3-Productie normen'!A:P,VLOOKUP(M553,'3-Productie normen'!$B$38:$C$48,2,FALSE),FALSE)))</f>
        <v>0</v>
      </c>
      <c r="T553" s="411">
        <f t="shared" si="43"/>
        <v>0</v>
      </c>
      <c r="U553" s="411">
        <f t="shared" si="46"/>
        <v>0</v>
      </c>
      <c r="V553" s="412"/>
      <c r="X553" s="413">
        <f t="shared" si="44"/>
        <v>2040</v>
      </c>
    </row>
    <row r="554" spans="1:24" ht="14.1" customHeight="1">
      <c r="A554" s="70">
        <f t="shared" si="45"/>
        <v>554</v>
      </c>
      <c r="B554" s="354" t="s">
        <v>70</v>
      </c>
      <c r="C554" s="354" t="s">
        <v>509</v>
      </c>
      <c r="D554" s="354" t="s">
        <v>165</v>
      </c>
      <c r="E554" s="404" t="s">
        <v>510</v>
      </c>
      <c r="F554" s="405" t="s">
        <v>495</v>
      </c>
      <c r="G554" s="406" t="s">
        <v>209</v>
      </c>
      <c r="H554" s="420" t="s">
        <v>183</v>
      </c>
      <c r="I554" s="420" t="s">
        <v>106</v>
      </c>
      <c r="J554" s="399" t="s">
        <v>184</v>
      </c>
      <c r="K554" s="414">
        <v>8</v>
      </c>
      <c r="L554" s="408">
        <f t="shared" si="42"/>
        <v>255</v>
      </c>
      <c r="M554" s="409">
        <v>255</v>
      </c>
      <c r="N554" s="306"/>
      <c r="O554" s="409"/>
      <c r="P554" s="410" t="e">
        <f>IF(M554="nio",0,IF(M554&gt;0,M554*K554/S554,0))*VLOOKUP(B554,'2-Kosten per locatie'!$A$14:$C$61,3,FALSE)</f>
        <v>#DIV/0!</v>
      </c>
      <c r="Q554" s="410">
        <f>IF(N554&gt;0,N554*K554/T554,0)*VLOOKUP(B554,'2-Kosten per locatie'!$A$14:$C$61,3,FALSE)</f>
        <v>0</v>
      </c>
      <c r="R554" s="410">
        <f>IF(O554&gt;0,O554*K554/U554,0)*VLOOKUP(B554,'2-Kosten per locatie'!$A$14:$C$61,3,FALSE)</f>
        <v>0</v>
      </c>
      <c r="S554" s="411">
        <f>IF(M554="nio",0,IF(M554&gt;0,VLOOKUP(I554,'3-Productie normen'!A:P,VLOOKUP(M554,'3-Productie normen'!$B$38:$C$48,2,FALSE),FALSE)))</f>
        <v>0</v>
      </c>
      <c r="T554" s="411">
        <f t="shared" si="43"/>
        <v>0</v>
      </c>
      <c r="U554" s="411">
        <f t="shared" si="46"/>
        <v>0</v>
      </c>
      <c r="V554" s="412"/>
      <c r="X554" s="413">
        <f t="shared" si="44"/>
        <v>2040</v>
      </c>
    </row>
    <row r="555" spans="1:24" ht="14.1" customHeight="1">
      <c r="A555" s="70">
        <f t="shared" si="45"/>
        <v>555</v>
      </c>
      <c r="B555" s="354" t="s">
        <v>70</v>
      </c>
      <c r="C555" s="354" t="s">
        <v>509</v>
      </c>
      <c r="D555" s="354" t="s">
        <v>165</v>
      </c>
      <c r="E555" s="404" t="s">
        <v>510</v>
      </c>
      <c r="F555" s="405" t="s">
        <v>495</v>
      </c>
      <c r="G555" s="406" t="s">
        <v>210</v>
      </c>
      <c r="H555" s="420" t="s">
        <v>467</v>
      </c>
      <c r="I555" s="383" t="s">
        <v>113</v>
      </c>
      <c r="J555" s="399" t="s">
        <v>218</v>
      </c>
      <c r="K555" s="414">
        <v>5</v>
      </c>
      <c r="L555" s="408">
        <f t="shared" si="42"/>
        <v>52</v>
      </c>
      <c r="M555" s="421">
        <v>52</v>
      </c>
      <c r="N555" s="306"/>
      <c r="O555" s="409"/>
      <c r="P555" s="410" t="e">
        <f>IF(M555="nio",0,IF(M555&gt;0,M555*K555/S555,0))*VLOOKUP(B555,'2-Kosten per locatie'!$A$14:$C$61,3,FALSE)</f>
        <v>#DIV/0!</v>
      </c>
      <c r="Q555" s="410">
        <f>IF(N555&gt;0,N555*K555/T555,0)*VLOOKUP(B555,'2-Kosten per locatie'!$A$14:$C$61,3,FALSE)</f>
        <v>0</v>
      </c>
      <c r="R555" s="410">
        <f>IF(O555&gt;0,O555*K555/U555,0)*VLOOKUP(B555,'2-Kosten per locatie'!$A$14:$C$61,3,FALSE)</f>
        <v>0</v>
      </c>
      <c r="S555" s="411">
        <f>IF(M555="nio",0,IF(M555&gt;0,VLOOKUP(I555,'3-Productie normen'!A:P,VLOOKUP(M555,'3-Productie normen'!$B$38:$C$48,2,FALSE),FALSE)))</f>
        <v>0</v>
      </c>
      <c r="T555" s="411">
        <f t="shared" si="43"/>
        <v>0</v>
      </c>
      <c r="U555" s="411">
        <f t="shared" si="46"/>
        <v>0</v>
      </c>
      <c r="V555" s="412"/>
      <c r="X555" s="413">
        <f t="shared" si="44"/>
        <v>260</v>
      </c>
    </row>
    <row r="556" spans="1:24" ht="14.1" customHeight="1">
      <c r="A556" s="70">
        <f t="shared" si="45"/>
        <v>556</v>
      </c>
      <c r="B556" s="354" t="s">
        <v>70</v>
      </c>
      <c r="C556" s="354" t="s">
        <v>509</v>
      </c>
      <c r="D556" s="354" t="s">
        <v>165</v>
      </c>
      <c r="E556" s="404" t="s">
        <v>510</v>
      </c>
      <c r="F556" s="405" t="s">
        <v>495</v>
      </c>
      <c r="G556" s="406" t="s">
        <v>212</v>
      </c>
      <c r="H556" s="420" t="s">
        <v>467</v>
      </c>
      <c r="I556" s="383" t="s">
        <v>113</v>
      </c>
      <c r="J556" s="399" t="s">
        <v>218</v>
      </c>
      <c r="K556" s="414">
        <v>6</v>
      </c>
      <c r="L556" s="408">
        <f t="shared" ref="L556:L619" si="47">SUM(M556:O556)</f>
        <v>52</v>
      </c>
      <c r="M556" s="421">
        <v>52</v>
      </c>
      <c r="N556" s="306"/>
      <c r="O556" s="409"/>
      <c r="P556" s="410" t="e">
        <f>IF(M556="nio",0,IF(M556&gt;0,M556*K556/S556,0))*VLOOKUP(B556,'2-Kosten per locatie'!$A$14:$C$61,3,FALSE)</f>
        <v>#DIV/0!</v>
      </c>
      <c r="Q556" s="410">
        <f>IF(N556&gt;0,N556*K556/T556,0)*VLOOKUP(B556,'2-Kosten per locatie'!$A$14:$C$61,3,FALSE)</f>
        <v>0</v>
      </c>
      <c r="R556" s="410">
        <f>IF(O556&gt;0,O556*K556/U556,0)*VLOOKUP(B556,'2-Kosten per locatie'!$A$14:$C$61,3,FALSE)</f>
        <v>0</v>
      </c>
      <c r="S556" s="411">
        <f>IF(M556="nio",0,IF(M556&gt;0,VLOOKUP(I556,'3-Productie normen'!A:P,VLOOKUP(M556,'3-Productie normen'!$B$38:$C$48,2,FALSE),FALSE)))</f>
        <v>0</v>
      </c>
      <c r="T556" s="411">
        <f t="shared" si="43"/>
        <v>0</v>
      </c>
      <c r="U556" s="411">
        <f t="shared" si="46"/>
        <v>0</v>
      </c>
      <c r="V556" s="412"/>
      <c r="X556" s="413">
        <f t="shared" si="44"/>
        <v>312</v>
      </c>
    </row>
    <row r="557" spans="1:24" ht="14.1" customHeight="1">
      <c r="A557" s="70">
        <f t="shared" si="45"/>
        <v>557</v>
      </c>
      <c r="B557" s="354" t="s">
        <v>71</v>
      </c>
      <c r="C557" s="354" t="s">
        <v>512</v>
      </c>
      <c r="D557" s="354" t="s">
        <v>165</v>
      </c>
      <c r="E557" s="404" t="s">
        <v>444</v>
      </c>
      <c r="F557" s="405" t="s">
        <v>273</v>
      </c>
      <c r="G557" s="406" t="s">
        <v>257</v>
      </c>
      <c r="H557" s="420" t="s">
        <v>290</v>
      </c>
      <c r="I557" s="420" t="s">
        <v>108</v>
      </c>
      <c r="J557" s="399" t="s">
        <v>218</v>
      </c>
      <c r="K557" s="414">
        <v>14</v>
      </c>
      <c r="L557" s="408">
        <f t="shared" si="47"/>
        <v>522</v>
      </c>
      <c r="M557" s="409">
        <v>230</v>
      </c>
      <c r="N557" s="306">
        <v>200</v>
      </c>
      <c r="O557" s="409">
        <v>92</v>
      </c>
      <c r="P557" s="410" t="e">
        <f>IF(M557="nio",0,IF(M557&gt;0,M557*K557/S557,0))*VLOOKUP(B557,'2-Kosten per locatie'!$A$14:$C$61,3,FALSE)</f>
        <v>#DIV/0!</v>
      </c>
      <c r="Q557" s="410" t="e">
        <f>IF(N557&gt;0,N557*K557/T557,0)*VLOOKUP(B557,'2-Kosten per locatie'!$A$14:$C$61,3,FALSE)</f>
        <v>#DIV/0!</v>
      </c>
      <c r="R557" s="410" t="e">
        <f>IF(O557&gt;0,O557*K557/U557,0)*VLOOKUP(B557,'2-Kosten per locatie'!$A$14:$C$61,3,FALSE)</f>
        <v>#DIV/0!</v>
      </c>
      <c r="S557" s="411">
        <f>IF(M557="nio",0,IF(M557&gt;0,VLOOKUP(I557,'3-Productie normen'!A:P,VLOOKUP(M557,'3-Productie normen'!$B$38:$C$48,2,FALSE),FALSE)))</f>
        <v>0</v>
      </c>
      <c r="T557" s="411">
        <f t="shared" si="43"/>
        <v>0</v>
      </c>
      <c r="U557" s="411">
        <f t="shared" si="46"/>
        <v>0</v>
      </c>
      <c r="V557" s="412"/>
      <c r="X557" s="413">
        <f t="shared" si="44"/>
        <v>7308</v>
      </c>
    </row>
    <row r="558" spans="1:24" ht="14.1" customHeight="1">
      <c r="A558" s="70">
        <f t="shared" si="45"/>
        <v>558</v>
      </c>
      <c r="B558" s="354" t="s">
        <v>71</v>
      </c>
      <c r="C558" s="354" t="s">
        <v>512</v>
      </c>
      <c r="D558" s="354" t="s">
        <v>165</v>
      </c>
      <c r="E558" s="404" t="s">
        <v>444</v>
      </c>
      <c r="F558" s="405" t="s">
        <v>273</v>
      </c>
      <c r="G558" s="406" t="s">
        <v>258</v>
      </c>
      <c r="H558" s="420" t="s">
        <v>220</v>
      </c>
      <c r="I558" s="420" t="s">
        <v>108</v>
      </c>
      <c r="J558" s="399" t="s">
        <v>218</v>
      </c>
      <c r="K558" s="414">
        <v>19</v>
      </c>
      <c r="L558" s="408">
        <f t="shared" si="47"/>
        <v>522</v>
      </c>
      <c r="M558" s="409">
        <v>230</v>
      </c>
      <c r="N558" s="306">
        <v>200</v>
      </c>
      <c r="O558" s="409">
        <v>92</v>
      </c>
      <c r="P558" s="410" t="e">
        <f>IF(M558="nio",0,IF(M558&gt;0,M558*K558/S558,0))*VLOOKUP(B558,'2-Kosten per locatie'!$A$14:$C$61,3,FALSE)</f>
        <v>#DIV/0!</v>
      </c>
      <c r="Q558" s="410" t="e">
        <f>IF(N558&gt;0,N558*K558/T558,0)*VLOOKUP(B558,'2-Kosten per locatie'!$A$14:$C$61,3,FALSE)</f>
        <v>#DIV/0!</v>
      </c>
      <c r="R558" s="410" t="e">
        <f>IF(O558&gt;0,O558*K558/U558,0)*VLOOKUP(B558,'2-Kosten per locatie'!$A$14:$C$61,3,FALSE)</f>
        <v>#DIV/0!</v>
      </c>
      <c r="S558" s="411">
        <f>IF(M558="nio",0,IF(M558&gt;0,VLOOKUP(I558,'3-Productie normen'!A:P,VLOOKUP(M558,'3-Productie normen'!$B$38:$C$48,2,FALSE),FALSE)))</f>
        <v>0</v>
      </c>
      <c r="T558" s="411">
        <f t="shared" si="43"/>
        <v>0</v>
      </c>
      <c r="U558" s="411">
        <f t="shared" si="46"/>
        <v>0</v>
      </c>
      <c r="V558" s="412"/>
      <c r="X558" s="413">
        <f t="shared" si="44"/>
        <v>9918</v>
      </c>
    </row>
    <row r="559" spans="1:24" ht="14.1" customHeight="1">
      <c r="A559" s="70">
        <f t="shared" si="45"/>
        <v>559</v>
      </c>
      <c r="B559" s="354" t="s">
        <v>71</v>
      </c>
      <c r="C559" s="354" t="s">
        <v>512</v>
      </c>
      <c r="D559" s="354" t="s">
        <v>165</v>
      </c>
      <c r="E559" s="404" t="s">
        <v>444</v>
      </c>
      <c r="F559" s="405" t="s">
        <v>273</v>
      </c>
      <c r="G559" s="406" t="s">
        <v>259</v>
      </c>
      <c r="H559" s="420" t="s">
        <v>220</v>
      </c>
      <c r="I559" s="420" t="s">
        <v>108</v>
      </c>
      <c r="J559" s="399" t="s">
        <v>218</v>
      </c>
      <c r="K559" s="414">
        <v>27</v>
      </c>
      <c r="L559" s="408">
        <f t="shared" si="47"/>
        <v>522</v>
      </c>
      <c r="M559" s="409">
        <v>230</v>
      </c>
      <c r="N559" s="306">
        <v>200</v>
      </c>
      <c r="O559" s="409">
        <v>92</v>
      </c>
      <c r="P559" s="410" t="e">
        <f>IF(M559="nio",0,IF(M559&gt;0,M559*K559/S559,0))*VLOOKUP(B559,'2-Kosten per locatie'!$A$14:$C$61,3,FALSE)</f>
        <v>#DIV/0!</v>
      </c>
      <c r="Q559" s="410" t="e">
        <f>IF(N559&gt;0,N559*K559/T559,0)*VLOOKUP(B559,'2-Kosten per locatie'!$A$14:$C$61,3,FALSE)</f>
        <v>#DIV/0!</v>
      </c>
      <c r="R559" s="410" t="e">
        <f>IF(O559&gt;0,O559*K559/U559,0)*VLOOKUP(B559,'2-Kosten per locatie'!$A$14:$C$61,3,FALSE)</f>
        <v>#DIV/0!</v>
      </c>
      <c r="S559" s="411">
        <f>IF(M559="nio",0,IF(M559&gt;0,VLOOKUP(I559,'3-Productie normen'!A:P,VLOOKUP(M559,'3-Productie normen'!$B$38:$C$48,2,FALSE),FALSE)))</f>
        <v>0</v>
      </c>
      <c r="T559" s="411">
        <f t="shared" si="43"/>
        <v>0</v>
      </c>
      <c r="U559" s="411">
        <f t="shared" si="46"/>
        <v>0</v>
      </c>
      <c r="V559" s="412"/>
      <c r="X559" s="413">
        <f t="shared" si="44"/>
        <v>14094</v>
      </c>
    </row>
    <row r="560" spans="1:24" ht="14.1" customHeight="1">
      <c r="A560" s="70">
        <f t="shared" si="45"/>
        <v>560</v>
      </c>
      <c r="B560" s="354" t="s">
        <v>71</v>
      </c>
      <c r="C560" s="354" t="s">
        <v>512</v>
      </c>
      <c r="D560" s="354" t="s">
        <v>165</v>
      </c>
      <c r="E560" s="404" t="s">
        <v>444</v>
      </c>
      <c r="F560" s="405" t="s">
        <v>273</v>
      </c>
      <c r="G560" s="406" t="s">
        <v>260</v>
      </c>
      <c r="H560" s="420" t="s">
        <v>290</v>
      </c>
      <c r="I560" s="420" t="s">
        <v>108</v>
      </c>
      <c r="J560" s="399" t="s">
        <v>218</v>
      </c>
      <c r="K560" s="414">
        <v>25</v>
      </c>
      <c r="L560" s="408">
        <f t="shared" si="47"/>
        <v>522</v>
      </c>
      <c r="M560" s="409">
        <v>230</v>
      </c>
      <c r="N560" s="306">
        <v>200</v>
      </c>
      <c r="O560" s="409">
        <v>92</v>
      </c>
      <c r="P560" s="410" t="e">
        <f>IF(M560="nio",0,IF(M560&gt;0,M560*K560/S560,0))*VLOOKUP(B560,'2-Kosten per locatie'!$A$14:$C$61,3,FALSE)</f>
        <v>#DIV/0!</v>
      </c>
      <c r="Q560" s="410" t="e">
        <f>IF(N560&gt;0,N560*K560/T560,0)*VLOOKUP(B560,'2-Kosten per locatie'!$A$14:$C$61,3,FALSE)</f>
        <v>#DIV/0!</v>
      </c>
      <c r="R560" s="410" t="e">
        <f>IF(O560&gt;0,O560*K560/U560,0)*VLOOKUP(B560,'2-Kosten per locatie'!$A$14:$C$61,3,FALSE)</f>
        <v>#DIV/0!</v>
      </c>
      <c r="S560" s="411">
        <f>IF(M560="nio",0,IF(M560&gt;0,VLOOKUP(I560,'3-Productie normen'!A:P,VLOOKUP(M560,'3-Productie normen'!$B$38:$C$48,2,FALSE),FALSE)))</f>
        <v>0</v>
      </c>
      <c r="T560" s="411">
        <f t="shared" si="43"/>
        <v>0</v>
      </c>
      <c r="U560" s="411">
        <f t="shared" si="46"/>
        <v>0</v>
      </c>
      <c r="V560" s="412"/>
      <c r="X560" s="413">
        <f t="shared" si="44"/>
        <v>13050</v>
      </c>
    </row>
    <row r="561" spans="1:24" ht="14.1" customHeight="1">
      <c r="A561" s="70">
        <f t="shared" si="45"/>
        <v>561</v>
      </c>
      <c r="B561" s="354" t="s">
        <v>71</v>
      </c>
      <c r="C561" s="354" t="s">
        <v>512</v>
      </c>
      <c r="D561" s="354" t="s">
        <v>165</v>
      </c>
      <c r="E561" s="404" t="s">
        <v>444</v>
      </c>
      <c r="F561" s="405" t="s">
        <v>273</v>
      </c>
      <c r="G561" s="406" t="s">
        <v>261</v>
      </c>
      <c r="H561" s="420" t="s">
        <v>443</v>
      </c>
      <c r="I561" s="420" t="s">
        <v>111</v>
      </c>
      <c r="J561" s="399" t="s">
        <v>184</v>
      </c>
      <c r="K561" s="414">
        <v>26</v>
      </c>
      <c r="L561" s="408">
        <f t="shared" si="47"/>
        <v>522</v>
      </c>
      <c r="M561" s="409">
        <v>230</v>
      </c>
      <c r="N561" s="306">
        <v>200</v>
      </c>
      <c r="O561" s="409">
        <v>92</v>
      </c>
      <c r="P561" s="410" t="e">
        <f>IF(M561="nio",0,IF(M561&gt;0,M561*K561/S561,0))*VLOOKUP(B561,'2-Kosten per locatie'!$A$14:$C$61,3,FALSE)</f>
        <v>#DIV/0!</v>
      </c>
      <c r="Q561" s="410" t="e">
        <f>IF(N561&gt;0,N561*K561/T561,0)*VLOOKUP(B561,'2-Kosten per locatie'!$A$14:$C$61,3,FALSE)</f>
        <v>#DIV/0!</v>
      </c>
      <c r="R561" s="410" t="e">
        <f>IF(O561&gt;0,O561*K561/U561,0)*VLOOKUP(B561,'2-Kosten per locatie'!$A$14:$C$61,3,FALSE)</f>
        <v>#DIV/0!</v>
      </c>
      <c r="S561" s="411">
        <f>IF(M561="nio",0,IF(M561&gt;0,VLOOKUP(I561,'3-Productie normen'!A:P,VLOOKUP(M561,'3-Productie normen'!$B$38:$C$48,2,FALSE),FALSE)))</f>
        <v>0</v>
      </c>
      <c r="T561" s="411">
        <f t="shared" si="43"/>
        <v>0</v>
      </c>
      <c r="U561" s="411">
        <f t="shared" si="46"/>
        <v>0</v>
      </c>
      <c r="V561" s="412"/>
      <c r="X561" s="413">
        <f t="shared" si="44"/>
        <v>13572</v>
      </c>
    </row>
    <row r="562" spans="1:24" ht="14.1" customHeight="1">
      <c r="A562" s="70">
        <f t="shared" si="45"/>
        <v>562</v>
      </c>
      <c r="B562" s="354" t="s">
        <v>71</v>
      </c>
      <c r="C562" s="354" t="s">
        <v>512</v>
      </c>
      <c r="D562" s="354" t="s">
        <v>165</v>
      </c>
      <c r="E562" s="404" t="s">
        <v>444</v>
      </c>
      <c r="F562" s="405" t="s">
        <v>273</v>
      </c>
      <c r="G562" s="406" t="s">
        <v>262</v>
      </c>
      <c r="H562" s="420" t="s">
        <v>220</v>
      </c>
      <c r="I562" s="420" t="s">
        <v>108</v>
      </c>
      <c r="J562" s="399" t="s">
        <v>184</v>
      </c>
      <c r="K562" s="414">
        <v>14</v>
      </c>
      <c r="L562" s="408">
        <f t="shared" si="47"/>
        <v>522</v>
      </c>
      <c r="M562" s="409">
        <v>230</v>
      </c>
      <c r="N562" s="306">
        <v>200</v>
      </c>
      <c r="O562" s="409">
        <v>92</v>
      </c>
      <c r="P562" s="410" t="e">
        <f>IF(M562="nio",0,IF(M562&gt;0,M562*K562/S562,0))*VLOOKUP(B562,'2-Kosten per locatie'!$A$14:$C$61,3,FALSE)</f>
        <v>#DIV/0!</v>
      </c>
      <c r="Q562" s="410" t="e">
        <f>IF(N562&gt;0,N562*K562/T562,0)*VLOOKUP(B562,'2-Kosten per locatie'!$A$14:$C$61,3,FALSE)</f>
        <v>#DIV/0!</v>
      </c>
      <c r="R562" s="410" t="e">
        <f>IF(O562&gt;0,O562*K562/U562,0)*VLOOKUP(B562,'2-Kosten per locatie'!$A$14:$C$61,3,FALSE)</f>
        <v>#DIV/0!</v>
      </c>
      <c r="S562" s="411">
        <f>IF(M562="nio",0,IF(M562&gt;0,VLOOKUP(I562,'3-Productie normen'!A:P,VLOOKUP(M562,'3-Productie normen'!$B$38:$C$48,2,FALSE),FALSE)))</f>
        <v>0</v>
      </c>
      <c r="T562" s="411">
        <f t="shared" si="43"/>
        <v>0</v>
      </c>
      <c r="U562" s="411">
        <f t="shared" si="46"/>
        <v>0</v>
      </c>
      <c r="V562" s="412"/>
      <c r="X562" s="413">
        <f t="shared" si="44"/>
        <v>7308</v>
      </c>
    </row>
    <row r="563" spans="1:24" ht="14.1" customHeight="1">
      <c r="A563" s="70">
        <f t="shared" si="45"/>
        <v>563</v>
      </c>
      <c r="B563" s="354" t="s">
        <v>71</v>
      </c>
      <c r="C563" s="354" t="s">
        <v>512</v>
      </c>
      <c r="D563" s="354" t="s">
        <v>165</v>
      </c>
      <c r="E563" s="404" t="s">
        <v>444</v>
      </c>
      <c r="F563" s="405" t="s">
        <v>273</v>
      </c>
      <c r="G563" s="406" t="s">
        <v>263</v>
      </c>
      <c r="H563" s="420" t="s">
        <v>513</v>
      </c>
      <c r="I563" s="420" t="s">
        <v>115</v>
      </c>
      <c r="J563" s="399" t="s">
        <v>184</v>
      </c>
      <c r="K563" s="414">
        <v>10</v>
      </c>
      <c r="L563" s="408">
        <f t="shared" si="47"/>
        <v>522</v>
      </c>
      <c r="M563" s="409">
        <v>230</v>
      </c>
      <c r="N563" s="306">
        <v>200</v>
      </c>
      <c r="O563" s="409">
        <v>92</v>
      </c>
      <c r="P563" s="410" t="e">
        <f>IF(M563="nio",0,IF(M563&gt;0,M563*K563/S563,0))*VLOOKUP(B563,'2-Kosten per locatie'!$A$14:$C$61,3,FALSE)</f>
        <v>#DIV/0!</v>
      </c>
      <c r="Q563" s="410" t="e">
        <f>IF(N563&gt;0,N563*K563/T563,0)*VLOOKUP(B563,'2-Kosten per locatie'!$A$14:$C$61,3,FALSE)</f>
        <v>#DIV/0!</v>
      </c>
      <c r="R563" s="410" t="e">
        <f>IF(O563&gt;0,O563*K563/U563,0)*VLOOKUP(B563,'2-Kosten per locatie'!$A$14:$C$61,3,FALSE)</f>
        <v>#DIV/0!</v>
      </c>
      <c r="S563" s="411">
        <f>IF(M563="nio",0,IF(M563&gt;0,VLOOKUP(I563,'3-Productie normen'!A:P,VLOOKUP(M563,'3-Productie normen'!$B$38:$C$48,2,FALSE),FALSE)))</f>
        <v>0</v>
      </c>
      <c r="T563" s="411">
        <f t="shared" si="43"/>
        <v>0</v>
      </c>
      <c r="U563" s="411">
        <f t="shared" si="46"/>
        <v>0</v>
      </c>
      <c r="V563" s="412"/>
      <c r="X563" s="413">
        <f t="shared" si="44"/>
        <v>5220</v>
      </c>
    </row>
    <row r="564" spans="1:24" ht="14.1" customHeight="1">
      <c r="A564" s="70">
        <f t="shared" si="45"/>
        <v>564</v>
      </c>
      <c r="B564" s="354" t="s">
        <v>71</v>
      </c>
      <c r="C564" s="354" t="s">
        <v>512</v>
      </c>
      <c r="D564" s="354" t="s">
        <v>165</v>
      </c>
      <c r="E564" s="404" t="s">
        <v>444</v>
      </c>
      <c r="F564" s="405" t="s">
        <v>273</v>
      </c>
      <c r="G564" s="406" t="s">
        <v>264</v>
      </c>
      <c r="H564" s="420" t="s">
        <v>443</v>
      </c>
      <c r="I564" s="420" t="s">
        <v>111</v>
      </c>
      <c r="J564" s="399" t="s">
        <v>184</v>
      </c>
      <c r="K564" s="414">
        <v>30</v>
      </c>
      <c r="L564" s="408">
        <f t="shared" si="47"/>
        <v>522</v>
      </c>
      <c r="M564" s="409">
        <v>230</v>
      </c>
      <c r="N564" s="306">
        <v>200</v>
      </c>
      <c r="O564" s="409">
        <v>92</v>
      </c>
      <c r="P564" s="410" t="e">
        <f>IF(M564="nio",0,IF(M564&gt;0,M564*K564/S564,0))*VLOOKUP(B564,'2-Kosten per locatie'!$A$14:$C$61,3,FALSE)</f>
        <v>#DIV/0!</v>
      </c>
      <c r="Q564" s="410" t="e">
        <f>IF(N564&gt;0,N564*K564/T564,0)*VLOOKUP(B564,'2-Kosten per locatie'!$A$14:$C$61,3,FALSE)</f>
        <v>#DIV/0!</v>
      </c>
      <c r="R564" s="410" t="e">
        <f>IF(O564&gt;0,O564*K564/U564,0)*VLOOKUP(B564,'2-Kosten per locatie'!$A$14:$C$61,3,FALSE)</f>
        <v>#DIV/0!</v>
      </c>
      <c r="S564" s="411">
        <f>IF(M564="nio",0,IF(M564&gt;0,VLOOKUP(I564,'3-Productie normen'!A:P,VLOOKUP(M564,'3-Productie normen'!$B$38:$C$48,2,FALSE),FALSE)))</f>
        <v>0</v>
      </c>
      <c r="T564" s="411">
        <f t="shared" si="43"/>
        <v>0</v>
      </c>
      <c r="U564" s="411">
        <f t="shared" si="46"/>
        <v>0</v>
      </c>
      <c r="V564" s="412"/>
      <c r="X564" s="413">
        <f t="shared" si="44"/>
        <v>15660</v>
      </c>
    </row>
    <row r="565" spans="1:24" ht="14.1" customHeight="1">
      <c r="A565" s="70">
        <f t="shared" si="45"/>
        <v>565</v>
      </c>
      <c r="B565" s="354" t="s">
        <v>71</v>
      </c>
      <c r="C565" s="354" t="s">
        <v>512</v>
      </c>
      <c r="D565" s="354" t="s">
        <v>165</v>
      </c>
      <c r="E565" s="404" t="s">
        <v>444</v>
      </c>
      <c r="F565" s="405" t="s">
        <v>273</v>
      </c>
      <c r="G565" s="406" t="s">
        <v>265</v>
      </c>
      <c r="H565" s="420" t="s">
        <v>443</v>
      </c>
      <c r="I565" s="420" t="s">
        <v>111</v>
      </c>
      <c r="J565" s="399" t="s">
        <v>184</v>
      </c>
      <c r="K565" s="414">
        <v>30</v>
      </c>
      <c r="L565" s="408">
        <f t="shared" si="47"/>
        <v>522</v>
      </c>
      <c r="M565" s="409">
        <v>230</v>
      </c>
      <c r="N565" s="306">
        <v>200</v>
      </c>
      <c r="O565" s="409">
        <v>92</v>
      </c>
      <c r="P565" s="410" t="e">
        <f>IF(M565="nio",0,IF(M565&gt;0,M565*K565/S565,0))*VLOOKUP(B565,'2-Kosten per locatie'!$A$14:$C$61,3,FALSE)</f>
        <v>#DIV/0!</v>
      </c>
      <c r="Q565" s="410" t="e">
        <f>IF(N565&gt;0,N565*K565/T565,0)*VLOOKUP(B565,'2-Kosten per locatie'!$A$14:$C$61,3,FALSE)</f>
        <v>#DIV/0!</v>
      </c>
      <c r="R565" s="410" t="e">
        <f>IF(O565&gt;0,O565*K565/U565,0)*VLOOKUP(B565,'2-Kosten per locatie'!$A$14:$C$61,3,FALSE)</f>
        <v>#DIV/0!</v>
      </c>
      <c r="S565" s="411">
        <f>IF(M565="nio",0,IF(M565&gt;0,VLOOKUP(I565,'3-Productie normen'!A:P,VLOOKUP(M565,'3-Productie normen'!$B$38:$C$48,2,FALSE),FALSE)))</f>
        <v>0</v>
      </c>
      <c r="T565" s="411">
        <f t="shared" si="43"/>
        <v>0</v>
      </c>
      <c r="U565" s="411">
        <f t="shared" si="46"/>
        <v>0</v>
      </c>
      <c r="V565" s="412"/>
      <c r="X565" s="413">
        <f t="shared" si="44"/>
        <v>15660</v>
      </c>
    </row>
    <row r="566" spans="1:24" ht="14.1" customHeight="1">
      <c r="A566" s="70">
        <f t="shared" si="45"/>
        <v>566</v>
      </c>
      <c r="B566" s="354" t="s">
        <v>71</v>
      </c>
      <c r="C566" s="354" t="s">
        <v>512</v>
      </c>
      <c r="D566" s="354" t="s">
        <v>165</v>
      </c>
      <c r="E566" s="404" t="s">
        <v>444</v>
      </c>
      <c r="F566" s="405" t="s">
        <v>273</v>
      </c>
      <c r="G566" s="406" t="s">
        <v>266</v>
      </c>
      <c r="H566" s="420" t="s">
        <v>513</v>
      </c>
      <c r="I566" s="420" t="s">
        <v>115</v>
      </c>
      <c r="J566" s="399" t="s">
        <v>184</v>
      </c>
      <c r="K566" s="414">
        <v>12</v>
      </c>
      <c r="L566" s="408">
        <f t="shared" si="47"/>
        <v>522</v>
      </c>
      <c r="M566" s="409">
        <v>230</v>
      </c>
      <c r="N566" s="306">
        <v>200</v>
      </c>
      <c r="O566" s="409">
        <v>92</v>
      </c>
      <c r="P566" s="410" t="e">
        <f>IF(M566="nio",0,IF(M566&gt;0,M566*K566/S566,0))*VLOOKUP(B566,'2-Kosten per locatie'!$A$14:$C$61,3,FALSE)</f>
        <v>#DIV/0!</v>
      </c>
      <c r="Q566" s="410" t="e">
        <f>IF(N566&gt;0,N566*K566/T566,0)*VLOOKUP(B566,'2-Kosten per locatie'!$A$14:$C$61,3,FALSE)</f>
        <v>#DIV/0!</v>
      </c>
      <c r="R566" s="410" t="e">
        <f>IF(O566&gt;0,O566*K566/U566,0)*VLOOKUP(B566,'2-Kosten per locatie'!$A$14:$C$61,3,FALSE)</f>
        <v>#DIV/0!</v>
      </c>
      <c r="S566" s="411">
        <f>IF(M566="nio",0,IF(M566&gt;0,VLOOKUP(I566,'3-Productie normen'!A:P,VLOOKUP(M566,'3-Productie normen'!$B$38:$C$48,2,FALSE),FALSE)))</f>
        <v>0</v>
      </c>
      <c r="T566" s="411">
        <f t="shared" si="43"/>
        <v>0</v>
      </c>
      <c r="U566" s="411">
        <f t="shared" si="46"/>
        <v>0</v>
      </c>
      <c r="V566" s="412"/>
      <c r="X566" s="413">
        <f t="shared" si="44"/>
        <v>6264</v>
      </c>
    </row>
    <row r="567" spans="1:24" ht="14.1" customHeight="1">
      <c r="A567" s="70">
        <f t="shared" si="45"/>
        <v>567</v>
      </c>
      <c r="B567" s="354" t="s">
        <v>71</v>
      </c>
      <c r="C567" s="354" t="s">
        <v>512</v>
      </c>
      <c r="D567" s="354" t="s">
        <v>165</v>
      </c>
      <c r="E567" s="404" t="s">
        <v>444</v>
      </c>
      <c r="F567" s="405" t="s">
        <v>273</v>
      </c>
      <c r="G567" s="406" t="s">
        <v>268</v>
      </c>
      <c r="H567" s="420" t="s">
        <v>220</v>
      </c>
      <c r="I567" s="420" t="s">
        <v>108</v>
      </c>
      <c r="J567" s="399" t="s">
        <v>184</v>
      </c>
      <c r="K567" s="414">
        <v>13</v>
      </c>
      <c r="L567" s="408">
        <f t="shared" si="47"/>
        <v>522</v>
      </c>
      <c r="M567" s="409">
        <v>230</v>
      </c>
      <c r="N567" s="306">
        <v>200</v>
      </c>
      <c r="O567" s="409">
        <v>92</v>
      </c>
      <c r="P567" s="410" t="e">
        <f>IF(M567="nio",0,IF(M567&gt;0,M567*K567/S567,0))*VLOOKUP(B567,'2-Kosten per locatie'!$A$14:$C$61,3,FALSE)</f>
        <v>#DIV/0!</v>
      </c>
      <c r="Q567" s="410" t="e">
        <f>IF(N567&gt;0,N567*K567/T567,0)*VLOOKUP(B567,'2-Kosten per locatie'!$A$14:$C$61,3,FALSE)</f>
        <v>#DIV/0!</v>
      </c>
      <c r="R567" s="410" t="e">
        <f>IF(O567&gt;0,O567*K567/U567,0)*VLOOKUP(B567,'2-Kosten per locatie'!$A$14:$C$61,3,FALSE)</f>
        <v>#DIV/0!</v>
      </c>
      <c r="S567" s="411">
        <f>IF(M567="nio",0,IF(M567&gt;0,VLOOKUP(I567,'3-Productie normen'!A:P,VLOOKUP(M567,'3-Productie normen'!$B$38:$C$48,2,FALSE),FALSE)))</f>
        <v>0</v>
      </c>
      <c r="T567" s="411">
        <f t="shared" si="43"/>
        <v>0</v>
      </c>
      <c r="U567" s="411">
        <f t="shared" si="46"/>
        <v>0</v>
      </c>
      <c r="V567" s="412"/>
      <c r="X567" s="413">
        <f t="shared" si="44"/>
        <v>6786</v>
      </c>
    </row>
    <row r="568" spans="1:24" ht="14.1" customHeight="1">
      <c r="A568" s="70">
        <f t="shared" si="45"/>
        <v>568</v>
      </c>
      <c r="B568" s="354" t="s">
        <v>71</v>
      </c>
      <c r="C568" s="354" t="s">
        <v>512</v>
      </c>
      <c r="D568" s="354" t="s">
        <v>165</v>
      </c>
      <c r="E568" s="404" t="s">
        <v>444</v>
      </c>
      <c r="F568" s="405" t="s">
        <v>273</v>
      </c>
      <c r="G568" s="406" t="s">
        <v>269</v>
      </c>
      <c r="H568" s="420" t="s">
        <v>443</v>
      </c>
      <c r="I568" s="420" t="s">
        <v>111</v>
      </c>
      <c r="J568" s="399" t="s">
        <v>184</v>
      </c>
      <c r="K568" s="414">
        <v>27</v>
      </c>
      <c r="L568" s="408">
        <f t="shared" si="47"/>
        <v>522</v>
      </c>
      <c r="M568" s="409">
        <v>230</v>
      </c>
      <c r="N568" s="306">
        <v>200</v>
      </c>
      <c r="O568" s="409">
        <v>92</v>
      </c>
      <c r="P568" s="410" t="e">
        <f>IF(M568="nio",0,IF(M568&gt;0,M568*K568/S568,0))*VLOOKUP(B568,'2-Kosten per locatie'!$A$14:$C$61,3,FALSE)</f>
        <v>#DIV/0!</v>
      </c>
      <c r="Q568" s="410" t="e">
        <f>IF(N568&gt;0,N568*K568/T568,0)*VLOOKUP(B568,'2-Kosten per locatie'!$A$14:$C$61,3,FALSE)</f>
        <v>#DIV/0!</v>
      </c>
      <c r="R568" s="410" t="e">
        <f>IF(O568&gt;0,O568*K568/U568,0)*VLOOKUP(B568,'2-Kosten per locatie'!$A$14:$C$61,3,FALSE)</f>
        <v>#DIV/0!</v>
      </c>
      <c r="S568" s="411">
        <f>IF(M568="nio",0,IF(M568&gt;0,VLOOKUP(I568,'3-Productie normen'!A:P,VLOOKUP(M568,'3-Productie normen'!$B$38:$C$48,2,FALSE),FALSE)))</f>
        <v>0</v>
      </c>
      <c r="T568" s="411">
        <f t="shared" si="43"/>
        <v>0</v>
      </c>
      <c r="U568" s="411">
        <f t="shared" si="46"/>
        <v>0</v>
      </c>
      <c r="V568" s="412"/>
      <c r="X568" s="413">
        <f t="shared" si="44"/>
        <v>14094</v>
      </c>
    </row>
    <row r="569" spans="1:24" ht="14.1" customHeight="1">
      <c r="A569" s="70">
        <f t="shared" si="45"/>
        <v>569</v>
      </c>
      <c r="B569" s="354" t="s">
        <v>71</v>
      </c>
      <c r="C569" s="354" t="s">
        <v>512</v>
      </c>
      <c r="D569" s="354" t="s">
        <v>165</v>
      </c>
      <c r="E569" s="404" t="s">
        <v>444</v>
      </c>
      <c r="F569" s="405" t="s">
        <v>273</v>
      </c>
      <c r="G569" s="406" t="s">
        <v>270</v>
      </c>
      <c r="H569" s="420" t="s">
        <v>467</v>
      </c>
      <c r="I569" s="383" t="s">
        <v>113</v>
      </c>
      <c r="J569" s="399" t="s">
        <v>514</v>
      </c>
      <c r="K569" s="414">
        <v>42</v>
      </c>
      <c r="L569" s="408">
        <f t="shared" si="47"/>
        <v>52</v>
      </c>
      <c r="M569" s="409">
        <v>52</v>
      </c>
      <c r="N569" s="306"/>
      <c r="O569" s="409"/>
      <c r="P569" s="410" t="e">
        <f>IF(M569="nio",0,IF(M569&gt;0,M569*K569/S569,0))*VLOOKUP(B569,'2-Kosten per locatie'!$A$14:$C$61,3,FALSE)</f>
        <v>#DIV/0!</v>
      </c>
      <c r="Q569" s="410">
        <f>IF(N569&gt;0,N569*K569/T569,0)*VLOOKUP(B569,'2-Kosten per locatie'!$A$14:$C$61,3,FALSE)</f>
        <v>0</v>
      </c>
      <c r="R569" s="410">
        <f>IF(O569&gt;0,O569*K569/U569,0)*VLOOKUP(B569,'2-Kosten per locatie'!$A$14:$C$61,3,FALSE)</f>
        <v>0</v>
      </c>
      <c r="S569" s="411">
        <f>IF(M569="nio",0,IF(M569&gt;0,VLOOKUP(I569,'3-Productie normen'!A:P,VLOOKUP(M569,'3-Productie normen'!$B$38:$C$48,2,FALSE),FALSE)))</f>
        <v>0</v>
      </c>
      <c r="T569" s="411">
        <f t="shared" si="43"/>
        <v>0</v>
      </c>
      <c r="U569" s="411">
        <f t="shared" si="46"/>
        <v>0</v>
      </c>
      <c r="V569" s="412"/>
      <c r="X569" s="413">
        <f t="shared" si="44"/>
        <v>2184</v>
      </c>
    </row>
    <row r="570" spans="1:24" ht="14.1" customHeight="1">
      <c r="A570" s="70">
        <f t="shared" si="45"/>
        <v>570</v>
      </c>
      <c r="B570" s="354" t="s">
        <v>71</v>
      </c>
      <c r="C570" s="354" t="s">
        <v>512</v>
      </c>
      <c r="D570" s="354" t="s">
        <v>165</v>
      </c>
      <c r="E570" s="404" t="s">
        <v>444</v>
      </c>
      <c r="F570" s="405" t="s">
        <v>273</v>
      </c>
      <c r="G570" s="406" t="s">
        <v>271</v>
      </c>
      <c r="H570" s="420" t="s">
        <v>441</v>
      </c>
      <c r="I570" s="420" t="s">
        <v>114</v>
      </c>
      <c r="J570" s="399" t="s">
        <v>515</v>
      </c>
      <c r="K570" s="414">
        <v>714</v>
      </c>
      <c r="L570" s="408">
        <f t="shared" si="47"/>
        <v>522</v>
      </c>
      <c r="M570" s="409">
        <v>230</v>
      </c>
      <c r="N570" s="306">
        <v>200</v>
      </c>
      <c r="O570" s="409">
        <v>92</v>
      </c>
      <c r="P570" s="410" t="e">
        <f>IF(M570="nio",0,IF(M570&gt;0,M570*K570/S570,0))*VLOOKUP(B570,'2-Kosten per locatie'!$A$14:$C$61,3,FALSE)</f>
        <v>#DIV/0!</v>
      </c>
      <c r="Q570" s="410" t="e">
        <f>IF(N570&gt;0,N570*K570/T570,0)*VLOOKUP(B570,'2-Kosten per locatie'!$A$14:$C$61,3,FALSE)</f>
        <v>#DIV/0!</v>
      </c>
      <c r="R570" s="410" t="e">
        <f>IF(O570&gt;0,O570*K570/U570,0)*VLOOKUP(B570,'2-Kosten per locatie'!$A$14:$C$61,3,FALSE)</f>
        <v>#DIV/0!</v>
      </c>
      <c r="S570" s="411">
        <f>IF(M570="nio",0,IF(M570&gt;0,VLOOKUP(I570,'3-Productie normen'!A:P,VLOOKUP(M570,'3-Productie normen'!$B$38:$C$48,2,FALSE),FALSE)))</f>
        <v>0</v>
      </c>
      <c r="T570" s="411">
        <f t="shared" si="43"/>
        <v>0</v>
      </c>
      <c r="U570" s="411">
        <f t="shared" si="46"/>
        <v>0</v>
      </c>
      <c r="V570" s="412"/>
      <c r="X570" s="413">
        <f t="shared" si="44"/>
        <v>372708</v>
      </c>
    </row>
    <row r="571" spans="1:24" ht="14.1" customHeight="1">
      <c r="A571" s="70">
        <f t="shared" si="45"/>
        <v>571</v>
      </c>
      <c r="B571" s="354" t="s">
        <v>71</v>
      </c>
      <c r="C571" s="354" t="s">
        <v>512</v>
      </c>
      <c r="D571" s="354" t="s">
        <v>165</v>
      </c>
      <c r="E571" s="404" t="s">
        <v>444</v>
      </c>
      <c r="F571" s="405" t="s">
        <v>273</v>
      </c>
      <c r="G571" s="406" t="s">
        <v>272</v>
      </c>
      <c r="H571" s="420" t="s">
        <v>516</v>
      </c>
      <c r="I571" s="383" t="s">
        <v>113</v>
      </c>
      <c r="J571" s="399" t="s">
        <v>514</v>
      </c>
      <c r="K571" s="414">
        <v>34</v>
      </c>
      <c r="L571" s="408">
        <f t="shared" si="47"/>
        <v>52</v>
      </c>
      <c r="M571" s="409">
        <v>52</v>
      </c>
      <c r="N571" s="306"/>
      <c r="O571" s="409"/>
      <c r="P571" s="410" t="e">
        <f>IF(M571="nio",0,IF(M571&gt;0,M571*K571/S571,0))*VLOOKUP(B571,'2-Kosten per locatie'!$A$14:$C$61,3,FALSE)</f>
        <v>#DIV/0!</v>
      </c>
      <c r="Q571" s="410">
        <f>IF(N571&gt;0,N571*K571/T571,0)*VLOOKUP(B571,'2-Kosten per locatie'!$A$14:$C$61,3,FALSE)</f>
        <v>0</v>
      </c>
      <c r="R571" s="410">
        <f>IF(O571&gt;0,O571*K571/U571,0)*VLOOKUP(B571,'2-Kosten per locatie'!$A$14:$C$61,3,FALSE)</f>
        <v>0</v>
      </c>
      <c r="S571" s="411">
        <f>IF(M571="nio",0,IF(M571&gt;0,VLOOKUP(I571,'3-Productie normen'!A:P,VLOOKUP(M571,'3-Productie normen'!$B$38:$C$48,2,FALSE),FALSE)))</f>
        <v>0</v>
      </c>
      <c r="T571" s="411">
        <f t="shared" si="43"/>
        <v>0</v>
      </c>
      <c r="U571" s="411">
        <f t="shared" si="46"/>
        <v>0</v>
      </c>
      <c r="V571" s="412"/>
      <c r="X571" s="413">
        <f t="shared" si="44"/>
        <v>1768</v>
      </c>
    </row>
    <row r="572" spans="1:24" ht="14.1" customHeight="1">
      <c r="A572" s="70">
        <f t="shared" si="45"/>
        <v>572</v>
      </c>
      <c r="B572" s="354" t="s">
        <v>71</v>
      </c>
      <c r="C572" s="354" t="s">
        <v>512</v>
      </c>
      <c r="D572" s="354" t="s">
        <v>165</v>
      </c>
      <c r="E572" s="404" t="s">
        <v>444</v>
      </c>
      <c r="F572" s="405" t="s">
        <v>273</v>
      </c>
      <c r="G572" s="406" t="s">
        <v>274</v>
      </c>
      <c r="H572" s="420" t="s">
        <v>516</v>
      </c>
      <c r="I572" s="383" t="s">
        <v>113</v>
      </c>
      <c r="J572" s="399" t="s">
        <v>514</v>
      </c>
      <c r="K572" s="414">
        <v>40</v>
      </c>
      <c r="L572" s="408">
        <f t="shared" si="47"/>
        <v>52</v>
      </c>
      <c r="M572" s="409">
        <v>52</v>
      </c>
      <c r="N572" s="306"/>
      <c r="O572" s="409"/>
      <c r="P572" s="410" t="e">
        <f>IF(M572="nio",0,IF(M572&gt;0,M572*K572/S572,0))*VLOOKUP(B572,'2-Kosten per locatie'!$A$14:$C$61,3,FALSE)</f>
        <v>#DIV/0!</v>
      </c>
      <c r="Q572" s="410">
        <f>IF(N572&gt;0,N572*K572/T572,0)*VLOOKUP(B572,'2-Kosten per locatie'!$A$14:$C$61,3,FALSE)</f>
        <v>0</v>
      </c>
      <c r="R572" s="410">
        <f>IF(O572&gt;0,O572*K572/U572,0)*VLOOKUP(B572,'2-Kosten per locatie'!$A$14:$C$61,3,FALSE)</f>
        <v>0</v>
      </c>
      <c r="S572" s="411">
        <f>IF(M572="nio",0,IF(M572&gt;0,VLOOKUP(I572,'3-Productie normen'!A:P,VLOOKUP(M572,'3-Productie normen'!$B$38:$C$48,2,FALSE),FALSE)))</f>
        <v>0</v>
      </c>
      <c r="T572" s="411">
        <f t="shared" si="43"/>
        <v>0</v>
      </c>
      <c r="U572" s="411">
        <f t="shared" si="46"/>
        <v>0</v>
      </c>
      <c r="V572" s="412"/>
      <c r="X572" s="413">
        <f t="shared" si="44"/>
        <v>2080</v>
      </c>
    </row>
    <row r="573" spans="1:24" ht="14.1" customHeight="1">
      <c r="A573" s="70">
        <f t="shared" si="45"/>
        <v>573</v>
      </c>
      <c r="B573" s="354" t="s">
        <v>72</v>
      </c>
      <c r="C573" s="354" t="s">
        <v>437</v>
      </c>
      <c r="D573" s="354" t="s">
        <v>165</v>
      </c>
      <c r="E573" s="404" t="s">
        <v>438</v>
      </c>
      <c r="F573" s="405" t="s">
        <v>495</v>
      </c>
      <c r="G573" s="406" t="s">
        <v>191</v>
      </c>
      <c r="H573" s="420" t="s">
        <v>220</v>
      </c>
      <c r="I573" s="420" t="s">
        <v>108</v>
      </c>
      <c r="J573" s="399" t="s">
        <v>184</v>
      </c>
      <c r="K573" s="414">
        <v>15</v>
      </c>
      <c r="L573" s="408">
        <f t="shared" si="47"/>
        <v>276</v>
      </c>
      <c r="M573" s="409">
        <v>230</v>
      </c>
      <c r="N573" s="306"/>
      <c r="O573" s="409">
        <v>46</v>
      </c>
      <c r="P573" s="410" t="e">
        <f>IF(M573="nio",0,IF(M573&gt;0,M573*K573/S573,0))*VLOOKUP(B573,'2-Kosten per locatie'!$A$14:$C$61,3,FALSE)</f>
        <v>#DIV/0!</v>
      </c>
      <c r="Q573" s="410">
        <f>IF(N573&gt;0,N573*K573/T573,0)*VLOOKUP(B573,'2-Kosten per locatie'!$A$14:$C$61,3,FALSE)</f>
        <v>0</v>
      </c>
      <c r="R573" s="410" t="e">
        <f>IF(O573&gt;0,O573*K573/U573,0)*VLOOKUP(B573,'2-Kosten per locatie'!$A$14:$C$61,3,FALSE)</f>
        <v>#DIV/0!</v>
      </c>
      <c r="S573" s="411">
        <f>IF(M573="nio",0,IF(M573&gt;0,VLOOKUP(I573,'3-Productie normen'!A:P,VLOOKUP(M573,'3-Productie normen'!$B$38:$C$48,2,FALSE),FALSE)))</f>
        <v>0</v>
      </c>
      <c r="T573" s="411">
        <f t="shared" si="43"/>
        <v>0</v>
      </c>
      <c r="U573" s="411">
        <f t="shared" si="46"/>
        <v>0</v>
      </c>
      <c r="V573" s="412"/>
      <c r="X573" s="413">
        <f t="shared" si="44"/>
        <v>4140</v>
      </c>
    </row>
    <row r="574" spans="1:24" ht="14.1" customHeight="1">
      <c r="A574" s="70">
        <f t="shared" si="45"/>
        <v>574</v>
      </c>
      <c r="B574" s="354" t="s">
        <v>72</v>
      </c>
      <c r="C574" s="354" t="s">
        <v>437</v>
      </c>
      <c r="D574" s="354" t="s">
        <v>165</v>
      </c>
      <c r="E574" s="404" t="s">
        <v>438</v>
      </c>
      <c r="F574" s="405" t="s">
        <v>495</v>
      </c>
      <c r="G574" s="406" t="s">
        <v>191</v>
      </c>
      <c r="H574" s="420" t="s">
        <v>220</v>
      </c>
      <c r="I574" s="420" t="s">
        <v>108</v>
      </c>
      <c r="J574" s="399" t="s">
        <v>169</v>
      </c>
      <c r="K574" s="414">
        <v>5</v>
      </c>
      <c r="L574" s="408">
        <f t="shared" si="47"/>
        <v>276</v>
      </c>
      <c r="M574" s="409">
        <v>230</v>
      </c>
      <c r="N574" s="306"/>
      <c r="O574" s="409">
        <v>46</v>
      </c>
      <c r="P574" s="410" t="e">
        <f>IF(M574="nio",0,IF(M574&gt;0,M574*K574/S574,0))*VLOOKUP(B574,'2-Kosten per locatie'!$A$14:$C$61,3,FALSE)</f>
        <v>#DIV/0!</v>
      </c>
      <c r="Q574" s="410">
        <f>IF(N574&gt;0,N574*K574/T574,0)*VLOOKUP(B574,'2-Kosten per locatie'!$A$14:$C$61,3,FALSE)</f>
        <v>0</v>
      </c>
      <c r="R574" s="410" t="e">
        <f>IF(O574&gt;0,O574*K574/U574,0)*VLOOKUP(B574,'2-Kosten per locatie'!$A$14:$C$61,3,FALSE)</f>
        <v>#DIV/0!</v>
      </c>
      <c r="S574" s="411">
        <f>IF(M574="nio",0,IF(M574&gt;0,VLOOKUP(I574,'3-Productie normen'!A:P,VLOOKUP(M574,'3-Productie normen'!$B$38:$C$48,2,FALSE),FALSE)))</f>
        <v>0</v>
      </c>
      <c r="T574" s="411">
        <f t="shared" si="43"/>
        <v>0</v>
      </c>
      <c r="U574" s="411">
        <f t="shared" si="46"/>
        <v>0</v>
      </c>
      <c r="V574" s="412"/>
      <c r="X574" s="413">
        <f t="shared" si="44"/>
        <v>1380</v>
      </c>
    </row>
    <row r="575" spans="1:24" ht="14.1" customHeight="1">
      <c r="A575" s="70">
        <f t="shared" si="45"/>
        <v>575</v>
      </c>
      <c r="B575" s="354" t="s">
        <v>72</v>
      </c>
      <c r="C575" s="354" t="s">
        <v>437</v>
      </c>
      <c r="D575" s="354" t="s">
        <v>165</v>
      </c>
      <c r="E575" s="404" t="s">
        <v>438</v>
      </c>
      <c r="F575" s="405" t="s">
        <v>495</v>
      </c>
      <c r="G575" s="406" t="s">
        <v>194</v>
      </c>
      <c r="H575" s="420" t="s">
        <v>517</v>
      </c>
      <c r="I575" s="420" t="s">
        <v>111</v>
      </c>
      <c r="J575" s="399" t="s">
        <v>184</v>
      </c>
      <c r="K575" s="414">
        <v>28</v>
      </c>
      <c r="L575" s="408">
        <f t="shared" si="47"/>
        <v>276</v>
      </c>
      <c r="M575" s="409">
        <v>230</v>
      </c>
      <c r="N575" s="306"/>
      <c r="O575" s="409">
        <v>46</v>
      </c>
      <c r="P575" s="410" t="e">
        <f>IF(M575="nio",0,IF(M575&gt;0,M575*K575/S575,0))*VLOOKUP(B575,'2-Kosten per locatie'!$A$14:$C$61,3,FALSE)</f>
        <v>#DIV/0!</v>
      </c>
      <c r="Q575" s="410">
        <f>IF(N575&gt;0,N575*K575/T575,0)*VLOOKUP(B575,'2-Kosten per locatie'!$A$14:$C$61,3,FALSE)</f>
        <v>0</v>
      </c>
      <c r="R575" s="410" t="e">
        <f>IF(O575&gt;0,O575*K575/U575,0)*VLOOKUP(B575,'2-Kosten per locatie'!$A$14:$C$61,3,FALSE)</f>
        <v>#DIV/0!</v>
      </c>
      <c r="S575" s="411">
        <f>IF(M575="nio",0,IF(M575&gt;0,VLOOKUP(I575,'3-Productie normen'!A:P,VLOOKUP(M575,'3-Productie normen'!$B$38:$C$48,2,FALSE),FALSE)))</f>
        <v>0</v>
      </c>
      <c r="T575" s="411">
        <f t="shared" si="43"/>
        <v>0</v>
      </c>
      <c r="U575" s="411">
        <f t="shared" si="46"/>
        <v>0</v>
      </c>
      <c r="V575" s="412"/>
      <c r="X575" s="413">
        <f t="shared" si="44"/>
        <v>7728</v>
      </c>
    </row>
    <row r="576" spans="1:24" ht="14.1" customHeight="1">
      <c r="A576" s="70">
        <f t="shared" si="45"/>
        <v>576</v>
      </c>
      <c r="B576" s="354" t="s">
        <v>72</v>
      </c>
      <c r="C576" s="354" t="s">
        <v>437</v>
      </c>
      <c r="D576" s="354" t="s">
        <v>165</v>
      </c>
      <c r="E576" s="404" t="s">
        <v>438</v>
      </c>
      <c r="F576" s="405" t="s">
        <v>495</v>
      </c>
      <c r="G576" s="406" t="s">
        <v>196</v>
      </c>
      <c r="H576" s="420" t="s">
        <v>467</v>
      </c>
      <c r="I576" s="383" t="s">
        <v>113</v>
      </c>
      <c r="J576" s="399" t="s">
        <v>445</v>
      </c>
      <c r="K576" s="414">
        <v>46</v>
      </c>
      <c r="L576" s="408">
        <f t="shared" si="47"/>
        <v>276</v>
      </c>
      <c r="M576" s="409">
        <v>230</v>
      </c>
      <c r="N576" s="306"/>
      <c r="O576" s="409">
        <v>46</v>
      </c>
      <c r="P576" s="410" t="e">
        <f>IF(M576="nio",0,IF(M576&gt;0,M576*K576/S576,0))*VLOOKUP(B576,'2-Kosten per locatie'!$A$14:$C$61,3,FALSE)</f>
        <v>#DIV/0!</v>
      </c>
      <c r="Q576" s="410">
        <f>IF(N576&gt;0,N576*K576/T576,0)*VLOOKUP(B576,'2-Kosten per locatie'!$A$14:$C$61,3,FALSE)</f>
        <v>0</v>
      </c>
      <c r="R576" s="410" t="e">
        <f>IF(O576&gt;0,O576*K576/U576,0)*VLOOKUP(B576,'2-Kosten per locatie'!$A$14:$C$61,3,FALSE)</f>
        <v>#DIV/0!</v>
      </c>
      <c r="S576" s="411">
        <f>IF(M576="nio",0,IF(M576&gt;0,VLOOKUP(I576,'3-Productie normen'!A:P,VLOOKUP(M576,'3-Productie normen'!$B$38:$C$48,2,FALSE),FALSE)))</f>
        <v>0</v>
      </c>
      <c r="T576" s="411">
        <f t="shared" si="43"/>
        <v>0</v>
      </c>
      <c r="U576" s="411">
        <f t="shared" si="46"/>
        <v>0</v>
      </c>
      <c r="V576" s="412"/>
      <c r="X576" s="413">
        <f t="shared" si="44"/>
        <v>12696</v>
      </c>
    </row>
    <row r="577" spans="1:24" ht="14.1" customHeight="1">
      <c r="A577" s="70">
        <f t="shared" si="45"/>
        <v>577</v>
      </c>
      <c r="B577" s="354" t="s">
        <v>72</v>
      </c>
      <c r="C577" s="354" t="s">
        <v>437</v>
      </c>
      <c r="D577" s="354" t="s">
        <v>165</v>
      </c>
      <c r="E577" s="404" t="s">
        <v>438</v>
      </c>
      <c r="F577" s="405" t="s">
        <v>495</v>
      </c>
      <c r="G577" s="406" t="s">
        <v>198</v>
      </c>
      <c r="H577" s="420" t="s">
        <v>441</v>
      </c>
      <c r="I577" s="420" t="s">
        <v>114</v>
      </c>
      <c r="J577" s="399" t="s">
        <v>445</v>
      </c>
      <c r="K577" s="414">
        <v>292</v>
      </c>
      <c r="L577" s="408">
        <f t="shared" si="47"/>
        <v>276</v>
      </c>
      <c r="M577" s="409">
        <v>230</v>
      </c>
      <c r="N577" s="306"/>
      <c r="O577" s="409">
        <v>46</v>
      </c>
      <c r="P577" s="410" t="e">
        <f>IF(M577="nio",0,IF(M577&gt;0,M577*K577/S577,0))*VLOOKUP(B577,'2-Kosten per locatie'!$A$14:$C$61,3,FALSE)</f>
        <v>#DIV/0!</v>
      </c>
      <c r="Q577" s="410">
        <f>IF(N577&gt;0,N577*K577/T577,0)*VLOOKUP(B577,'2-Kosten per locatie'!$A$14:$C$61,3,FALSE)</f>
        <v>0</v>
      </c>
      <c r="R577" s="410" t="e">
        <f>IF(O577&gt;0,O577*K577/U577,0)*VLOOKUP(B577,'2-Kosten per locatie'!$A$14:$C$61,3,FALSE)</f>
        <v>#DIV/0!</v>
      </c>
      <c r="S577" s="411">
        <f>IF(M577="nio",0,IF(M577&gt;0,VLOOKUP(I577,'3-Productie normen'!A:P,VLOOKUP(M577,'3-Productie normen'!$B$38:$C$48,2,FALSE),FALSE)))</f>
        <v>0</v>
      </c>
      <c r="T577" s="411">
        <f t="shared" si="43"/>
        <v>0</v>
      </c>
      <c r="U577" s="411">
        <f t="shared" si="46"/>
        <v>0</v>
      </c>
      <c r="V577" s="412"/>
      <c r="X577" s="413">
        <f t="shared" si="44"/>
        <v>80592</v>
      </c>
    </row>
    <row r="578" spans="1:24" ht="14.1" customHeight="1">
      <c r="A578" s="70">
        <f t="shared" si="45"/>
        <v>578</v>
      </c>
      <c r="B578" s="354" t="s">
        <v>72</v>
      </c>
      <c r="C578" s="354" t="s">
        <v>437</v>
      </c>
      <c r="D578" s="354" t="s">
        <v>165</v>
      </c>
      <c r="E578" s="404" t="s">
        <v>438</v>
      </c>
      <c r="F578" s="405" t="s">
        <v>495</v>
      </c>
      <c r="G578" s="406" t="s">
        <v>199</v>
      </c>
      <c r="H578" s="420" t="s">
        <v>517</v>
      </c>
      <c r="I578" s="420" t="s">
        <v>111</v>
      </c>
      <c r="J578" s="399" t="s">
        <v>184</v>
      </c>
      <c r="K578" s="414">
        <v>28</v>
      </c>
      <c r="L578" s="408">
        <f t="shared" si="47"/>
        <v>276</v>
      </c>
      <c r="M578" s="409">
        <v>230</v>
      </c>
      <c r="N578" s="306"/>
      <c r="O578" s="409">
        <v>46</v>
      </c>
      <c r="P578" s="410" t="e">
        <f>IF(M578="nio",0,IF(M578&gt;0,M578*K578/S578,0))*VLOOKUP(B578,'2-Kosten per locatie'!$A$14:$C$61,3,FALSE)</f>
        <v>#DIV/0!</v>
      </c>
      <c r="Q578" s="410">
        <f>IF(N578&gt;0,N578*K578/T578,0)*VLOOKUP(B578,'2-Kosten per locatie'!$A$14:$C$61,3,FALSE)</f>
        <v>0</v>
      </c>
      <c r="R578" s="410" t="e">
        <f>IF(O578&gt;0,O578*K578/U578,0)*VLOOKUP(B578,'2-Kosten per locatie'!$A$14:$C$61,3,FALSE)</f>
        <v>#DIV/0!</v>
      </c>
      <c r="S578" s="411">
        <f>IF(M578="nio",0,IF(M578&gt;0,VLOOKUP(I578,'3-Productie normen'!A:P,VLOOKUP(M578,'3-Productie normen'!$B$38:$C$48,2,FALSE),FALSE)))</f>
        <v>0</v>
      </c>
      <c r="T578" s="411">
        <f t="shared" si="43"/>
        <v>0</v>
      </c>
      <c r="U578" s="411">
        <f t="shared" si="46"/>
        <v>0</v>
      </c>
      <c r="V578" s="412"/>
      <c r="X578" s="413">
        <f t="shared" si="44"/>
        <v>7728</v>
      </c>
    </row>
    <row r="579" spans="1:24" ht="14.1" customHeight="1">
      <c r="A579" s="70">
        <f t="shared" si="45"/>
        <v>579</v>
      </c>
      <c r="B579" s="354" t="s">
        <v>72</v>
      </c>
      <c r="C579" s="354" t="s">
        <v>437</v>
      </c>
      <c r="D579" s="354" t="s">
        <v>165</v>
      </c>
      <c r="E579" s="404" t="s">
        <v>438</v>
      </c>
      <c r="F579" s="405" t="s">
        <v>495</v>
      </c>
      <c r="G579" s="406" t="s">
        <v>202</v>
      </c>
      <c r="H579" s="420" t="s">
        <v>513</v>
      </c>
      <c r="I579" s="420" t="s">
        <v>115</v>
      </c>
      <c r="J579" s="399" t="s">
        <v>184</v>
      </c>
      <c r="K579" s="414">
        <v>6</v>
      </c>
      <c r="L579" s="408">
        <f t="shared" si="47"/>
        <v>276</v>
      </c>
      <c r="M579" s="409">
        <v>230</v>
      </c>
      <c r="N579" s="306"/>
      <c r="O579" s="409">
        <v>46</v>
      </c>
      <c r="P579" s="410" t="e">
        <f>IF(M579="nio",0,IF(M579&gt;0,M579*K579/S579,0))*VLOOKUP(B579,'2-Kosten per locatie'!$A$14:$C$61,3,FALSE)</f>
        <v>#DIV/0!</v>
      </c>
      <c r="Q579" s="410">
        <f>IF(N579&gt;0,N579*K579/T579,0)*VLOOKUP(B579,'2-Kosten per locatie'!$A$14:$C$61,3,FALSE)</f>
        <v>0</v>
      </c>
      <c r="R579" s="410" t="e">
        <f>IF(O579&gt;0,O579*K579/U579,0)*VLOOKUP(B579,'2-Kosten per locatie'!$A$14:$C$61,3,FALSE)</f>
        <v>#DIV/0!</v>
      </c>
      <c r="S579" s="411">
        <f>IF(M579="nio",0,IF(M579&gt;0,VLOOKUP(I579,'3-Productie normen'!A:P,VLOOKUP(M579,'3-Productie normen'!$B$38:$C$48,2,FALSE),FALSE)))</f>
        <v>0</v>
      </c>
      <c r="T579" s="411">
        <f t="shared" si="43"/>
        <v>0</v>
      </c>
      <c r="U579" s="411">
        <f t="shared" si="46"/>
        <v>0</v>
      </c>
      <c r="V579" s="412"/>
      <c r="X579" s="413">
        <f t="shared" si="44"/>
        <v>1656</v>
      </c>
    </row>
    <row r="580" spans="1:24" ht="14.1" customHeight="1">
      <c r="A580" s="70">
        <f t="shared" si="45"/>
        <v>580</v>
      </c>
      <c r="B580" s="354" t="s">
        <v>72</v>
      </c>
      <c r="C580" s="354" t="s">
        <v>437</v>
      </c>
      <c r="D580" s="354" t="s">
        <v>165</v>
      </c>
      <c r="E580" s="404" t="s">
        <v>438</v>
      </c>
      <c r="F580" s="405" t="s">
        <v>495</v>
      </c>
      <c r="G580" s="406" t="s">
        <v>203</v>
      </c>
      <c r="H580" s="420" t="s">
        <v>183</v>
      </c>
      <c r="I580" s="420" t="s">
        <v>106</v>
      </c>
      <c r="J580" s="399" t="s">
        <v>184</v>
      </c>
      <c r="K580" s="414">
        <v>8</v>
      </c>
      <c r="L580" s="408">
        <f t="shared" si="47"/>
        <v>276</v>
      </c>
      <c r="M580" s="409">
        <v>230</v>
      </c>
      <c r="N580" s="306"/>
      <c r="O580" s="409">
        <v>46</v>
      </c>
      <c r="P580" s="410" t="e">
        <f>IF(M580="nio",0,IF(M580&gt;0,M580*K580/S580,0))*VLOOKUP(B580,'2-Kosten per locatie'!$A$14:$C$61,3,FALSE)</f>
        <v>#DIV/0!</v>
      </c>
      <c r="Q580" s="410">
        <f>IF(N580&gt;0,N580*K580/T580,0)*VLOOKUP(B580,'2-Kosten per locatie'!$A$14:$C$61,3,FALSE)</f>
        <v>0</v>
      </c>
      <c r="R580" s="410" t="e">
        <f>IF(O580&gt;0,O580*K580/U580,0)*VLOOKUP(B580,'2-Kosten per locatie'!$A$14:$C$61,3,FALSE)</f>
        <v>#DIV/0!</v>
      </c>
      <c r="S580" s="411">
        <f>IF(M580="nio",0,IF(M580&gt;0,VLOOKUP(I580,'3-Productie normen'!A:P,VLOOKUP(M580,'3-Productie normen'!$B$38:$C$48,2,FALSE),FALSE)))</f>
        <v>0</v>
      </c>
      <c r="T580" s="411">
        <f t="shared" si="43"/>
        <v>0</v>
      </c>
      <c r="U580" s="411">
        <f t="shared" si="46"/>
        <v>0</v>
      </c>
      <c r="V580" s="412"/>
      <c r="X580" s="413">
        <f t="shared" si="44"/>
        <v>2208</v>
      </c>
    </row>
    <row r="581" spans="1:24" ht="14.1" customHeight="1">
      <c r="A581" s="70">
        <f t="shared" si="45"/>
        <v>581</v>
      </c>
      <c r="B581" s="354" t="s">
        <v>72</v>
      </c>
      <c r="C581" s="354" t="s">
        <v>437</v>
      </c>
      <c r="D581" s="354" t="s">
        <v>165</v>
      </c>
      <c r="E581" s="404" t="s">
        <v>438</v>
      </c>
      <c r="F581" s="405" t="s">
        <v>495</v>
      </c>
      <c r="G581" s="406" t="s">
        <v>204</v>
      </c>
      <c r="H581" s="420" t="s">
        <v>183</v>
      </c>
      <c r="I581" s="420" t="s">
        <v>106</v>
      </c>
      <c r="J581" s="399" t="s">
        <v>184</v>
      </c>
      <c r="K581" s="414">
        <v>32</v>
      </c>
      <c r="L581" s="408">
        <f t="shared" si="47"/>
        <v>276</v>
      </c>
      <c r="M581" s="409">
        <v>230</v>
      </c>
      <c r="N581" s="306"/>
      <c r="O581" s="409">
        <v>46</v>
      </c>
      <c r="P581" s="410" t="e">
        <f>IF(M581="nio",0,IF(M581&gt;0,M581*K581/S581,0))*VLOOKUP(B581,'2-Kosten per locatie'!$A$14:$C$61,3,FALSE)</f>
        <v>#DIV/0!</v>
      </c>
      <c r="Q581" s="410">
        <f>IF(N581&gt;0,N581*K581/T581,0)*VLOOKUP(B581,'2-Kosten per locatie'!$A$14:$C$61,3,FALSE)</f>
        <v>0</v>
      </c>
      <c r="R581" s="410" t="e">
        <f>IF(O581&gt;0,O581*K581/U581,0)*VLOOKUP(B581,'2-Kosten per locatie'!$A$14:$C$61,3,FALSE)</f>
        <v>#DIV/0!</v>
      </c>
      <c r="S581" s="411">
        <f>IF(M581="nio",0,IF(M581&gt;0,VLOOKUP(I581,'3-Productie normen'!A:P,VLOOKUP(M581,'3-Productie normen'!$B$38:$C$48,2,FALSE),FALSE)))</f>
        <v>0</v>
      </c>
      <c r="T581" s="411">
        <f t="shared" si="43"/>
        <v>0</v>
      </c>
      <c r="U581" s="411">
        <f t="shared" si="46"/>
        <v>0</v>
      </c>
      <c r="V581" s="412"/>
      <c r="X581" s="413">
        <f t="shared" si="44"/>
        <v>8832</v>
      </c>
    </row>
    <row r="582" spans="1:24" ht="14.1" customHeight="1">
      <c r="A582" s="70">
        <f t="shared" si="45"/>
        <v>582</v>
      </c>
      <c r="B582" s="354" t="s">
        <v>73</v>
      </c>
      <c r="C582" s="354" t="s">
        <v>518</v>
      </c>
      <c r="D582" s="354" t="s">
        <v>165</v>
      </c>
      <c r="E582" s="404" t="s">
        <v>510</v>
      </c>
      <c r="F582" s="405" t="s">
        <v>167</v>
      </c>
      <c r="G582" s="406" t="s">
        <v>194</v>
      </c>
      <c r="H582" s="420" t="s">
        <v>186</v>
      </c>
      <c r="I582" s="420" t="s">
        <v>120</v>
      </c>
      <c r="J582" s="399" t="s">
        <v>218</v>
      </c>
      <c r="K582" s="414">
        <v>70</v>
      </c>
      <c r="L582" s="408">
        <f t="shared" si="47"/>
        <v>230</v>
      </c>
      <c r="M582" s="409">
        <v>230</v>
      </c>
      <c r="N582" s="306"/>
      <c r="O582" s="409"/>
      <c r="P582" s="410" t="e">
        <f>IF(M582="nio",0,IF(M582&gt;0,M582*K582/S582,0))*VLOOKUP(B582,'2-Kosten per locatie'!$A$14:$C$61,3,FALSE)</f>
        <v>#DIV/0!</v>
      </c>
      <c r="Q582" s="410">
        <f>IF(N582&gt;0,N582*K582/T582,0)*VLOOKUP(B582,'2-Kosten per locatie'!$A$14:$C$61,3,FALSE)</f>
        <v>0</v>
      </c>
      <c r="R582" s="410">
        <f>IF(O582&gt;0,O582*K582/U582,0)*VLOOKUP(B582,'2-Kosten per locatie'!$A$14:$C$61,3,FALSE)</f>
        <v>0</v>
      </c>
      <c r="S582" s="411">
        <f>IF(M582="nio",0,IF(M582&gt;0,VLOOKUP(I582,'3-Productie normen'!A:P,VLOOKUP(M582,'3-Productie normen'!$B$38:$C$48,2,FALSE),FALSE)))</f>
        <v>0</v>
      </c>
      <c r="T582" s="411">
        <f t="shared" si="43"/>
        <v>0</v>
      </c>
      <c r="U582" s="411">
        <f t="shared" si="46"/>
        <v>0</v>
      </c>
      <c r="V582" s="412"/>
      <c r="X582" s="413">
        <f t="shared" si="44"/>
        <v>16100</v>
      </c>
    </row>
    <row r="583" spans="1:24" ht="14.1" customHeight="1">
      <c r="A583" s="70">
        <f t="shared" si="45"/>
        <v>583</v>
      </c>
      <c r="B583" s="354" t="s">
        <v>73</v>
      </c>
      <c r="C583" s="354" t="s">
        <v>518</v>
      </c>
      <c r="D583" s="354" t="s">
        <v>165</v>
      </c>
      <c r="E583" s="404" t="s">
        <v>510</v>
      </c>
      <c r="F583" s="405" t="s">
        <v>167</v>
      </c>
      <c r="G583" s="406" t="s">
        <v>191</v>
      </c>
      <c r="H583" s="420" t="s">
        <v>172</v>
      </c>
      <c r="I583" s="420" t="s">
        <v>105</v>
      </c>
      <c r="J583" s="399" t="s">
        <v>218</v>
      </c>
      <c r="K583" s="414">
        <v>9</v>
      </c>
      <c r="L583" s="408">
        <f t="shared" si="47"/>
        <v>230</v>
      </c>
      <c r="M583" s="409">
        <v>230</v>
      </c>
      <c r="N583" s="306"/>
      <c r="O583" s="409"/>
      <c r="P583" s="410" t="e">
        <f>IF(M583="nio",0,IF(M583&gt;0,M583*K583/S583,0))*VLOOKUP(B583,'2-Kosten per locatie'!$A$14:$C$61,3,FALSE)</f>
        <v>#DIV/0!</v>
      </c>
      <c r="Q583" s="410">
        <f>IF(N583&gt;0,N583*K583/T583,0)*VLOOKUP(B583,'2-Kosten per locatie'!$A$14:$C$61,3,FALSE)</f>
        <v>0</v>
      </c>
      <c r="R583" s="410">
        <f>IF(O583&gt;0,O583*K583/U583,0)*VLOOKUP(B583,'2-Kosten per locatie'!$A$14:$C$61,3,FALSE)</f>
        <v>0</v>
      </c>
      <c r="S583" s="411">
        <f>IF(M583="nio",0,IF(M583&gt;0,VLOOKUP(I583,'3-Productie normen'!A:P,VLOOKUP(M583,'3-Productie normen'!$B$38:$C$48,2,FALSE),FALSE)))</f>
        <v>0</v>
      </c>
      <c r="T583" s="411">
        <f t="shared" si="43"/>
        <v>0</v>
      </c>
      <c r="U583" s="411">
        <f t="shared" si="46"/>
        <v>0</v>
      </c>
      <c r="V583" s="412"/>
      <c r="X583" s="413">
        <f t="shared" si="44"/>
        <v>2070</v>
      </c>
    </row>
    <row r="584" spans="1:24" ht="14.1" customHeight="1">
      <c r="A584" s="70">
        <f t="shared" si="45"/>
        <v>584</v>
      </c>
      <c r="B584" s="354" t="s">
        <v>73</v>
      </c>
      <c r="C584" s="354" t="s">
        <v>518</v>
      </c>
      <c r="D584" s="354" t="s">
        <v>165</v>
      </c>
      <c r="E584" s="404" t="s">
        <v>510</v>
      </c>
      <c r="F584" s="405" t="s">
        <v>167</v>
      </c>
      <c r="G584" s="406" t="s">
        <v>194</v>
      </c>
      <c r="H584" s="420" t="s">
        <v>186</v>
      </c>
      <c r="I584" s="420" t="s">
        <v>120</v>
      </c>
      <c r="J584" s="399" t="s">
        <v>218</v>
      </c>
      <c r="K584" s="414">
        <v>42</v>
      </c>
      <c r="L584" s="408">
        <f t="shared" si="47"/>
        <v>230</v>
      </c>
      <c r="M584" s="409">
        <v>230</v>
      </c>
      <c r="N584" s="306"/>
      <c r="O584" s="409"/>
      <c r="P584" s="410" t="e">
        <f>IF(M584="nio",0,IF(M584&gt;0,M584*K584/S584,0))*VLOOKUP(B584,'2-Kosten per locatie'!$A$14:$C$61,3,FALSE)</f>
        <v>#DIV/0!</v>
      </c>
      <c r="Q584" s="410">
        <f>IF(N584&gt;0,N584*K584/T584,0)*VLOOKUP(B584,'2-Kosten per locatie'!$A$14:$C$61,3,FALSE)</f>
        <v>0</v>
      </c>
      <c r="R584" s="410">
        <f>IF(O584&gt;0,O584*K584/U584,0)*VLOOKUP(B584,'2-Kosten per locatie'!$A$14:$C$61,3,FALSE)</f>
        <v>0</v>
      </c>
      <c r="S584" s="411">
        <f>IF(M584="nio",0,IF(M584&gt;0,VLOOKUP(I584,'3-Productie normen'!A:P,VLOOKUP(M584,'3-Productie normen'!$B$38:$C$48,2,FALSE),FALSE)))</f>
        <v>0</v>
      </c>
      <c r="T584" s="411">
        <f t="shared" si="43"/>
        <v>0</v>
      </c>
      <c r="U584" s="411">
        <f t="shared" si="46"/>
        <v>0</v>
      </c>
      <c r="V584" s="412"/>
      <c r="X584" s="413">
        <f t="shared" si="44"/>
        <v>9660</v>
      </c>
    </row>
    <row r="585" spans="1:24" ht="14.1" customHeight="1">
      <c r="A585" s="70">
        <f t="shared" si="45"/>
        <v>585</v>
      </c>
      <c r="B585" s="354" t="s">
        <v>73</v>
      </c>
      <c r="C585" s="354" t="s">
        <v>518</v>
      </c>
      <c r="D585" s="354" t="s">
        <v>165</v>
      </c>
      <c r="E585" s="404" t="s">
        <v>510</v>
      </c>
      <c r="F585" s="405" t="s">
        <v>167</v>
      </c>
      <c r="G585" s="406" t="s">
        <v>196</v>
      </c>
      <c r="H585" s="420" t="s">
        <v>186</v>
      </c>
      <c r="I585" s="420" t="s">
        <v>120</v>
      </c>
      <c r="J585" s="399" t="s">
        <v>218</v>
      </c>
      <c r="K585" s="414">
        <v>51</v>
      </c>
      <c r="L585" s="408">
        <f t="shared" si="47"/>
        <v>230</v>
      </c>
      <c r="M585" s="409">
        <v>230</v>
      </c>
      <c r="N585" s="306"/>
      <c r="O585" s="409"/>
      <c r="P585" s="410" t="e">
        <f>IF(M585="nio",0,IF(M585&gt;0,M585*K585/S585,0))*VLOOKUP(B585,'2-Kosten per locatie'!$A$14:$C$61,3,FALSE)</f>
        <v>#DIV/0!</v>
      </c>
      <c r="Q585" s="410">
        <f>IF(N585&gt;0,N585*K585/T585,0)*VLOOKUP(B585,'2-Kosten per locatie'!$A$14:$C$61,3,FALSE)</f>
        <v>0</v>
      </c>
      <c r="R585" s="410">
        <f>IF(O585&gt;0,O585*K585/U585,0)*VLOOKUP(B585,'2-Kosten per locatie'!$A$14:$C$61,3,FALSE)</f>
        <v>0</v>
      </c>
      <c r="S585" s="411">
        <f>IF(M585="nio",0,IF(M585&gt;0,VLOOKUP(I585,'3-Productie normen'!A:P,VLOOKUP(M585,'3-Productie normen'!$B$38:$C$48,2,FALSE),FALSE)))</f>
        <v>0</v>
      </c>
      <c r="T585" s="411">
        <f t="shared" si="43"/>
        <v>0</v>
      </c>
      <c r="U585" s="411">
        <f t="shared" si="46"/>
        <v>0</v>
      </c>
      <c r="V585" s="412"/>
      <c r="X585" s="413">
        <f t="shared" si="44"/>
        <v>11730</v>
      </c>
    </row>
    <row r="586" spans="1:24" ht="14.1" customHeight="1">
      <c r="A586" s="70">
        <f t="shared" si="45"/>
        <v>586</v>
      </c>
      <c r="B586" s="354" t="s">
        <v>73</v>
      </c>
      <c r="C586" s="354" t="s">
        <v>518</v>
      </c>
      <c r="D586" s="354" t="s">
        <v>165</v>
      </c>
      <c r="E586" s="404" t="s">
        <v>510</v>
      </c>
      <c r="F586" s="405" t="s">
        <v>167</v>
      </c>
      <c r="G586" s="406" t="s">
        <v>198</v>
      </c>
      <c r="H586" s="420" t="s">
        <v>456</v>
      </c>
      <c r="I586" s="420" t="s">
        <v>121</v>
      </c>
      <c r="J586" s="399" t="s">
        <v>218</v>
      </c>
      <c r="K586" s="414">
        <v>14</v>
      </c>
      <c r="L586" s="408">
        <f t="shared" si="47"/>
        <v>230</v>
      </c>
      <c r="M586" s="409">
        <v>230</v>
      </c>
      <c r="N586" s="306"/>
      <c r="O586" s="409"/>
      <c r="P586" s="410" t="e">
        <f>IF(M586="nio",0,IF(M586&gt;0,M586*K586/S586,0))*VLOOKUP(B586,'2-Kosten per locatie'!$A$14:$C$61,3,FALSE)</f>
        <v>#DIV/0!</v>
      </c>
      <c r="Q586" s="410">
        <f>IF(N586&gt;0,N586*K586/T586,0)*VLOOKUP(B586,'2-Kosten per locatie'!$A$14:$C$61,3,FALSE)</f>
        <v>0</v>
      </c>
      <c r="R586" s="410">
        <f>IF(O586&gt;0,O586*K586/U586,0)*VLOOKUP(B586,'2-Kosten per locatie'!$A$14:$C$61,3,FALSE)</f>
        <v>0</v>
      </c>
      <c r="S586" s="411">
        <f>IF(M586="nio",0,IF(M586&gt;0,VLOOKUP(I586,'3-Productie normen'!A:P,VLOOKUP(M586,'3-Productie normen'!$B$38:$C$48,2,FALSE),FALSE)))</f>
        <v>0</v>
      </c>
      <c r="T586" s="411">
        <f t="shared" ref="T586:T649" si="48">IF(N586&gt;0,S586*$T$8,0)</f>
        <v>0</v>
      </c>
      <c r="U586" s="411">
        <f t="shared" si="46"/>
        <v>0</v>
      </c>
      <c r="V586" s="412"/>
      <c r="X586" s="413">
        <f t="shared" ref="X586:X649" si="49">L586*K586</f>
        <v>3220</v>
      </c>
    </row>
    <row r="587" spans="1:24" ht="14.1" customHeight="1">
      <c r="A587" s="70">
        <f t="shared" ref="A587:A650" si="50">A586+1</f>
        <v>587</v>
      </c>
      <c r="B587" s="354" t="s">
        <v>74</v>
      </c>
      <c r="C587" s="354" t="s">
        <v>519</v>
      </c>
      <c r="D587" s="354" t="s">
        <v>165</v>
      </c>
      <c r="E587" s="404" t="s">
        <v>520</v>
      </c>
      <c r="F587" s="405" t="s">
        <v>273</v>
      </c>
      <c r="G587" s="406" t="s">
        <v>257</v>
      </c>
      <c r="H587" s="420" t="s">
        <v>521</v>
      </c>
      <c r="I587" s="420" t="s">
        <v>108</v>
      </c>
      <c r="J587" s="399" t="s">
        <v>522</v>
      </c>
      <c r="K587" s="414">
        <v>2</v>
      </c>
      <c r="L587" s="408">
        <f t="shared" si="47"/>
        <v>494</v>
      </c>
      <c r="M587" s="409">
        <v>230</v>
      </c>
      <c r="N587" s="306">
        <v>200</v>
      </c>
      <c r="O587" s="409">
        <v>64</v>
      </c>
      <c r="P587" s="410" t="e">
        <f>IF(M587="nio",0,IF(M587&gt;0,M587*K587/S587,0))*VLOOKUP(B587,'2-Kosten per locatie'!$A$14:$C$61,3,FALSE)</f>
        <v>#DIV/0!</v>
      </c>
      <c r="Q587" s="410" t="e">
        <f>IF(N587&gt;0,N587*K587/T587,0)*VLOOKUP(B587,'2-Kosten per locatie'!$A$14:$C$61,3,FALSE)</f>
        <v>#DIV/0!</v>
      </c>
      <c r="R587" s="410" t="e">
        <f>IF(O587&gt;0,O587*K587/U587,0)*VLOOKUP(B587,'2-Kosten per locatie'!$A$14:$C$61,3,FALSE)</f>
        <v>#DIV/0!</v>
      </c>
      <c r="S587" s="411">
        <f>IF(M587="nio",0,IF(M587&gt;0,VLOOKUP(I587,'3-Productie normen'!A:P,VLOOKUP(M587,'3-Productie normen'!$B$38:$C$48,2,FALSE),FALSE)))</f>
        <v>0</v>
      </c>
      <c r="T587" s="411">
        <f t="shared" si="48"/>
        <v>0</v>
      </c>
      <c r="U587" s="411">
        <f t="shared" si="46"/>
        <v>0</v>
      </c>
      <c r="V587" s="412"/>
      <c r="X587" s="413">
        <f t="shared" si="49"/>
        <v>988</v>
      </c>
    </row>
    <row r="588" spans="1:24" ht="14.1" customHeight="1">
      <c r="A588" s="70">
        <f t="shared" si="50"/>
        <v>588</v>
      </c>
      <c r="B588" s="354" t="s">
        <v>74</v>
      </c>
      <c r="C588" s="354" t="s">
        <v>519</v>
      </c>
      <c r="D588" s="354" t="s">
        <v>165</v>
      </c>
      <c r="E588" s="404" t="s">
        <v>520</v>
      </c>
      <c r="F588" s="405" t="s">
        <v>273</v>
      </c>
      <c r="G588" s="406" t="s">
        <v>258</v>
      </c>
      <c r="H588" s="420" t="s">
        <v>252</v>
      </c>
      <c r="I588" s="420" t="s">
        <v>108</v>
      </c>
      <c r="J588" s="399" t="s">
        <v>184</v>
      </c>
      <c r="K588" s="414">
        <v>46</v>
      </c>
      <c r="L588" s="408">
        <f t="shared" si="47"/>
        <v>494</v>
      </c>
      <c r="M588" s="409">
        <v>230</v>
      </c>
      <c r="N588" s="306">
        <v>200</v>
      </c>
      <c r="O588" s="409">
        <v>64</v>
      </c>
      <c r="P588" s="410" t="e">
        <f>IF(M588="nio",0,IF(M588&gt;0,M588*K588/S588,0))*VLOOKUP(B588,'2-Kosten per locatie'!$A$14:$C$61,3,FALSE)</f>
        <v>#DIV/0!</v>
      </c>
      <c r="Q588" s="410" t="e">
        <f>IF(N588&gt;0,N588*K588/T588,0)*VLOOKUP(B588,'2-Kosten per locatie'!$A$14:$C$61,3,FALSE)</f>
        <v>#DIV/0!</v>
      </c>
      <c r="R588" s="410" t="e">
        <f>IF(O588&gt;0,O588*K588/U588,0)*VLOOKUP(B588,'2-Kosten per locatie'!$A$14:$C$61,3,FALSE)</f>
        <v>#DIV/0!</v>
      </c>
      <c r="S588" s="411">
        <f>IF(M588="nio",0,IF(M588&gt;0,VLOOKUP(I588,'3-Productie normen'!A:P,VLOOKUP(M588,'3-Productie normen'!$B$38:$C$48,2,FALSE),FALSE)))</f>
        <v>0</v>
      </c>
      <c r="T588" s="411">
        <f t="shared" si="48"/>
        <v>0</v>
      </c>
      <c r="U588" s="411">
        <f t="shared" si="46"/>
        <v>0</v>
      </c>
      <c r="V588" s="412"/>
      <c r="X588" s="413">
        <f t="shared" si="49"/>
        <v>22724</v>
      </c>
    </row>
    <row r="589" spans="1:24" ht="14.1" customHeight="1">
      <c r="A589" s="70">
        <f t="shared" si="50"/>
        <v>589</v>
      </c>
      <c r="B589" s="354" t="s">
        <v>74</v>
      </c>
      <c r="C589" s="354" t="s">
        <v>519</v>
      </c>
      <c r="D589" s="354" t="s">
        <v>165</v>
      </c>
      <c r="E589" s="404" t="s">
        <v>520</v>
      </c>
      <c r="F589" s="405" t="s">
        <v>273</v>
      </c>
      <c r="G589" s="406" t="s">
        <v>259</v>
      </c>
      <c r="H589" s="420" t="s">
        <v>243</v>
      </c>
      <c r="I589" s="420" t="s">
        <v>116</v>
      </c>
      <c r="J589" s="399" t="s">
        <v>359</v>
      </c>
      <c r="K589" s="414">
        <v>7.5</v>
      </c>
      <c r="L589" s="408">
        <f t="shared" si="47"/>
        <v>494</v>
      </c>
      <c r="M589" s="409">
        <v>230</v>
      </c>
      <c r="N589" s="306">
        <v>200</v>
      </c>
      <c r="O589" s="409">
        <v>64</v>
      </c>
      <c r="P589" s="410" t="e">
        <f>IF(M589="nio",0,IF(M589&gt;0,M589*K589/S589,0))*VLOOKUP(B589,'2-Kosten per locatie'!$A$14:$C$61,3,FALSE)</f>
        <v>#DIV/0!</v>
      </c>
      <c r="Q589" s="410" t="e">
        <f>IF(N589&gt;0,N589*K589/T589,0)*VLOOKUP(B589,'2-Kosten per locatie'!$A$14:$C$61,3,FALSE)</f>
        <v>#DIV/0!</v>
      </c>
      <c r="R589" s="410" t="e">
        <f>IF(O589&gt;0,O589*K589/U589,0)*VLOOKUP(B589,'2-Kosten per locatie'!$A$14:$C$61,3,FALSE)</f>
        <v>#DIV/0!</v>
      </c>
      <c r="S589" s="411">
        <f>IF(M589="nio",0,IF(M589&gt;0,VLOOKUP(I589,'3-Productie normen'!A:P,VLOOKUP(M589,'3-Productie normen'!$B$38:$C$48,2,FALSE),FALSE)))</f>
        <v>0</v>
      </c>
      <c r="T589" s="411">
        <f t="shared" si="48"/>
        <v>0</v>
      </c>
      <c r="U589" s="411">
        <f t="shared" si="46"/>
        <v>0</v>
      </c>
      <c r="V589" s="412"/>
      <c r="X589" s="413">
        <f t="shared" si="49"/>
        <v>3705</v>
      </c>
    </row>
    <row r="590" spans="1:24" ht="14.1" customHeight="1">
      <c r="A590" s="70">
        <f t="shared" si="50"/>
        <v>590</v>
      </c>
      <c r="B590" s="354" t="s">
        <v>74</v>
      </c>
      <c r="C590" s="354" t="s">
        <v>519</v>
      </c>
      <c r="D590" s="354" t="s">
        <v>165</v>
      </c>
      <c r="E590" s="404" t="s">
        <v>520</v>
      </c>
      <c r="F590" s="405" t="s">
        <v>273</v>
      </c>
      <c r="G590" s="406" t="s">
        <v>260</v>
      </c>
      <c r="H590" s="420" t="s">
        <v>239</v>
      </c>
      <c r="I590" s="420" t="s">
        <v>117</v>
      </c>
      <c r="J590" s="399" t="s">
        <v>359</v>
      </c>
      <c r="K590" s="414">
        <v>2</v>
      </c>
      <c r="L590" s="408">
        <f t="shared" si="47"/>
        <v>494</v>
      </c>
      <c r="M590" s="409">
        <v>230</v>
      </c>
      <c r="N590" s="306">
        <v>200</v>
      </c>
      <c r="O590" s="409">
        <v>64</v>
      </c>
      <c r="P590" s="410" t="e">
        <f>IF(M590="nio",0,IF(M590&gt;0,M590*K590/S590,0))*VLOOKUP(B590,'2-Kosten per locatie'!$A$14:$C$61,3,FALSE)</f>
        <v>#DIV/0!</v>
      </c>
      <c r="Q590" s="410" t="e">
        <f>IF(N590&gt;0,N590*K590/T590,0)*VLOOKUP(B590,'2-Kosten per locatie'!$A$14:$C$61,3,FALSE)</f>
        <v>#DIV/0!</v>
      </c>
      <c r="R590" s="410" t="e">
        <f>IF(O590&gt;0,O590*K590/U590,0)*VLOOKUP(B590,'2-Kosten per locatie'!$A$14:$C$61,3,FALSE)</f>
        <v>#DIV/0!</v>
      </c>
      <c r="S590" s="411">
        <f>IF(M590="nio",0,IF(M590&gt;0,VLOOKUP(I590,'3-Productie normen'!A:P,VLOOKUP(M590,'3-Productie normen'!$B$38:$C$48,2,FALSE),FALSE)))</f>
        <v>0</v>
      </c>
      <c r="T590" s="411">
        <f t="shared" si="48"/>
        <v>0</v>
      </c>
      <c r="U590" s="411">
        <f t="shared" ref="U590:U653" si="51">IF(OR(O590&gt;0),S590*$U$8,0)</f>
        <v>0</v>
      </c>
      <c r="V590" s="412"/>
      <c r="X590" s="413">
        <f t="shared" si="49"/>
        <v>988</v>
      </c>
    </row>
    <row r="591" spans="1:24" ht="14.1" customHeight="1">
      <c r="A591" s="70">
        <f t="shared" si="50"/>
        <v>591</v>
      </c>
      <c r="B591" s="354" t="s">
        <v>74</v>
      </c>
      <c r="C591" s="354" t="s">
        <v>519</v>
      </c>
      <c r="D591" s="354" t="s">
        <v>165</v>
      </c>
      <c r="E591" s="404" t="s">
        <v>520</v>
      </c>
      <c r="F591" s="405" t="s">
        <v>273</v>
      </c>
      <c r="G591" s="406" t="s">
        <v>261</v>
      </c>
      <c r="H591" s="420" t="s">
        <v>183</v>
      </c>
      <c r="I591" s="420" t="s">
        <v>106</v>
      </c>
      <c r="J591" s="399" t="s">
        <v>364</v>
      </c>
      <c r="K591" s="414">
        <v>5</v>
      </c>
      <c r="L591" s="408">
        <f t="shared" si="47"/>
        <v>494</v>
      </c>
      <c r="M591" s="409">
        <v>230</v>
      </c>
      <c r="N591" s="306">
        <v>200</v>
      </c>
      <c r="O591" s="409">
        <v>64</v>
      </c>
      <c r="P591" s="410" t="e">
        <f>IF(M591="nio",0,IF(M591&gt;0,M591*K591/S591,0))*VLOOKUP(B591,'2-Kosten per locatie'!$A$14:$C$61,3,FALSE)</f>
        <v>#DIV/0!</v>
      </c>
      <c r="Q591" s="410" t="e">
        <f>IF(N591&gt;0,N591*K591/T591,0)*VLOOKUP(B591,'2-Kosten per locatie'!$A$14:$C$61,3,FALSE)</f>
        <v>#DIV/0!</v>
      </c>
      <c r="R591" s="410" t="e">
        <f>IF(O591&gt;0,O591*K591/U591,0)*VLOOKUP(B591,'2-Kosten per locatie'!$A$14:$C$61,3,FALSE)</f>
        <v>#DIV/0!</v>
      </c>
      <c r="S591" s="411">
        <f>IF(M591="nio",0,IF(M591&gt;0,VLOOKUP(I591,'3-Productie normen'!A:P,VLOOKUP(M591,'3-Productie normen'!$B$38:$C$48,2,FALSE),FALSE)))</f>
        <v>0</v>
      </c>
      <c r="T591" s="411">
        <f t="shared" si="48"/>
        <v>0</v>
      </c>
      <c r="U591" s="411">
        <f t="shared" si="51"/>
        <v>0</v>
      </c>
      <c r="V591" s="412"/>
      <c r="X591" s="413">
        <f t="shared" si="49"/>
        <v>2470</v>
      </c>
    </row>
    <row r="592" spans="1:24" ht="14.1" customHeight="1">
      <c r="A592" s="70">
        <f t="shared" si="50"/>
        <v>592</v>
      </c>
      <c r="B592" s="354" t="s">
        <v>74</v>
      </c>
      <c r="C592" s="354" t="s">
        <v>519</v>
      </c>
      <c r="D592" s="354" t="s">
        <v>165</v>
      </c>
      <c r="E592" s="404" t="s">
        <v>520</v>
      </c>
      <c r="F592" s="405" t="s">
        <v>273</v>
      </c>
      <c r="G592" s="406" t="s">
        <v>262</v>
      </c>
      <c r="H592" s="420" t="s">
        <v>183</v>
      </c>
      <c r="I592" s="420" t="s">
        <v>106</v>
      </c>
      <c r="J592" s="399" t="s">
        <v>364</v>
      </c>
      <c r="K592" s="414">
        <v>5</v>
      </c>
      <c r="L592" s="408">
        <f t="shared" si="47"/>
        <v>494</v>
      </c>
      <c r="M592" s="409">
        <v>230</v>
      </c>
      <c r="N592" s="306">
        <v>200</v>
      </c>
      <c r="O592" s="409">
        <v>64</v>
      </c>
      <c r="P592" s="410" t="e">
        <f>IF(M592="nio",0,IF(M592&gt;0,M592*K592/S592,0))*VLOOKUP(B592,'2-Kosten per locatie'!$A$14:$C$61,3,FALSE)</f>
        <v>#DIV/0!</v>
      </c>
      <c r="Q592" s="410" t="e">
        <f>IF(N592&gt;0,N592*K592/T592,0)*VLOOKUP(B592,'2-Kosten per locatie'!$A$14:$C$61,3,FALSE)</f>
        <v>#DIV/0!</v>
      </c>
      <c r="R592" s="410" t="e">
        <f>IF(O592&gt;0,O592*K592/U592,0)*VLOOKUP(B592,'2-Kosten per locatie'!$A$14:$C$61,3,FALSE)</f>
        <v>#DIV/0!</v>
      </c>
      <c r="S592" s="411">
        <f>IF(M592="nio",0,IF(M592&gt;0,VLOOKUP(I592,'3-Productie normen'!A:P,VLOOKUP(M592,'3-Productie normen'!$B$38:$C$48,2,FALSE),FALSE)))</f>
        <v>0</v>
      </c>
      <c r="T592" s="411">
        <f t="shared" si="48"/>
        <v>0</v>
      </c>
      <c r="U592" s="411">
        <f t="shared" si="51"/>
        <v>0</v>
      </c>
      <c r="V592" s="412"/>
      <c r="X592" s="413">
        <f t="shared" si="49"/>
        <v>2470</v>
      </c>
    </row>
    <row r="593" spans="1:24" ht="14.1" customHeight="1">
      <c r="A593" s="70">
        <f t="shared" si="50"/>
        <v>593</v>
      </c>
      <c r="B593" s="354" t="s">
        <v>74</v>
      </c>
      <c r="C593" s="354" t="s">
        <v>519</v>
      </c>
      <c r="D593" s="354" t="s">
        <v>165</v>
      </c>
      <c r="E593" s="404" t="s">
        <v>520</v>
      </c>
      <c r="F593" s="405" t="s">
        <v>167</v>
      </c>
      <c r="G593" s="406" t="s">
        <v>191</v>
      </c>
      <c r="H593" s="420" t="s">
        <v>206</v>
      </c>
      <c r="I593" s="420" t="s">
        <v>108</v>
      </c>
      <c r="J593" s="399" t="s">
        <v>184</v>
      </c>
      <c r="K593" s="414">
        <v>79</v>
      </c>
      <c r="L593" s="408">
        <f t="shared" si="47"/>
        <v>494</v>
      </c>
      <c r="M593" s="409">
        <v>230</v>
      </c>
      <c r="N593" s="306">
        <v>200</v>
      </c>
      <c r="O593" s="409">
        <v>64</v>
      </c>
      <c r="P593" s="410" t="e">
        <f>IF(M593="nio",0,IF(M593&gt;0,M593*K593/S593,0))*VLOOKUP(B593,'2-Kosten per locatie'!$A$14:$C$61,3,FALSE)</f>
        <v>#DIV/0!</v>
      </c>
      <c r="Q593" s="410" t="e">
        <f>IF(N593&gt;0,N593*K593/T593,0)*VLOOKUP(B593,'2-Kosten per locatie'!$A$14:$C$61,3,FALSE)</f>
        <v>#DIV/0!</v>
      </c>
      <c r="R593" s="410" t="e">
        <f>IF(O593&gt;0,O593*K593/U593,0)*VLOOKUP(B593,'2-Kosten per locatie'!$A$14:$C$61,3,FALSE)</f>
        <v>#DIV/0!</v>
      </c>
      <c r="S593" s="411">
        <f>IF(M593="nio",0,IF(M593&gt;0,VLOOKUP(I593,'3-Productie normen'!A:P,VLOOKUP(M593,'3-Productie normen'!$B$38:$C$48,2,FALSE),FALSE)))</f>
        <v>0</v>
      </c>
      <c r="T593" s="411">
        <f t="shared" si="48"/>
        <v>0</v>
      </c>
      <c r="U593" s="411">
        <f t="shared" si="51"/>
        <v>0</v>
      </c>
      <c r="V593" s="412"/>
      <c r="X593" s="413">
        <f t="shared" si="49"/>
        <v>39026</v>
      </c>
    </row>
    <row r="594" spans="1:24" ht="14.1" customHeight="1">
      <c r="A594" s="70">
        <f t="shared" si="50"/>
        <v>594</v>
      </c>
      <c r="B594" s="354" t="s">
        <v>74</v>
      </c>
      <c r="C594" s="354" t="s">
        <v>519</v>
      </c>
      <c r="D594" s="354" t="s">
        <v>165</v>
      </c>
      <c r="E594" s="404" t="s">
        <v>520</v>
      </c>
      <c r="F594" s="405" t="s">
        <v>167</v>
      </c>
      <c r="G594" s="406" t="s">
        <v>194</v>
      </c>
      <c r="H594" s="420" t="s">
        <v>430</v>
      </c>
      <c r="I594" s="420" t="s">
        <v>123</v>
      </c>
      <c r="J594" s="399" t="s">
        <v>445</v>
      </c>
      <c r="K594" s="414">
        <v>45</v>
      </c>
      <c r="L594" s="408">
        <f t="shared" si="47"/>
        <v>494</v>
      </c>
      <c r="M594" s="409">
        <v>230</v>
      </c>
      <c r="N594" s="306">
        <v>200</v>
      </c>
      <c r="O594" s="409">
        <v>64</v>
      </c>
      <c r="P594" s="410" t="e">
        <f>IF(M594="nio",0,IF(M594&gt;0,M594*K594/S594,0))*VLOOKUP(B594,'2-Kosten per locatie'!$A$14:$C$61,3,FALSE)</f>
        <v>#DIV/0!</v>
      </c>
      <c r="Q594" s="410" t="e">
        <f>IF(N594&gt;0,N594*K594/T594,0)*VLOOKUP(B594,'2-Kosten per locatie'!$A$14:$C$61,3,FALSE)</f>
        <v>#DIV/0!</v>
      </c>
      <c r="R594" s="410" t="e">
        <f>IF(O594&gt;0,O594*K594/U594,0)*VLOOKUP(B594,'2-Kosten per locatie'!$A$14:$C$61,3,FALSE)</f>
        <v>#DIV/0!</v>
      </c>
      <c r="S594" s="411">
        <f>IF(M594="nio",0,IF(M594&gt;0,VLOOKUP(I594,'3-Productie normen'!A:P,VLOOKUP(M594,'3-Productie normen'!$B$38:$C$48,2,FALSE),FALSE)))</f>
        <v>0</v>
      </c>
      <c r="T594" s="411">
        <f t="shared" si="48"/>
        <v>0</v>
      </c>
      <c r="U594" s="411">
        <f t="shared" si="51"/>
        <v>0</v>
      </c>
      <c r="V594" s="412"/>
      <c r="X594" s="413">
        <f t="shared" si="49"/>
        <v>22230</v>
      </c>
    </row>
    <row r="595" spans="1:24" ht="14.1" customHeight="1">
      <c r="A595" s="70">
        <f t="shared" si="50"/>
        <v>595</v>
      </c>
      <c r="B595" s="354" t="s">
        <v>74</v>
      </c>
      <c r="C595" s="354" t="s">
        <v>519</v>
      </c>
      <c r="D595" s="354" t="s">
        <v>165</v>
      </c>
      <c r="E595" s="404" t="s">
        <v>520</v>
      </c>
      <c r="F595" s="405" t="s">
        <v>167</v>
      </c>
      <c r="G595" s="406" t="s">
        <v>196</v>
      </c>
      <c r="H595" s="420" t="s">
        <v>444</v>
      </c>
      <c r="I595" s="420" t="s">
        <v>114</v>
      </c>
      <c r="J595" s="399" t="s">
        <v>457</v>
      </c>
      <c r="K595" s="414">
        <v>1398</v>
      </c>
      <c r="L595" s="408">
        <f t="shared" si="47"/>
        <v>494</v>
      </c>
      <c r="M595" s="409">
        <v>230</v>
      </c>
      <c r="N595" s="306">
        <v>200</v>
      </c>
      <c r="O595" s="409">
        <v>64</v>
      </c>
      <c r="P595" s="410" t="e">
        <f>IF(M595="nio",0,IF(M595&gt;0,M595*K595/S595,0))*VLOOKUP(B595,'2-Kosten per locatie'!$A$14:$C$61,3,FALSE)</f>
        <v>#DIV/0!</v>
      </c>
      <c r="Q595" s="410" t="e">
        <f>IF(N595&gt;0,N595*K595/T595,0)*VLOOKUP(B595,'2-Kosten per locatie'!$A$14:$C$61,3,FALSE)</f>
        <v>#DIV/0!</v>
      </c>
      <c r="R595" s="410" t="e">
        <f>IF(O595&gt;0,O595*K595/U595,0)*VLOOKUP(B595,'2-Kosten per locatie'!$A$14:$C$61,3,FALSE)</f>
        <v>#DIV/0!</v>
      </c>
      <c r="S595" s="411">
        <f>IF(M595="nio",0,IF(M595&gt;0,VLOOKUP(I595,'3-Productie normen'!A:P,VLOOKUP(M595,'3-Productie normen'!$B$38:$C$48,2,FALSE),FALSE)))</f>
        <v>0</v>
      </c>
      <c r="T595" s="411">
        <f t="shared" si="48"/>
        <v>0</v>
      </c>
      <c r="U595" s="411">
        <f t="shared" si="51"/>
        <v>0</v>
      </c>
      <c r="V595" s="412"/>
      <c r="X595" s="413">
        <f t="shared" si="49"/>
        <v>690612</v>
      </c>
    </row>
    <row r="596" spans="1:24" ht="14.1" customHeight="1">
      <c r="A596" s="70">
        <f t="shared" si="50"/>
        <v>596</v>
      </c>
      <c r="B596" s="354" t="s">
        <v>74</v>
      </c>
      <c r="C596" s="354" t="s">
        <v>519</v>
      </c>
      <c r="D596" s="354" t="s">
        <v>165</v>
      </c>
      <c r="E596" s="404" t="s">
        <v>520</v>
      </c>
      <c r="F596" s="405" t="s">
        <v>167</v>
      </c>
      <c r="G596" s="406" t="s">
        <v>198</v>
      </c>
      <c r="H596" s="420" t="s">
        <v>430</v>
      </c>
      <c r="I596" s="420" t="s">
        <v>123</v>
      </c>
      <c r="J596" s="399" t="s">
        <v>445</v>
      </c>
      <c r="K596" s="414">
        <v>44</v>
      </c>
      <c r="L596" s="408">
        <f t="shared" si="47"/>
        <v>494</v>
      </c>
      <c r="M596" s="409">
        <v>230</v>
      </c>
      <c r="N596" s="306">
        <v>200</v>
      </c>
      <c r="O596" s="409">
        <v>64</v>
      </c>
      <c r="P596" s="410" t="e">
        <f>IF(M596="nio",0,IF(M596&gt;0,M596*K596/S596,0))*VLOOKUP(B596,'2-Kosten per locatie'!$A$14:$C$61,3,FALSE)</f>
        <v>#DIV/0!</v>
      </c>
      <c r="Q596" s="410" t="e">
        <f>IF(N596&gt;0,N596*K596/T596,0)*VLOOKUP(B596,'2-Kosten per locatie'!$A$14:$C$61,3,FALSE)</f>
        <v>#DIV/0!</v>
      </c>
      <c r="R596" s="410" t="e">
        <f>IF(O596&gt;0,O596*K596/U596,0)*VLOOKUP(B596,'2-Kosten per locatie'!$A$14:$C$61,3,FALSE)</f>
        <v>#DIV/0!</v>
      </c>
      <c r="S596" s="411">
        <f>IF(M596="nio",0,IF(M596&gt;0,VLOOKUP(I596,'3-Productie normen'!A:P,VLOOKUP(M596,'3-Productie normen'!$B$38:$C$48,2,FALSE),FALSE)))</f>
        <v>0</v>
      </c>
      <c r="T596" s="411">
        <f t="shared" si="48"/>
        <v>0</v>
      </c>
      <c r="U596" s="411">
        <f t="shared" si="51"/>
        <v>0</v>
      </c>
      <c r="V596" s="412"/>
      <c r="X596" s="413">
        <f t="shared" si="49"/>
        <v>21736</v>
      </c>
    </row>
    <row r="597" spans="1:24" ht="14.1" customHeight="1">
      <c r="A597" s="70">
        <f t="shared" si="50"/>
        <v>597</v>
      </c>
      <c r="B597" s="354" t="s">
        <v>74</v>
      </c>
      <c r="C597" s="354" t="s">
        <v>519</v>
      </c>
      <c r="D597" s="354" t="s">
        <v>165</v>
      </c>
      <c r="E597" s="404" t="s">
        <v>520</v>
      </c>
      <c r="F597" s="405" t="s">
        <v>167</v>
      </c>
      <c r="G597" s="406" t="s">
        <v>199</v>
      </c>
      <c r="H597" s="420" t="s">
        <v>439</v>
      </c>
      <c r="I597" s="420" t="s">
        <v>111</v>
      </c>
      <c r="J597" s="399" t="s">
        <v>184</v>
      </c>
      <c r="K597" s="414">
        <v>31</v>
      </c>
      <c r="L597" s="408">
        <f t="shared" si="47"/>
        <v>494</v>
      </c>
      <c r="M597" s="409">
        <v>230</v>
      </c>
      <c r="N597" s="306">
        <v>200</v>
      </c>
      <c r="O597" s="409">
        <v>64</v>
      </c>
      <c r="P597" s="410" t="e">
        <f>IF(M597="nio",0,IF(M597&gt;0,M597*K597/S597,0))*VLOOKUP(B597,'2-Kosten per locatie'!$A$14:$C$61,3,FALSE)</f>
        <v>#DIV/0!</v>
      </c>
      <c r="Q597" s="410" t="e">
        <f>IF(N597&gt;0,N597*K597/T597,0)*VLOOKUP(B597,'2-Kosten per locatie'!$A$14:$C$61,3,FALSE)</f>
        <v>#DIV/0!</v>
      </c>
      <c r="R597" s="410" t="e">
        <f>IF(O597&gt;0,O597*K597/U597,0)*VLOOKUP(B597,'2-Kosten per locatie'!$A$14:$C$61,3,FALSE)</f>
        <v>#DIV/0!</v>
      </c>
      <c r="S597" s="411">
        <f>IF(M597="nio",0,IF(M597&gt;0,VLOOKUP(I597,'3-Productie normen'!A:P,VLOOKUP(M597,'3-Productie normen'!$B$38:$C$48,2,FALSE),FALSE)))</f>
        <v>0</v>
      </c>
      <c r="T597" s="411">
        <f t="shared" si="48"/>
        <v>0</v>
      </c>
      <c r="U597" s="411">
        <f t="shared" si="51"/>
        <v>0</v>
      </c>
      <c r="V597" s="412"/>
      <c r="X597" s="413">
        <f t="shared" si="49"/>
        <v>15314</v>
      </c>
    </row>
    <row r="598" spans="1:24" ht="14.1" customHeight="1">
      <c r="A598" s="70">
        <f t="shared" si="50"/>
        <v>598</v>
      </c>
      <c r="B598" s="354" t="s">
        <v>74</v>
      </c>
      <c r="C598" s="354" t="s">
        <v>519</v>
      </c>
      <c r="D598" s="354" t="s">
        <v>165</v>
      </c>
      <c r="E598" s="404" t="s">
        <v>520</v>
      </c>
      <c r="F598" s="405" t="s">
        <v>167</v>
      </c>
      <c r="G598" s="406" t="s">
        <v>202</v>
      </c>
      <c r="H598" s="420" t="s">
        <v>523</v>
      </c>
      <c r="I598" s="420" t="s">
        <v>106</v>
      </c>
      <c r="J598" s="399" t="s">
        <v>184</v>
      </c>
      <c r="K598" s="414">
        <v>7</v>
      </c>
      <c r="L598" s="408">
        <f t="shared" si="47"/>
        <v>494</v>
      </c>
      <c r="M598" s="409">
        <v>230</v>
      </c>
      <c r="N598" s="306">
        <v>200</v>
      </c>
      <c r="O598" s="409">
        <v>64</v>
      </c>
      <c r="P598" s="410" t="e">
        <f>IF(M598="nio",0,IF(M598&gt;0,M598*K598/S598,0))*VLOOKUP(B598,'2-Kosten per locatie'!$A$14:$C$61,3,FALSE)</f>
        <v>#DIV/0!</v>
      </c>
      <c r="Q598" s="410" t="e">
        <f>IF(N598&gt;0,N598*K598/T598,0)*VLOOKUP(B598,'2-Kosten per locatie'!$A$14:$C$61,3,FALSE)</f>
        <v>#DIV/0!</v>
      </c>
      <c r="R598" s="410" t="e">
        <f>IF(O598&gt;0,O598*K598/U598,0)*VLOOKUP(B598,'2-Kosten per locatie'!$A$14:$C$61,3,FALSE)</f>
        <v>#DIV/0!</v>
      </c>
      <c r="S598" s="411">
        <f>IF(M598="nio",0,IF(M598&gt;0,VLOOKUP(I598,'3-Productie normen'!A:P,VLOOKUP(M598,'3-Productie normen'!$B$38:$C$48,2,FALSE),FALSE)))</f>
        <v>0</v>
      </c>
      <c r="T598" s="411">
        <f t="shared" si="48"/>
        <v>0</v>
      </c>
      <c r="U598" s="411">
        <f t="shared" si="51"/>
        <v>0</v>
      </c>
      <c r="V598" s="412"/>
      <c r="X598" s="413">
        <f t="shared" si="49"/>
        <v>3458</v>
      </c>
    </row>
    <row r="599" spans="1:24" ht="14.1" customHeight="1">
      <c r="A599" s="70">
        <f t="shared" si="50"/>
        <v>599</v>
      </c>
      <c r="B599" s="354" t="s">
        <v>74</v>
      </c>
      <c r="C599" s="354" t="s">
        <v>519</v>
      </c>
      <c r="D599" s="354" t="s">
        <v>165</v>
      </c>
      <c r="E599" s="404" t="s">
        <v>520</v>
      </c>
      <c r="F599" s="405" t="s">
        <v>167</v>
      </c>
      <c r="G599" s="406" t="s">
        <v>203</v>
      </c>
      <c r="H599" s="420" t="s">
        <v>439</v>
      </c>
      <c r="I599" s="420" t="s">
        <v>111</v>
      </c>
      <c r="J599" s="399" t="s">
        <v>184</v>
      </c>
      <c r="K599" s="414">
        <v>33</v>
      </c>
      <c r="L599" s="408">
        <f t="shared" si="47"/>
        <v>494</v>
      </c>
      <c r="M599" s="409">
        <v>230</v>
      </c>
      <c r="N599" s="306">
        <v>200</v>
      </c>
      <c r="O599" s="409">
        <v>64</v>
      </c>
      <c r="P599" s="410" t="e">
        <f>IF(M599="nio",0,IF(M599&gt;0,M599*K599/S599,0))*VLOOKUP(B599,'2-Kosten per locatie'!$A$14:$C$61,3,FALSE)</f>
        <v>#DIV/0!</v>
      </c>
      <c r="Q599" s="410" t="e">
        <f>IF(N599&gt;0,N599*K599/T599,0)*VLOOKUP(B599,'2-Kosten per locatie'!$A$14:$C$61,3,FALSE)</f>
        <v>#DIV/0!</v>
      </c>
      <c r="R599" s="410" t="e">
        <f>IF(O599&gt;0,O599*K599/U599,0)*VLOOKUP(B599,'2-Kosten per locatie'!$A$14:$C$61,3,FALSE)</f>
        <v>#DIV/0!</v>
      </c>
      <c r="S599" s="411">
        <f>IF(M599="nio",0,IF(M599&gt;0,VLOOKUP(I599,'3-Productie normen'!A:P,VLOOKUP(M599,'3-Productie normen'!$B$38:$C$48,2,FALSE),FALSE)))</f>
        <v>0</v>
      </c>
      <c r="T599" s="411">
        <f t="shared" si="48"/>
        <v>0</v>
      </c>
      <c r="U599" s="411">
        <f t="shared" si="51"/>
        <v>0</v>
      </c>
      <c r="V599" s="412"/>
      <c r="X599" s="413">
        <f t="shared" si="49"/>
        <v>16302</v>
      </c>
    </row>
    <row r="600" spans="1:24" ht="14.1" customHeight="1">
      <c r="A600" s="70">
        <f t="shared" si="50"/>
        <v>600</v>
      </c>
      <c r="B600" s="354" t="s">
        <v>74</v>
      </c>
      <c r="C600" s="354" t="s">
        <v>519</v>
      </c>
      <c r="D600" s="354" t="s">
        <v>165</v>
      </c>
      <c r="E600" s="404" t="s">
        <v>520</v>
      </c>
      <c r="F600" s="405" t="s">
        <v>167</v>
      </c>
      <c r="G600" s="406" t="s">
        <v>204</v>
      </c>
      <c r="H600" s="420" t="s">
        <v>439</v>
      </c>
      <c r="I600" s="420" t="s">
        <v>111</v>
      </c>
      <c r="J600" s="399" t="s">
        <v>184</v>
      </c>
      <c r="K600" s="414">
        <v>37</v>
      </c>
      <c r="L600" s="408">
        <f t="shared" si="47"/>
        <v>494</v>
      </c>
      <c r="M600" s="409">
        <v>230</v>
      </c>
      <c r="N600" s="306">
        <v>200</v>
      </c>
      <c r="O600" s="409">
        <v>64</v>
      </c>
      <c r="P600" s="410" t="e">
        <f>IF(M600="nio",0,IF(M600&gt;0,M600*K600/S600,0))*VLOOKUP(B600,'2-Kosten per locatie'!$A$14:$C$61,3,FALSE)</f>
        <v>#DIV/0!</v>
      </c>
      <c r="Q600" s="410" t="e">
        <f>IF(N600&gt;0,N600*K600/T600,0)*VLOOKUP(B600,'2-Kosten per locatie'!$A$14:$C$61,3,FALSE)</f>
        <v>#DIV/0!</v>
      </c>
      <c r="R600" s="410" t="e">
        <f>IF(O600&gt;0,O600*K600/U600,0)*VLOOKUP(B600,'2-Kosten per locatie'!$A$14:$C$61,3,FALSE)</f>
        <v>#DIV/0!</v>
      </c>
      <c r="S600" s="411">
        <f>IF(M600="nio",0,IF(M600&gt;0,VLOOKUP(I600,'3-Productie normen'!A:P,VLOOKUP(M600,'3-Productie normen'!$B$38:$C$48,2,FALSE),FALSE)))</f>
        <v>0</v>
      </c>
      <c r="T600" s="411">
        <f t="shared" si="48"/>
        <v>0</v>
      </c>
      <c r="U600" s="411">
        <f t="shared" si="51"/>
        <v>0</v>
      </c>
      <c r="V600" s="412"/>
      <c r="X600" s="413">
        <f t="shared" si="49"/>
        <v>18278</v>
      </c>
    </row>
    <row r="601" spans="1:24" ht="14.1" customHeight="1">
      <c r="A601" s="70">
        <f t="shared" si="50"/>
        <v>601</v>
      </c>
      <c r="B601" s="354" t="s">
        <v>74</v>
      </c>
      <c r="C601" s="354" t="s">
        <v>519</v>
      </c>
      <c r="D601" s="354" t="s">
        <v>165</v>
      </c>
      <c r="E601" s="404" t="s">
        <v>520</v>
      </c>
      <c r="F601" s="405" t="s">
        <v>167</v>
      </c>
      <c r="G601" s="406" t="s">
        <v>205</v>
      </c>
      <c r="H601" s="420" t="s">
        <v>430</v>
      </c>
      <c r="I601" s="420" t="s">
        <v>123</v>
      </c>
      <c r="J601" s="399" t="s">
        <v>445</v>
      </c>
      <c r="K601" s="414">
        <v>39</v>
      </c>
      <c r="L601" s="408">
        <f t="shared" si="47"/>
        <v>494</v>
      </c>
      <c r="M601" s="409">
        <v>230</v>
      </c>
      <c r="N601" s="306">
        <v>200</v>
      </c>
      <c r="O601" s="409">
        <v>64</v>
      </c>
      <c r="P601" s="410" t="e">
        <f>IF(M601="nio",0,IF(M601&gt;0,M601*K601/S601,0))*VLOOKUP(B601,'2-Kosten per locatie'!$A$14:$C$61,3,FALSE)</f>
        <v>#DIV/0!</v>
      </c>
      <c r="Q601" s="410" t="e">
        <f>IF(N601&gt;0,N601*K601/T601,0)*VLOOKUP(B601,'2-Kosten per locatie'!$A$14:$C$61,3,FALSE)</f>
        <v>#DIV/0!</v>
      </c>
      <c r="R601" s="410" t="e">
        <f>IF(O601&gt;0,O601*K601/U601,0)*VLOOKUP(B601,'2-Kosten per locatie'!$A$14:$C$61,3,FALSE)</f>
        <v>#DIV/0!</v>
      </c>
      <c r="S601" s="411">
        <f>IF(M601="nio",0,IF(M601&gt;0,VLOOKUP(I601,'3-Productie normen'!A:P,VLOOKUP(M601,'3-Productie normen'!$B$38:$C$48,2,FALSE),FALSE)))</f>
        <v>0</v>
      </c>
      <c r="T601" s="411">
        <f t="shared" si="48"/>
        <v>0</v>
      </c>
      <c r="U601" s="411">
        <f t="shared" si="51"/>
        <v>0</v>
      </c>
      <c r="V601" s="412"/>
      <c r="X601" s="413">
        <f t="shared" si="49"/>
        <v>19266</v>
      </c>
    </row>
    <row r="602" spans="1:24" ht="14.1" customHeight="1">
      <c r="A602" s="70">
        <f t="shared" si="50"/>
        <v>602</v>
      </c>
      <c r="B602" s="354" t="s">
        <v>74</v>
      </c>
      <c r="C602" s="354" t="s">
        <v>519</v>
      </c>
      <c r="D602" s="354" t="s">
        <v>165</v>
      </c>
      <c r="E602" s="404" t="s">
        <v>520</v>
      </c>
      <c r="F602" s="405" t="s">
        <v>167</v>
      </c>
      <c r="G602" s="406" t="s">
        <v>180</v>
      </c>
      <c r="H602" s="420" t="s">
        <v>439</v>
      </c>
      <c r="I602" s="420" t="s">
        <v>111</v>
      </c>
      <c r="J602" s="399" t="s">
        <v>184</v>
      </c>
      <c r="K602" s="414">
        <v>31</v>
      </c>
      <c r="L602" s="408">
        <f t="shared" si="47"/>
        <v>494</v>
      </c>
      <c r="M602" s="409">
        <v>230</v>
      </c>
      <c r="N602" s="306">
        <v>200</v>
      </c>
      <c r="O602" s="409">
        <v>64</v>
      </c>
      <c r="P602" s="410" t="e">
        <f>IF(M602="nio",0,IF(M602&gt;0,M602*K602/S602,0))*VLOOKUP(B602,'2-Kosten per locatie'!$A$14:$C$61,3,FALSE)</f>
        <v>#DIV/0!</v>
      </c>
      <c r="Q602" s="410" t="e">
        <f>IF(N602&gt;0,N602*K602/T602,0)*VLOOKUP(B602,'2-Kosten per locatie'!$A$14:$C$61,3,FALSE)</f>
        <v>#DIV/0!</v>
      </c>
      <c r="R602" s="410" t="e">
        <f>IF(O602&gt;0,O602*K602/U602,0)*VLOOKUP(B602,'2-Kosten per locatie'!$A$14:$C$61,3,FALSE)</f>
        <v>#DIV/0!</v>
      </c>
      <c r="S602" s="411">
        <f>IF(M602="nio",0,IF(M602&gt;0,VLOOKUP(I602,'3-Productie normen'!A:P,VLOOKUP(M602,'3-Productie normen'!$B$38:$C$48,2,FALSE),FALSE)))</f>
        <v>0</v>
      </c>
      <c r="T602" s="411">
        <f t="shared" si="48"/>
        <v>0</v>
      </c>
      <c r="U602" s="411">
        <f t="shared" si="51"/>
        <v>0</v>
      </c>
      <c r="V602" s="412"/>
      <c r="X602" s="413">
        <f t="shared" si="49"/>
        <v>15314</v>
      </c>
    </row>
    <row r="603" spans="1:24" ht="14.1" customHeight="1">
      <c r="A603" s="70">
        <f t="shared" si="50"/>
        <v>603</v>
      </c>
      <c r="B603" s="354" t="s">
        <v>74</v>
      </c>
      <c r="C603" s="354" t="s">
        <v>519</v>
      </c>
      <c r="D603" s="354" t="s">
        <v>165</v>
      </c>
      <c r="E603" s="404" t="s">
        <v>520</v>
      </c>
      <c r="F603" s="405" t="s">
        <v>167</v>
      </c>
      <c r="G603" s="406" t="s">
        <v>182</v>
      </c>
      <c r="H603" s="420" t="s">
        <v>523</v>
      </c>
      <c r="I603" s="420" t="s">
        <v>106</v>
      </c>
      <c r="J603" s="399" t="s">
        <v>184</v>
      </c>
      <c r="K603" s="414">
        <v>7</v>
      </c>
      <c r="L603" s="408">
        <f t="shared" si="47"/>
        <v>494</v>
      </c>
      <c r="M603" s="409">
        <v>230</v>
      </c>
      <c r="N603" s="306">
        <v>200</v>
      </c>
      <c r="O603" s="409">
        <v>64</v>
      </c>
      <c r="P603" s="410" t="e">
        <f>IF(M603="nio",0,IF(M603&gt;0,M603*K603/S603,0))*VLOOKUP(B603,'2-Kosten per locatie'!$A$14:$C$61,3,FALSE)</f>
        <v>#DIV/0!</v>
      </c>
      <c r="Q603" s="410" t="e">
        <f>IF(N603&gt;0,N603*K603/T603,0)*VLOOKUP(B603,'2-Kosten per locatie'!$A$14:$C$61,3,FALSE)</f>
        <v>#DIV/0!</v>
      </c>
      <c r="R603" s="410" t="e">
        <f>IF(O603&gt;0,O603*K603/U603,0)*VLOOKUP(B603,'2-Kosten per locatie'!$A$14:$C$61,3,FALSE)</f>
        <v>#DIV/0!</v>
      </c>
      <c r="S603" s="411">
        <f>IF(M603="nio",0,IF(M603&gt;0,VLOOKUP(I603,'3-Productie normen'!A:P,VLOOKUP(M603,'3-Productie normen'!$B$38:$C$48,2,FALSE),FALSE)))</f>
        <v>0</v>
      </c>
      <c r="T603" s="411">
        <f t="shared" si="48"/>
        <v>0</v>
      </c>
      <c r="U603" s="411">
        <f t="shared" si="51"/>
        <v>0</v>
      </c>
      <c r="V603" s="412"/>
      <c r="X603" s="413">
        <f t="shared" si="49"/>
        <v>3458</v>
      </c>
    </row>
    <row r="604" spans="1:24" ht="14.1" customHeight="1">
      <c r="A604" s="70">
        <f t="shared" si="50"/>
        <v>604</v>
      </c>
      <c r="B604" s="354" t="s">
        <v>74</v>
      </c>
      <c r="C604" s="354" t="s">
        <v>519</v>
      </c>
      <c r="D604" s="354" t="s">
        <v>165</v>
      </c>
      <c r="E604" s="404" t="s">
        <v>520</v>
      </c>
      <c r="F604" s="405" t="s">
        <v>167</v>
      </c>
      <c r="G604" s="406" t="s">
        <v>207</v>
      </c>
      <c r="H604" s="420" t="s">
        <v>523</v>
      </c>
      <c r="I604" s="420" t="s">
        <v>106</v>
      </c>
      <c r="J604" s="399" t="s">
        <v>184</v>
      </c>
      <c r="K604" s="414">
        <v>7</v>
      </c>
      <c r="L604" s="408">
        <f t="shared" si="47"/>
        <v>494</v>
      </c>
      <c r="M604" s="409">
        <v>230</v>
      </c>
      <c r="N604" s="306">
        <v>200</v>
      </c>
      <c r="O604" s="409">
        <v>64</v>
      </c>
      <c r="P604" s="410" t="e">
        <f>IF(M604="nio",0,IF(M604&gt;0,M604*K604/S604,0))*VLOOKUP(B604,'2-Kosten per locatie'!$A$14:$C$61,3,FALSE)</f>
        <v>#DIV/0!</v>
      </c>
      <c r="Q604" s="410" t="e">
        <f>IF(N604&gt;0,N604*K604/T604,0)*VLOOKUP(B604,'2-Kosten per locatie'!$A$14:$C$61,3,FALSE)</f>
        <v>#DIV/0!</v>
      </c>
      <c r="R604" s="410" t="e">
        <f>IF(O604&gt;0,O604*K604/U604,0)*VLOOKUP(B604,'2-Kosten per locatie'!$A$14:$C$61,3,FALSE)</f>
        <v>#DIV/0!</v>
      </c>
      <c r="S604" s="411">
        <f>IF(M604="nio",0,IF(M604&gt;0,VLOOKUP(I604,'3-Productie normen'!A:P,VLOOKUP(M604,'3-Productie normen'!$B$38:$C$48,2,FALSE),FALSE)))</f>
        <v>0</v>
      </c>
      <c r="T604" s="411">
        <f t="shared" si="48"/>
        <v>0</v>
      </c>
      <c r="U604" s="411">
        <f t="shared" si="51"/>
        <v>0</v>
      </c>
      <c r="V604" s="412"/>
      <c r="X604" s="413">
        <f t="shared" si="49"/>
        <v>3458</v>
      </c>
    </row>
    <row r="605" spans="1:24" ht="14.1" customHeight="1">
      <c r="A605" s="70">
        <f t="shared" si="50"/>
        <v>605</v>
      </c>
      <c r="B605" s="354" t="s">
        <v>74</v>
      </c>
      <c r="C605" s="354" t="s">
        <v>519</v>
      </c>
      <c r="D605" s="354" t="s">
        <v>165</v>
      </c>
      <c r="E605" s="404" t="s">
        <v>520</v>
      </c>
      <c r="F605" s="405" t="s">
        <v>167</v>
      </c>
      <c r="G605" s="406" t="s">
        <v>209</v>
      </c>
      <c r="H605" s="420" t="s">
        <v>439</v>
      </c>
      <c r="I605" s="420" t="s">
        <v>111</v>
      </c>
      <c r="J605" s="399" t="s">
        <v>184</v>
      </c>
      <c r="K605" s="414">
        <v>31</v>
      </c>
      <c r="L605" s="408">
        <f t="shared" si="47"/>
        <v>494</v>
      </c>
      <c r="M605" s="409">
        <v>230</v>
      </c>
      <c r="N605" s="306">
        <v>200</v>
      </c>
      <c r="O605" s="409">
        <v>64</v>
      </c>
      <c r="P605" s="410" t="e">
        <f>IF(M605="nio",0,IF(M605&gt;0,M605*K605/S605,0))*VLOOKUP(B605,'2-Kosten per locatie'!$A$14:$C$61,3,FALSE)</f>
        <v>#DIV/0!</v>
      </c>
      <c r="Q605" s="410" t="e">
        <f>IF(N605&gt;0,N605*K605/T605,0)*VLOOKUP(B605,'2-Kosten per locatie'!$A$14:$C$61,3,FALSE)</f>
        <v>#DIV/0!</v>
      </c>
      <c r="R605" s="410" t="e">
        <f>IF(O605&gt;0,O605*K605/U605,0)*VLOOKUP(B605,'2-Kosten per locatie'!$A$14:$C$61,3,FALSE)</f>
        <v>#DIV/0!</v>
      </c>
      <c r="S605" s="411">
        <f>IF(M605="nio",0,IF(M605&gt;0,VLOOKUP(I605,'3-Productie normen'!A:P,VLOOKUP(M605,'3-Productie normen'!$B$38:$C$48,2,FALSE),FALSE)))</f>
        <v>0</v>
      </c>
      <c r="T605" s="411">
        <f t="shared" si="48"/>
        <v>0</v>
      </c>
      <c r="U605" s="411">
        <f t="shared" si="51"/>
        <v>0</v>
      </c>
      <c r="V605" s="412"/>
      <c r="X605" s="413">
        <f t="shared" si="49"/>
        <v>15314</v>
      </c>
    </row>
    <row r="606" spans="1:24" ht="14.1" customHeight="1">
      <c r="A606" s="70">
        <f t="shared" si="50"/>
        <v>606</v>
      </c>
      <c r="B606" s="354" t="s">
        <v>74</v>
      </c>
      <c r="C606" s="354" t="s">
        <v>519</v>
      </c>
      <c r="D606" s="354" t="s">
        <v>165</v>
      </c>
      <c r="E606" s="404" t="s">
        <v>520</v>
      </c>
      <c r="F606" s="405" t="s">
        <v>167</v>
      </c>
      <c r="G606" s="406" t="s">
        <v>210</v>
      </c>
      <c r="H606" s="420" t="s">
        <v>439</v>
      </c>
      <c r="I606" s="420" t="s">
        <v>111</v>
      </c>
      <c r="J606" s="399" t="s">
        <v>184</v>
      </c>
      <c r="K606" s="414">
        <v>37</v>
      </c>
      <c r="L606" s="408">
        <f t="shared" si="47"/>
        <v>494</v>
      </c>
      <c r="M606" s="409">
        <v>230</v>
      </c>
      <c r="N606" s="306">
        <v>200</v>
      </c>
      <c r="O606" s="409">
        <v>64</v>
      </c>
      <c r="P606" s="410" t="e">
        <f>IF(M606="nio",0,IF(M606&gt;0,M606*K606/S606,0))*VLOOKUP(B606,'2-Kosten per locatie'!$A$14:$C$61,3,FALSE)</f>
        <v>#DIV/0!</v>
      </c>
      <c r="Q606" s="410" t="e">
        <f>IF(N606&gt;0,N606*K606/T606,0)*VLOOKUP(B606,'2-Kosten per locatie'!$A$14:$C$61,3,FALSE)</f>
        <v>#DIV/0!</v>
      </c>
      <c r="R606" s="410" t="e">
        <f>IF(O606&gt;0,O606*K606/U606,0)*VLOOKUP(B606,'2-Kosten per locatie'!$A$14:$C$61,3,FALSE)</f>
        <v>#DIV/0!</v>
      </c>
      <c r="S606" s="411">
        <f>IF(M606="nio",0,IF(M606&gt;0,VLOOKUP(I606,'3-Productie normen'!A:P,VLOOKUP(M606,'3-Productie normen'!$B$38:$C$48,2,FALSE),FALSE)))</f>
        <v>0</v>
      </c>
      <c r="T606" s="411">
        <f t="shared" si="48"/>
        <v>0</v>
      </c>
      <c r="U606" s="411">
        <f t="shared" si="51"/>
        <v>0</v>
      </c>
      <c r="V606" s="412"/>
      <c r="X606" s="413">
        <f t="shared" si="49"/>
        <v>18278</v>
      </c>
    </row>
    <row r="607" spans="1:24" ht="14.1" customHeight="1">
      <c r="A607" s="70">
        <f t="shared" si="50"/>
        <v>607</v>
      </c>
      <c r="B607" s="354" t="s">
        <v>74</v>
      </c>
      <c r="C607" s="354" t="s">
        <v>519</v>
      </c>
      <c r="D607" s="354" t="s">
        <v>165</v>
      </c>
      <c r="E607" s="404" t="s">
        <v>520</v>
      </c>
      <c r="F607" s="405" t="s">
        <v>167</v>
      </c>
      <c r="G607" s="406" t="s">
        <v>212</v>
      </c>
      <c r="H607" s="420" t="s">
        <v>523</v>
      </c>
      <c r="I607" s="420" t="s">
        <v>106</v>
      </c>
      <c r="J607" s="399" t="s">
        <v>184</v>
      </c>
      <c r="K607" s="414">
        <v>7</v>
      </c>
      <c r="L607" s="408">
        <f t="shared" si="47"/>
        <v>494</v>
      </c>
      <c r="M607" s="409">
        <v>230</v>
      </c>
      <c r="N607" s="306">
        <v>200</v>
      </c>
      <c r="O607" s="409">
        <v>64</v>
      </c>
      <c r="P607" s="410" t="e">
        <f>IF(M607="nio",0,IF(M607&gt;0,M607*K607/S607,0))*VLOOKUP(B607,'2-Kosten per locatie'!$A$14:$C$61,3,FALSE)</f>
        <v>#DIV/0!</v>
      </c>
      <c r="Q607" s="410" t="e">
        <f>IF(N607&gt;0,N607*K607/T607,0)*VLOOKUP(B607,'2-Kosten per locatie'!$A$14:$C$61,3,FALSE)</f>
        <v>#DIV/0!</v>
      </c>
      <c r="R607" s="410" t="e">
        <f>IF(O607&gt;0,O607*K607/U607,0)*VLOOKUP(B607,'2-Kosten per locatie'!$A$14:$C$61,3,FALSE)</f>
        <v>#DIV/0!</v>
      </c>
      <c r="S607" s="411">
        <f>IF(M607="nio",0,IF(M607&gt;0,VLOOKUP(I607,'3-Productie normen'!A:P,VLOOKUP(M607,'3-Productie normen'!$B$38:$C$48,2,FALSE),FALSE)))</f>
        <v>0</v>
      </c>
      <c r="T607" s="411">
        <f t="shared" si="48"/>
        <v>0</v>
      </c>
      <c r="U607" s="411">
        <f t="shared" si="51"/>
        <v>0</v>
      </c>
      <c r="V607" s="412"/>
      <c r="X607" s="413">
        <f t="shared" si="49"/>
        <v>3458</v>
      </c>
    </row>
    <row r="608" spans="1:24" ht="14.1" customHeight="1">
      <c r="A608" s="70">
        <f t="shared" si="50"/>
        <v>608</v>
      </c>
      <c r="B608" s="354" t="s">
        <v>74</v>
      </c>
      <c r="C608" s="354" t="s">
        <v>519</v>
      </c>
      <c r="D608" s="354" t="s">
        <v>165</v>
      </c>
      <c r="E608" s="404" t="s">
        <v>520</v>
      </c>
      <c r="F608" s="405" t="s">
        <v>167</v>
      </c>
      <c r="G608" s="406" t="s">
        <v>245</v>
      </c>
      <c r="H608" s="420" t="s">
        <v>439</v>
      </c>
      <c r="I608" s="420" t="s">
        <v>111</v>
      </c>
      <c r="J608" s="399" t="s">
        <v>184</v>
      </c>
      <c r="K608" s="414">
        <v>31</v>
      </c>
      <c r="L608" s="408">
        <f t="shared" si="47"/>
        <v>494</v>
      </c>
      <c r="M608" s="409">
        <v>230</v>
      </c>
      <c r="N608" s="306">
        <v>200</v>
      </c>
      <c r="O608" s="409">
        <v>64</v>
      </c>
      <c r="P608" s="410" t="e">
        <f>IF(M608="nio",0,IF(M608&gt;0,M608*K608/S608,0))*VLOOKUP(B608,'2-Kosten per locatie'!$A$14:$C$61,3,FALSE)</f>
        <v>#DIV/0!</v>
      </c>
      <c r="Q608" s="410" t="e">
        <f>IF(N608&gt;0,N608*K608/T608,0)*VLOOKUP(B608,'2-Kosten per locatie'!$A$14:$C$61,3,FALSE)</f>
        <v>#DIV/0!</v>
      </c>
      <c r="R608" s="410" t="e">
        <f>IF(O608&gt;0,O608*K608/U608,0)*VLOOKUP(B608,'2-Kosten per locatie'!$A$14:$C$61,3,FALSE)</f>
        <v>#DIV/0!</v>
      </c>
      <c r="S608" s="411">
        <f>IF(M608="nio",0,IF(M608&gt;0,VLOOKUP(I608,'3-Productie normen'!A:P,VLOOKUP(M608,'3-Productie normen'!$B$38:$C$48,2,FALSE),FALSE)))</f>
        <v>0</v>
      </c>
      <c r="T608" s="411">
        <f t="shared" si="48"/>
        <v>0</v>
      </c>
      <c r="U608" s="411">
        <f t="shared" si="51"/>
        <v>0</v>
      </c>
      <c r="V608" s="412"/>
      <c r="X608" s="413">
        <f t="shared" si="49"/>
        <v>15314</v>
      </c>
    </row>
    <row r="609" spans="1:24" ht="14.1" customHeight="1">
      <c r="A609" s="70">
        <f t="shared" si="50"/>
        <v>609</v>
      </c>
      <c r="B609" s="354" t="s">
        <v>74</v>
      </c>
      <c r="C609" s="354" t="s">
        <v>519</v>
      </c>
      <c r="D609" s="354" t="s">
        <v>165</v>
      </c>
      <c r="E609" s="404" t="s">
        <v>520</v>
      </c>
      <c r="F609" s="405" t="s">
        <v>524</v>
      </c>
      <c r="G609" s="406" t="s">
        <v>525</v>
      </c>
      <c r="H609" s="420" t="s">
        <v>526</v>
      </c>
      <c r="I609" s="420" t="s">
        <v>106</v>
      </c>
      <c r="J609" s="399" t="s">
        <v>184</v>
      </c>
      <c r="K609" s="414">
        <v>14</v>
      </c>
      <c r="L609" s="408">
        <f t="shared" si="47"/>
        <v>494</v>
      </c>
      <c r="M609" s="409">
        <v>230</v>
      </c>
      <c r="N609" s="306">
        <v>200</v>
      </c>
      <c r="O609" s="409">
        <v>64</v>
      </c>
      <c r="P609" s="410" t="e">
        <f>IF(M609="nio",0,IF(M609&gt;0,M609*K609/S609,0))*VLOOKUP(B609,'2-Kosten per locatie'!$A$14:$C$61,3,FALSE)</f>
        <v>#DIV/0!</v>
      </c>
      <c r="Q609" s="410" t="e">
        <f>IF(N609&gt;0,N609*K609/T609,0)*VLOOKUP(B609,'2-Kosten per locatie'!$A$14:$C$61,3,FALSE)</f>
        <v>#DIV/0!</v>
      </c>
      <c r="R609" s="410" t="e">
        <f>IF(O609&gt;0,O609*K609/U609,0)*VLOOKUP(B609,'2-Kosten per locatie'!$A$14:$C$61,3,FALSE)</f>
        <v>#DIV/0!</v>
      </c>
      <c r="S609" s="411">
        <f>IF(M609="nio",0,IF(M609&gt;0,VLOOKUP(I609,'3-Productie normen'!A:P,VLOOKUP(M609,'3-Productie normen'!$B$38:$C$48,2,FALSE),FALSE)))</f>
        <v>0</v>
      </c>
      <c r="T609" s="411">
        <f t="shared" si="48"/>
        <v>0</v>
      </c>
      <c r="U609" s="411">
        <f t="shared" si="51"/>
        <v>0</v>
      </c>
      <c r="V609" s="412"/>
      <c r="X609" s="413">
        <f t="shared" si="49"/>
        <v>6916</v>
      </c>
    </row>
    <row r="610" spans="1:24" ht="14.1" customHeight="1">
      <c r="A610" s="70">
        <f t="shared" si="50"/>
        <v>610</v>
      </c>
      <c r="B610" s="354" t="s">
        <v>74</v>
      </c>
      <c r="C610" s="354" t="s">
        <v>519</v>
      </c>
      <c r="D610" s="354" t="s">
        <v>165</v>
      </c>
      <c r="E610" s="404" t="s">
        <v>520</v>
      </c>
      <c r="F610" s="405" t="s">
        <v>524</v>
      </c>
      <c r="G610" s="406" t="s">
        <v>527</v>
      </c>
      <c r="H610" s="420" t="s">
        <v>528</v>
      </c>
      <c r="I610" s="420" t="s">
        <v>108</v>
      </c>
      <c r="J610" s="399" t="s">
        <v>184</v>
      </c>
      <c r="K610" s="414">
        <v>460</v>
      </c>
      <c r="L610" s="408">
        <f t="shared" si="47"/>
        <v>494</v>
      </c>
      <c r="M610" s="409">
        <v>230</v>
      </c>
      <c r="N610" s="306">
        <v>200</v>
      </c>
      <c r="O610" s="409">
        <v>64</v>
      </c>
      <c r="P610" s="410" t="e">
        <f>IF(M610="nio",0,IF(M610&gt;0,M610*K610/S610,0))*VLOOKUP(B610,'2-Kosten per locatie'!$A$14:$C$61,3,FALSE)</f>
        <v>#DIV/0!</v>
      </c>
      <c r="Q610" s="410" t="e">
        <f>IF(N610&gt;0,N610*K610/T610,0)*VLOOKUP(B610,'2-Kosten per locatie'!$A$14:$C$61,3,FALSE)</f>
        <v>#DIV/0!</v>
      </c>
      <c r="R610" s="410" t="e">
        <f>IF(O610&gt;0,O610*K610/U610,0)*VLOOKUP(B610,'2-Kosten per locatie'!$A$14:$C$61,3,FALSE)</f>
        <v>#DIV/0!</v>
      </c>
      <c r="S610" s="411">
        <f>IF(M610="nio",0,IF(M610&gt;0,VLOOKUP(I610,'3-Productie normen'!A:P,VLOOKUP(M610,'3-Productie normen'!$B$38:$C$48,2,FALSE),FALSE)))</f>
        <v>0</v>
      </c>
      <c r="T610" s="411">
        <f t="shared" si="48"/>
        <v>0</v>
      </c>
      <c r="U610" s="411">
        <f t="shared" si="51"/>
        <v>0</v>
      </c>
      <c r="V610" s="412"/>
      <c r="X610" s="413">
        <f t="shared" si="49"/>
        <v>227240</v>
      </c>
    </row>
    <row r="611" spans="1:24" ht="14.1" customHeight="1">
      <c r="A611" s="70">
        <f t="shared" si="50"/>
        <v>611</v>
      </c>
      <c r="B611" s="354" t="s">
        <v>74</v>
      </c>
      <c r="C611" s="354" t="s">
        <v>519</v>
      </c>
      <c r="D611" s="354" t="s">
        <v>165</v>
      </c>
      <c r="E611" s="404" t="s">
        <v>520</v>
      </c>
      <c r="F611" s="405" t="s">
        <v>524</v>
      </c>
      <c r="G611" s="406" t="s">
        <v>527</v>
      </c>
      <c r="H611" s="420" t="s">
        <v>528</v>
      </c>
      <c r="I611" s="420" t="s">
        <v>108</v>
      </c>
      <c r="J611" s="399" t="s">
        <v>184</v>
      </c>
      <c r="K611" s="414">
        <v>460</v>
      </c>
      <c r="L611" s="408">
        <f t="shared" si="47"/>
        <v>494</v>
      </c>
      <c r="M611" s="409">
        <v>230</v>
      </c>
      <c r="N611" s="306">
        <v>200</v>
      </c>
      <c r="O611" s="409">
        <v>64</v>
      </c>
      <c r="P611" s="410" t="e">
        <f>IF(M611="nio",0,IF(M611&gt;0,M611*K611/S611,0))*VLOOKUP(B611,'2-Kosten per locatie'!$A$14:$C$61,3,FALSE)</f>
        <v>#DIV/0!</v>
      </c>
      <c r="Q611" s="410" t="e">
        <f>IF(N611&gt;0,N611*K611/T611,0)*VLOOKUP(B611,'2-Kosten per locatie'!$A$14:$C$61,3,FALSE)</f>
        <v>#DIV/0!</v>
      </c>
      <c r="R611" s="410" t="e">
        <f>IF(O611&gt;0,O611*K611/U611,0)*VLOOKUP(B611,'2-Kosten per locatie'!$A$14:$C$61,3,FALSE)</f>
        <v>#DIV/0!</v>
      </c>
      <c r="S611" s="411">
        <f>IF(M611="nio",0,IF(M611&gt;0,VLOOKUP(I611,'3-Productie normen'!A:P,VLOOKUP(M611,'3-Productie normen'!$B$38:$C$48,2,FALSE),FALSE)))</f>
        <v>0</v>
      </c>
      <c r="T611" s="411">
        <f t="shared" si="48"/>
        <v>0</v>
      </c>
      <c r="U611" s="411">
        <f t="shared" si="51"/>
        <v>0</v>
      </c>
      <c r="V611" s="412"/>
      <c r="X611" s="413">
        <f t="shared" si="49"/>
        <v>227240</v>
      </c>
    </row>
    <row r="612" spans="1:24" ht="14.1" customHeight="1">
      <c r="A612" s="70">
        <f t="shared" si="50"/>
        <v>612</v>
      </c>
      <c r="B612" s="354" t="s">
        <v>74</v>
      </c>
      <c r="C612" s="354" t="s">
        <v>519</v>
      </c>
      <c r="D612" s="354" t="s">
        <v>165</v>
      </c>
      <c r="E612" s="404" t="s">
        <v>520</v>
      </c>
      <c r="F612" s="405" t="s">
        <v>524</v>
      </c>
      <c r="G612" s="406" t="s">
        <v>525</v>
      </c>
      <c r="H612" s="420" t="s">
        <v>206</v>
      </c>
      <c r="I612" s="420" t="s">
        <v>108</v>
      </c>
      <c r="J612" s="399" t="s">
        <v>184</v>
      </c>
      <c r="K612" s="414">
        <v>25</v>
      </c>
      <c r="L612" s="408">
        <f t="shared" si="47"/>
        <v>494</v>
      </c>
      <c r="M612" s="409">
        <v>230</v>
      </c>
      <c r="N612" s="306">
        <v>200</v>
      </c>
      <c r="O612" s="409">
        <v>64</v>
      </c>
      <c r="P612" s="410" t="e">
        <f>IF(M612="nio",0,IF(M612&gt;0,M612*K612/S612,0))*VLOOKUP(B612,'2-Kosten per locatie'!$A$14:$C$61,3,FALSE)</f>
        <v>#DIV/0!</v>
      </c>
      <c r="Q612" s="410" t="e">
        <f>IF(N612&gt;0,N612*K612/T612,0)*VLOOKUP(B612,'2-Kosten per locatie'!$A$14:$C$61,3,FALSE)</f>
        <v>#DIV/0!</v>
      </c>
      <c r="R612" s="410" t="e">
        <f>IF(O612&gt;0,O612*K612/U612,0)*VLOOKUP(B612,'2-Kosten per locatie'!$A$14:$C$61,3,FALSE)</f>
        <v>#DIV/0!</v>
      </c>
      <c r="S612" s="411">
        <f>IF(M612="nio",0,IF(M612&gt;0,VLOOKUP(I612,'3-Productie normen'!A:P,VLOOKUP(M612,'3-Productie normen'!$B$38:$C$48,2,FALSE),FALSE)))</f>
        <v>0</v>
      </c>
      <c r="T612" s="411">
        <f t="shared" si="48"/>
        <v>0</v>
      </c>
      <c r="U612" s="411">
        <f t="shared" si="51"/>
        <v>0</v>
      </c>
      <c r="V612" s="412"/>
      <c r="X612" s="413">
        <f t="shared" si="49"/>
        <v>12350</v>
      </c>
    </row>
    <row r="613" spans="1:24" ht="14.1" customHeight="1">
      <c r="A613" s="70">
        <f t="shared" si="50"/>
        <v>613</v>
      </c>
      <c r="B613" s="354" t="s">
        <v>74</v>
      </c>
      <c r="C613" s="354" t="s">
        <v>519</v>
      </c>
      <c r="D613" s="354" t="s">
        <v>165</v>
      </c>
      <c r="E613" s="404" t="s">
        <v>520</v>
      </c>
      <c r="F613" s="405" t="s">
        <v>524</v>
      </c>
      <c r="G613" s="406" t="s">
        <v>525</v>
      </c>
      <c r="H613" s="420" t="s">
        <v>243</v>
      </c>
      <c r="I613" s="420" t="s">
        <v>116</v>
      </c>
      <c r="J613" s="399" t="s">
        <v>359</v>
      </c>
      <c r="K613" s="414">
        <v>12</v>
      </c>
      <c r="L613" s="408">
        <f t="shared" si="47"/>
        <v>494</v>
      </c>
      <c r="M613" s="409">
        <v>230</v>
      </c>
      <c r="N613" s="306">
        <v>200</v>
      </c>
      <c r="O613" s="409">
        <v>64</v>
      </c>
      <c r="P613" s="410" t="e">
        <f>IF(M613="nio",0,IF(M613&gt;0,M613*K613/S613,0))*VLOOKUP(B613,'2-Kosten per locatie'!$A$14:$C$61,3,FALSE)</f>
        <v>#DIV/0!</v>
      </c>
      <c r="Q613" s="410" t="e">
        <f>IF(N613&gt;0,N613*K613/T613,0)*VLOOKUP(B613,'2-Kosten per locatie'!$A$14:$C$61,3,FALSE)</f>
        <v>#DIV/0!</v>
      </c>
      <c r="R613" s="410" t="e">
        <f>IF(O613&gt;0,O613*K613/U613,0)*VLOOKUP(B613,'2-Kosten per locatie'!$A$14:$C$61,3,FALSE)</f>
        <v>#DIV/0!</v>
      </c>
      <c r="S613" s="411">
        <f>IF(M613="nio",0,IF(M613&gt;0,VLOOKUP(I613,'3-Productie normen'!A:P,VLOOKUP(M613,'3-Productie normen'!$B$38:$C$48,2,FALSE),FALSE)))</f>
        <v>0</v>
      </c>
      <c r="T613" s="411">
        <f t="shared" si="48"/>
        <v>0</v>
      </c>
      <c r="U613" s="411">
        <f t="shared" si="51"/>
        <v>0</v>
      </c>
      <c r="V613" s="412"/>
      <c r="X613" s="413">
        <f t="shared" si="49"/>
        <v>5928</v>
      </c>
    </row>
    <row r="614" spans="1:24" ht="14.1" customHeight="1">
      <c r="A614" s="70">
        <f t="shared" si="50"/>
        <v>614</v>
      </c>
      <c r="B614" s="354" t="s">
        <v>74</v>
      </c>
      <c r="C614" s="354" t="s">
        <v>519</v>
      </c>
      <c r="D614" s="354" t="s">
        <v>165</v>
      </c>
      <c r="E614" s="404" t="s">
        <v>520</v>
      </c>
      <c r="F614" s="405" t="s">
        <v>524</v>
      </c>
      <c r="G614" s="406" t="s">
        <v>529</v>
      </c>
      <c r="H614" s="420" t="s">
        <v>183</v>
      </c>
      <c r="I614" s="420" t="s">
        <v>106</v>
      </c>
      <c r="J614" s="399" t="s">
        <v>364</v>
      </c>
      <c r="K614" s="414">
        <v>27</v>
      </c>
      <c r="L614" s="408">
        <f t="shared" si="47"/>
        <v>494</v>
      </c>
      <c r="M614" s="409">
        <v>230</v>
      </c>
      <c r="N614" s="306">
        <v>200</v>
      </c>
      <c r="O614" s="409">
        <v>64</v>
      </c>
      <c r="P614" s="410" t="e">
        <f>IF(M614="nio",0,IF(M614&gt;0,M614*K614/S614,0))*VLOOKUP(B614,'2-Kosten per locatie'!$A$14:$C$61,3,FALSE)</f>
        <v>#DIV/0!</v>
      </c>
      <c r="Q614" s="410" t="e">
        <f>IF(N614&gt;0,N614*K614/T614,0)*VLOOKUP(B614,'2-Kosten per locatie'!$A$14:$C$61,3,FALSE)</f>
        <v>#DIV/0!</v>
      </c>
      <c r="R614" s="410" t="e">
        <f>IF(O614&gt;0,O614*K614/U614,0)*VLOOKUP(B614,'2-Kosten per locatie'!$A$14:$C$61,3,FALSE)</f>
        <v>#DIV/0!</v>
      </c>
      <c r="S614" s="411">
        <f>IF(M614="nio",0,IF(M614&gt;0,VLOOKUP(I614,'3-Productie normen'!A:P,VLOOKUP(M614,'3-Productie normen'!$B$38:$C$48,2,FALSE),FALSE)))</f>
        <v>0</v>
      </c>
      <c r="T614" s="411">
        <f t="shared" si="48"/>
        <v>0</v>
      </c>
      <c r="U614" s="411">
        <f t="shared" si="51"/>
        <v>0</v>
      </c>
      <c r="V614" s="412"/>
      <c r="X614" s="413">
        <f t="shared" si="49"/>
        <v>13338</v>
      </c>
    </row>
    <row r="615" spans="1:24" ht="14.1" customHeight="1">
      <c r="A615" s="70">
        <f t="shared" si="50"/>
        <v>615</v>
      </c>
      <c r="B615" s="354" t="s">
        <v>74</v>
      </c>
      <c r="C615" s="354" t="s">
        <v>519</v>
      </c>
      <c r="D615" s="354" t="s">
        <v>165</v>
      </c>
      <c r="E615" s="404" t="s">
        <v>520</v>
      </c>
      <c r="F615" s="405" t="s">
        <v>524</v>
      </c>
      <c r="G615" s="406" t="s">
        <v>525</v>
      </c>
      <c r="H615" s="420" t="s">
        <v>252</v>
      </c>
      <c r="I615" s="420" t="s">
        <v>108</v>
      </c>
      <c r="J615" s="399" t="s">
        <v>184</v>
      </c>
      <c r="K615" s="414">
        <v>110</v>
      </c>
      <c r="L615" s="408">
        <f t="shared" si="47"/>
        <v>494</v>
      </c>
      <c r="M615" s="409">
        <v>230</v>
      </c>
      <c r="N615" s="306">
        <v>200</v>
      </c>
      <c r="O615" s="409">
        <v>64</v>
      </c>
      <c r="P615" s="410" t="e">
        <f>IF(M615="nio",0,IF(M615&gt;0,M615*K615/S615,0))*VLOOKUP(B615,'2-Kosten per locatie'!$A$14:$C$61,3,FALSE)</f>
        <v>#DIV/0!</v>
      </c>
      <c r="Q615" s="410" t="e">
        <f>IF(N615&gt;0,N615*K615/T615,0)*VLOOKUP(B615,'2-Kosten per locatie'!$A$14:$C$61,3,FALSE)</f>
        <v>#DIV/0!</v>
      </c>
      <c r="R615" s="410" t="e">
        <f>IF(O615&gt;0,O615*K615/U615,0)*VLOOKUP(B615,'2-Kosten per locatie'!$A$14:$C$61,3,FALSE)</f>
        <v>#DIV/0!</v>
      </c>
      <c r="S615" s="411">
        <f>IF(M615="nio",0,IF(M615&gt;0,VLOOKUP(I615,'3-Productie normen'!A:P,VLOOKUP(M615,'3-Productie normen'!$B$38:$C$48,2,FALSE),FALSE)))</f>
        <v>0</v>
      </c>
      <c r="T615" s="411">
        <f t="shared" si="48"/>
        <v>0</v>
      </c>
      <c r="U615" s="411">
        <f t="shared" si="51"/>
        <v>0</v>
      </c>
      <c r="V615" s="412"/>
      <c r="X615" s="413">
        <f t="shared" si="49"/>
        <v>54340</v>
      </c>
    </row>
    <row r="616" spans="1:24" ht="14.1" customHeight="1">
      <c r="A616" s="70">
        <f t="shared" si="50"/>
        <v>616</v>
      </c>
      <c r="B616" s="354" t="s">
        <v>74</v>
      </c>
      <c r="C616" s="354" t="s">
        <v>519</v>
      </c>
      <c r="D616" s="354" t="s">
        <v>165</v>
      </c>
      <c r="E616" s="404" t="s">
        <v>520</v>
      </c>
      <c r="F616" s="405" t="s">
        <v>524</v>
      </c>
      <c r="G616" s="406" t="s">
        <v>530</v>
      </c>
      <c r="H616" s="420" t="s">
        <v>183</v>
      </c>
      <c r="I616" s="420" t="s">
        <v>106</v>
      </c>
      <c r="J616" s="399" t="s">
        <v>364</v>
      </c>
      <c r="K616" s="414">
        <v>27</v>
      </c>
      <c r="L616" s="408">
        <f t="shared" si="47"/>
        <v>494</v>
      </c>
      <c r="M616" s="409">
        <v>230</v>
      </c>
      <c r="N616" s="306">
        <v>200</v>
      </c>
      <c r="O616" s="409">
        <v>64</v>
      </c>
      <c r="P616" s="410" t="e">
        <f>IF(M616="nio",0,IF(M616&gt;0,M616*K616/S616,0))*VLOOKUP(B616,'2-Kosten per locatie'!$A$14:$C$61,3,FALSE)</f>
        <v>#DIV/0!</v>
      </c>
      <c r="Q616" s="410" t="e">
        <f>IF(N616&gt;0,N616*K616/T616,0)*VLOOKUP(B616,'2-Kosten per locatie'!$A$14:$C$61,3,FALSE)</f>
        <v>#DIV/0!</v>
      </c>
      <c r="R616" s="410" t="e">
        <f>IF(O616&gt;0,O616*K616/U616,0)*VLOOKUP(B616,'2-Kosten per locatie'!$A$14:$C$61,3,FALSE)</f>
        <v>#DIV/0!</v>
      </c>
      <c r="S616" s="411">
        <f>IF(M616="nio",0,IF(M616&gt;0,VLOOKUP(I616,'3-Productie normen'!A:P,VLOOKUP(M616,'3-Productie normen'!$B$38:$C$48,2,FALSE),FALSE)))</f>
        <v>0</v>
      </c>
      <c r="T616" s="411">
        <f t="shared" si="48"/>
        <v>0</v>
      </c>
      <c r="U616" s="411">
        <f t="shared" si="51"/>
        <v>0</v>
      </c>
      <c r="V616" s="412"/>
      <c r="X616" s="413">
        <f t="shared" si="49"/>
        <v>13338</v>
      </c>
    </row>
    <row r="617" spans="1:24" ht="14.1" customHeight="1">
      <c r="A617" s="70">
        <f t="shared" si="50"/>
        <v>617</v>
      </c>
      <c r="B617" s="354" t="s">
        <v>74</v>
      </c>
      <c r="C617" s="354" t="s">
        <v>519</v>
      </c>
      <c r="D617" s="354" t="s">
        <v>165</v>
      </c>
      <c r="E617" s="404" t="s">
        <v>520</v>
      </c>
      <c r="F617" s="405" t="s">
        <v>531</v>
      </c>
      <c r="G617" s="406" t="s">
        <v>532</v>
      </c>
      <c r="H617" s="420" t="s">
        <v>206</v>
      </c>
      <c r="I617" s="420" t="s">
        <v>108</v>
      </c>
      <c r="J617" s="399" t="s">
        <v>184</v>
      </c>
      <c r="K617" s="414">
        <v>25</v>
      </c>
      <c r="L617" s="408">
        <f t="shared" si="47"/>
        <v>494</v>
      </c>
      <c r="M617" s="409">
        <v>230</v>
      </c>
      <c r="N617" s="306">
        <v>200</v>
      </c>
      <c r="O617" s="409">
        <v>64</v>
      </c>
      <c r="P617" s="410" t="e">
        <f>IF(M617="nio",0,IF(M617&gt;0,M617*K617/S617,0))*VLOOKUP(B617,'2-Kosten per locatie'!$A$14:$C$61,3,FALSE)</f>
        <v>#DIV/0!</v>
      </c>
      <c r="Q617" s="410" t="e">
        <f>IF(N617&gt;0,N617*K617/T617,0)*VLOOKUP(B617,'2-Kosten per locatie'!$A$14:$C$61,3,FALSE)</f>
        <v>#DIV/0!</v>
      </c>
      <c r="R617" s="410" t="e">
        <f>IF(O617&gt;0,O617*K617/U617,0)*VLOOKUP(B617,'2-Kosten per locatie'!$A$14:$C$61,3,FALSE)</f>
        <v>#DIV/0!</v>
      </c>
      <c r="S617" s="411">
        <f>IF(M617="nio",0,IF(M617&gt;0,VLOOKUP(I617,'3-Productie normen'!A:P,VLOOKUP(M617,'3-Productie normen'!$B$38:$C$48,2,FALSE),FALSE)))</f>
        <v>0</v>
      </c>
      <c r="T617" s="411">
        <f t="shared" si="48"/>
        <v>0</v>
      </c>
      <c r="U617" s="411">
        <f t="shared" si="51"/>
        <v>0</v>
      </c>
      <c r="V617" s="412"/>
      <c r="X617" s="413">
        <f t="shared" si="49"/>
        <v>12350</v>
      </c>
    </row>
    <row r="618" spans="1:24" ht="14.1" customHeight="1">
      <c r="A618" s="70">
        <f t="shared" si="50"/>
        <v>618</v>
      </c>
      <c r="B618" s="354" t="s">
        <v>74</v>
      </c>
      <c r="C618" s="354" t="s">
        <v>519</v>
      </c>
      <c r="D618" s="354" t="s">
        <v>165</v>
      </c>
      <c r="E618" s="404" t="s">
        <v>520</v>
      </c>
      <c r="F618" s="405" t="s">
        <v>531</v>
      </c>
      <c r="G618" s="406" t="s">
        <v>532</v>
      </c>
      <c r="H618" s="420" t="s">
        <v>243</v>
      </c>
      <c r="I618" s="420" t="s">
        <v>116</v>
      </c>
      <c r="J618" s="399" t="s">
        <v>359</v>
      </c>
      <c r="K618" s="414">
        <v>10</v>
      </c>
      <c r="L618" s="408">
        <f t="shared" si="47"/>
        <v>494</v>
      </c>
      <c r="M618" s="409">
        <v>230</v>
      </c>
      <c r="N618" s="306">
        <v>200</v>
      </c>
      <c r="O618" s="409">
        <v>64</v>
      </c>
      <c r="P618" s="410" t="e">
        <f>IF(M618="nio",0,IF(M618&gt;0,M618*K618/S618,0))*VLOOKUP(B618,'2-Kosten per locatie'!$A$14:$C$61,3,FALSE)</f>
        <v>#DIV/0!</v>
      </c>
      <c r="Q618" s="410" t="e">
        <f>IF(N618&gt;0,N618*K618/T618,0)*VLOOKUP(B618,'2-Kosten per locatie'!$A$14:$C$61,3,FALSE)</f>
        <v>#DIV/0!</v>
      </c>
      <c r="R618" s="410" t="e">
        <f>IF(O618&gt;0,O618*K618/U618,0)*VLOOKUP(B618,'2-Kosten per locatie'!$A$14:$C$61,3,FALSE)</f>
        <v>#DIV/0!</v>
      </c>
      <c r="S618" s="411">
        <f>IF(M618="nio",0,IF(M618&gt;0,VLOOKUP(I618,'3-Productie normen'!A:P,VLOOKUP(M618,'3-Productie normen'!$B$38:$C$48,2,FALSE),FALSE)))</f>
        <v>0</v>
      </c>
      <c r="T618" s="411">
        <f t="shared" si="48"/>
        <v>0</v>
      </c>
      <c r="U618" s="411">
        <f t="shared" si="51"/>
        <v>0</v>
      </c>
      <c r="V618" s="412"/>
      <c r="X618" s="413">
        <f t="shared" si="49"/>
        <v>4940</v>
      </c>
    </row>
    <row r="619" spans="1:24" ht="14.1" customHeight="1">
      <c r="A619" s="70">
        <f t="shared" si="50"/>
        <v>619</v>
      </c>
      <c r="B619" s="354" t="s">
        <v>74</v>
      </c>
      <c r="C619" s="354" t="s">
        <v>519</v>
      </c>
      <c r="D619" s="354" t="s">
        <v>165</v>
      </c>
      <c r="E619" s="404" t="s">
        <v>520</v>
      </c>
      <c r="F619" s="405" t="s">
        <v>531</v>
      </c>
      <c r="G619" s="406" t="s">
        <v>533</v>
      </c>
      <c r="H619" s="420" t="s">
        <v>183</v>
      </c>
      <c r="I619" s="399" t="s">
        <v>124</v>
      </c>
      <c r="J619" s="399" t="s">
        <v>364</v>
      </c>
      <c r="K619" s="414">
        <v>27</v>
      </c>
      <c r="L619" s="408">
        <f t="shared" si="47"/>
        <v>0</v>
      </c>
      <c r="M619" s="409" t="s">
        <v>242</v>
      </c>
      <c r="N619" s="306"/>
      <c r="O619" s="409"/>
      <c r="P619" s="410">
        <f>IF(M619="nio",0,IF(M619&gt;0,M619*K619/S619,0))*VLOOKUP(B619,'2-Kosten per locatie'!$A$14:$C$61,3,FALSE)</f>
        <v>0</v>
      </c>
      <c r="Q619" s="410">
        <f>IF(N619&gt;0,N619*K619/T619,0)*VLOOKUP(B619,'2-Kosten per locatie'!$A$14:$C$61,3,FALSE)</f>
        <v>0</v>
      </c>
      <c r="R619" s="410">
        <f>IF(O619&gt;0,O619*K619/U619,0)*VLOOKUP(B619,'2-Kosten per locatie'!$A$14:$C$61,3,FALSE)</f>
        <v>0</v>
      </c>
      <c r="S619" s="411">
        <f>IF(M619="nio",0,IF(M619&gt;0,VLOOKUP(I619,'3-Productie normen'!A:P,VLOOKUP(M619,'3-Productie normen'!$B$38:$C$48,2,FALSE),FALSE)))</f>
        <v>0</v>
      </c>
      <c r="T619" s="411">
        <f t="shared" si="48"/>
        <v>0</v>
      </c>
      <c r="U619" s="411">
        <f t="shared" si="51"/>
        <v>0</v>
      </c>
      <c r="V619" s="412"/>
      <c r="X619" s="413">
        <f t="shared" si="49"/>
        <v>0</v>
      </c>
    </row>
    <row r="620" spans="1:24" ht="14.1" customHeight="1">
      <c r="A620" s="70">
        <f t="shared" si="50"/>
        <v>620</v>
      </c>
      <c r="B620" s="354" t="s">
        <v>74</v>
      </c>
      <c r="C620" s="354" t="s">
        <v>519</v>
      </c>
      <c r="D620" s="354" t="s">
        <v>165</v>
      </c>
      <c r="E620" s="404" t="s">
        <v>520</v>
      </c>
      <c r="F620" s="405" t="s">
        <v>531</v>
      </c>
      <c r="G620" s="406" t="s">
        <v>532</v>
      </c>
      <c r="H620" s="420" t="s">
        <v>252</v>
      </c>
      <c r="I620" s="420" t="s">
        <v>108</v>
      </c>
      <c r="J620" s="399" t="s">
        <v>184</v>
      </c>
      <c r="K620" s="414">
        <v>48</v>
      </c>
      <c r="L620" s="408">
        <f t="shared" ref="L620:L683" si="52">SUM(M620:O620)</f>
        <v>494</v>
      </c>
      <c r="M620" s="409">
        <v>230</v>
      </c>
      <c r="N620" s="306">
        <v>200</v>
      </c>
      <c r="O620" s="409">
        <v>64</v>
      </c>
      <c r="P620" s="410" t="e">
        <f>IF(M620="nio",0,IF(M620&gt;0,M620*K620/S620,0))*VLOOKUP(B620,'2-Kosten per locatie'!$A$14:$C$61,3,FALSE)</f>
        <v>#DIV/0!</v>
      </c>
      <c r="Q620" s="410" t="e">
        <f>IF(N620&gt;0,N620*K620/T620,0)*VLOOKUP(B620,'2-Kosten per locatie'!$A$14:$C$61,3,FALSE)</f>
        <v>#DIV/0!</v>
      </c>
      <c r="R620" s="410" t="e">
        <f>IF(O620&gt;0,O620*K620/U620,0)*VLOOKUP(B620,'2-Kosten per locatie'!$A$14:$C$61,3,FALSE)</f>
        <v>#DIV/0!</v>
      </c>
      <c r="S620" s="411">
        <f>IF(M620="nio",0,IF(M620&gt;0,VLOOKUP(I620,'3-Productie normen'!A:P,VLOOKUP(M620,'3-Productie normen'!$B$38:$C$48,2,FALSE),FALSE)))</f>
        <v>0</v>
      </c>
      <c r="T620" s="411">
        <f t="shared" si="48"/>
        <v>0</v>
      </c>
      <c r="U620" s="411">
        <f t="shared" si="51"/>
        <v>0</v>
      </c>
      <c r="V620" s="412"/>
      <c r="X620" s="413">
        <f t="shared" si="49"/>
        <v>23712</v>
      </c>
    </row>
    <row r="621" spans="1:24" ht="14.1" customHeight="1">
      <c r="A621" s="70">
        <f t="shared" si="50"/>
        <v>621</v>
      </c>
      <c r="B621" s="354" t="s">
        <v>74</v>
      </c>
      <c r="C621" s="354" t="s">
        <v>519</v>
      </c>
      <c r="D621" s="354" t="s">
        <v>165</v>
      </c>
      <c r="E621" s="404" t="s">
        <v>520</v>
      </c>
      <c r="F621" s="405" t="s">
        <v>531</v>
      </c>
      <c r="G621" s="406" t="s">
        <v>534</v>
      </c>
      <c r="H621" s="420" t="s">
        <v>183</v>
      </c>
      <c r="I621" s="399" t="s">
        <v>124</v>
      </c>
      <c r="J621" s="399" t="s">
        <v>364</v>
      </c>
      <c r="K621" s="414">
        <v>27</v>
      </c>
      <c r="L621" s="408">
        <f t="shared" si="52"/>
        <v>0</v>
      </c>
      <c r="M621" s="409" t="s">
        <v>242</v>
      </c>
      <c r="N621" s="306"/>
      <c r="O621" s="409"/>
      <c r="P621" s="410">
        <f>IF(M621="nio",0,IF(M621&gt;0,M621*K621/S621,0))*VLOOKUP(B621,'2-Kosten per locatie'!$A$14:$C$61,3,FALSE)</f>
        <v>0</v>
      </c>
      <c r="Q621" s="410">
        <f>IF(N621&gt;0,N621*K621/T621,0)*VLOOKUP(B621,'2-Kosten per locatie'!$A$14:$C$61,3,FALSE)</f>
        <v>0</v>
      </c>
      <c r="R621" s="410">
        <f>IF(O621&gt;0,O621*K621/U621,0)*VLOOKUP(B621,'2-Kosten per locatie'!$A$14:$C$61,3,FALSE)</f>
        <v>0</v>
      </c>
      <c r="S621" s="411">
        <f>IF(M621="nio",0,IF(M621&gt;0,VLOOKUP(I621,'3-Productie normen'!A:P,VLOOKUP(M621,'3-Productie normen'!$B$38:$C$48,2,FALSE),FALSE)))</f>
        <v>0</v>
      </c>
      <c r="T621" s="411">
        <f t="shared" si="48"/>
        <v>0</v>
      </c>
      <c r="U621" s="411">
        <f t="shared" si="51"/>
        <v>0</v>
      </c>
      <c r="V621" s="412"/>
      <c r="X621" s="413">
        <f t="shared" si="49"/>
        <v>0</v>
      </c>
    </row>
    <row r="622" spans="1:24" ht="14.1" customHeight="1">
      <c r="A622" s="70">
        <f t="shared" si="50"/>
        <v>622</v>
      </c>
      <c r="B622" s="354" t="s">
        <v>75</v>
      </c>
      <c r="C622" s="354" t="s">
        <v>535</v>
      </c>
      <c r="D622" s="354" t="s">
        <v>165</v>
      </c>
      <c r="E622" s="404" t="s">
        <v>536</v>
      </c>
      <c r="F622" s="405" t="s">
        <v>167</v>
      </c>
      <c r="G622" s="406"/>
      <c r="H622" s="420" t="s">
        <v>183</v>
      </c>
      <c r="I622" s="420" t="s">
        <v>106</v>
      </c>
      <c r="J622" s="399" t="s">
        <v>537</v>
      </c>
      <c r="K622" s="414">
        <v>3.8500000000000005</v>
      </c>
      <c r="L622" s="408">
        <f t="shared" si="52"/>
        <v>200</v>
      </c>
      <c r="M622" s="409">
        <v>200</v>
      </c>
      <c r="N622" s="306"/>
      <c r="O622" s="409"/>
      <c r="P622" s="410" t="e">
        <f>IF(M622="nio",0,IF(M622&gt;0,M622*K622/S622,0))*VLOOKUP(B622,'2-Kosten per locatie'!$A$14:$C$61,3,FALSE)</f>
        <v>#DIV/0!</v>
      </c>
      <c r="Q622" s="410">
        <f>IF(N622&gt;0,N622*K622/T622,0)*VLOOKUP(B622,'2-Kosten per locatie'!$A$14:$C$61,3,FALSE)</f>
        <v>0</v>
      </c>
      <c r="R622" s="410">
        <f>IF(O622&gt;0,O622*K622/U622,0)*VLOOKUP(B622,'2-Kosten per locatie'!$A$14:$C$61,3,FALSE)</f>
        <v>0</v>
      </c>
      <c r="S622" s="411">
        <f>IF(M622="nio",0,IF(M622&gt;0,VLOOKUP(I622,'3-Productie normen'!A:P,VLOOKUP(M622,'3-Productie normen'!$B$38:$C$48,2,FALSE),FALSE)))</f>
        <v>0</v>
      </c>
      <c r="T622" s="411">
        <f t="shared" si="48"/>
        <v>0</v>
      </c>
      <c r="U622" s="411">
        <f t="shared" si="51"/>
        <v>0</v>
      </c>
      <c r="V622" s="412"/>
      <c r="X622" s="413">
        <f t="shared" si="49"/>
        <v>770.00000000000011</v>
      </c>
    </row>
    <row r="623" spans="1:24" ht="14.1" customHeight="1">
      <c r="A623" s="70">
        <f t="shared" si="50"/>
        <v>623</v>
      </c>
      <c r="B623" s="354" t="s">
        <v>75</v>
      </c>
      <c r="C623" s="354" t="s">
        <v>535</v>
      </c>
      <c r="D623" s="354" t="s">
        <v>165</v>
      </c>
      <c r="E623" s="404" t="s">
        <v>536</v>
      </c>
      <c r="F623" s="405" t="s">
        <v>167</v>
      </c>
      <c r="G623" s="406"/>
      <c r="H623" s="420" t="s">
        <v>411</v>
      </c>
      <c r="I623" s="420" t="s">
        <v>116</v>
      </c>
      <c r="J623" s="399" t="s">
        <v>218</v>
      </c>
      <c r="K623" s="414">
        <v>15.75</v>
      </c>
      <c r="L623" s="408">
        <f t="shared" si="52"/>
        <v>200</v>
      </c>
      <c r="M623" s="409">
        <v>200</v>
      </c>
      <c r="N623" s="306"/>
      <c r="O623" s="409"/>
      <c r="P623" s="410" t="e">
        <f>IF(M623="nio",0,IF(M623&gt;0,M623*K623/S623,0))*VLOOKUP(B623,'2-Kosten per locatie'!$A$14:$C$61,3,FALSE)</f>
        <v>#DIV/0!</v>
      </c>
      <c r="Q623" s="410">
        <f>IF(N623&gt;0,N623*K623/T623,0)*VLOOKUP(B623,'2-Kosten per locatie'!$A$14:$C$61,3,FALSE)</f>
        <v>0</v>
      </c>
      <c r="R623" s="410">
        <f>IF(O623&gt;0,O623*K623/U623,0)*VLOOKUP(B623,'2-Kosten per locatie'!$A$14:$C$61,3,FALSE)</f>
        <v>0</v>
      </c>
      <c r="S623" s="411">
        <f>IF(M623="nio",0,IF(M623&gt;0,VLOOKUP(I623,'3-Productie normen'!A:P,VLOOKUP(M623,'3-Productie normen'!$B$38:$C$48,2,FALSE),FALSE)))</f>
        <v>0</v>
      </c>
      <c r="T623" s="411">
        <f t="shared" si="48"/>
        <v>0</v>
      </c>
      <c r="U623" s="411">
        <f t="shared" si="51"/>
        <v>0</v>
      </c>
      <c r="V623" s="412"/>
      <c r="X623" s="413">
        <f t="shared" si="49"/>
        <v>3150</v>
      </c>
    </row>
    <row r="624" spans="1:24" ht="14.1" customHeight="1">
      <c r="A624" s="70">
        <f t="shared" si="50"/>
        <v>624</v>
      </c>
      <c r="B624" s="354" t="s">
        <v>75</v>
      </c>
      <c r="C624" s="354" t="s">
        <v>535</v>
      </c>
      <c r="D624" s="354" t="s">
        <v>165</v>
      </c>
      <c r="E624" s="404" t="s">
        <v>536</v>
      </c>
      <c r="F624" s="405" t="s">
        <v>167</v>
      </c>
      <c r="G624" s="406"/>
      <c r="H624" s="420" t="s">
        <v>538</v>
      </c>
      <c r="I624" s="420" t="s">
        <v>120</v>
      </c>
      <c r="J624" s="399" t="s">
        <v>218</v>
      </c>
      <c r="K624" s="414">
        <v>60.32</v>
      </c>
      <c r="L624" s="408">
        <f t="shared" si="52"/>
        <v>200</v>
      </c>
      <c r="M624" s="409">
        <v>200</v>
      </c>
      <c r="N624" s="306"/>
      <c r="O624" s="409"/>
      <c r="P624" s="410" t="e">
        <f>IF(M624="nio",0,IF(M624&gt;0,M624*K624/S624,0))*VLOOKUP(B624,'2-Kosten per locatie'!$A$14:$C$61,3,FALSE)</f>
        <v>#DIV/0!</v>
      </c>
      <c r="Q624" s="410">
        <f>IF(N624&gt;0,N624*K624/T624,0)*VLOOKUP(B624,'2-Kosten per locatie'!$A$14:$C$61,3,FALSE)</f>
        <v>0</v>
      </c>
      <c r="R624" s="410">
        <f>IF(O624&gt;0,O624*K624/U624,0)*VLOOKUP(B624,'2-Kosten per locatie'!$A$14:$C$61,3,FALSE)</f>
        <v>0</v>
      </c>
      <c r="S624" s="411">
        <f>IF(M624="nio",0,IF(M624&gt;0,VLOOKUP(I624,'3-Productie normen'!A:P,VLOOKUP(M624,'3-Productie normen'!$B$38:$C$48,2,FALSE),FALSE)))</f>
        <v>0</v>
      </c>
      <c r="T624" s="411">
        <f t="shared" si="48"/>
        <v>0</v>
      </c>
      <c r="U624" s="411">
        <f t="shared" si="51"/>
        <v>0</v>
      </c>
      <c r="V624" s="412"/>
      <c r="X624" s="413">
        <f t="shared" si="49"/>
        <v>12064</v>
      </c>
    </row>
    <row r="625" spans="1:24" ht="14.1" customHeight="1">
      <c r="A625" s="70">
        <f t="shared" si="50"/>
        <v>625</v>
      </c>
      <c r="B625" s="354" t="s">
        <v>75</v>
      </c>
      <c r="C625" s="354" t="s">
        <v>535</v>
      </c>
      <c r="D625" s="354" t="s">
        <v>165</v>
      </c>
      <c r="E625" s="404" t="s">
        <v>536</v>
      </c>
      <c r="F625" s="405" t="s">
        <v>167</v>
      </c>
      <c r="G625" s="406"/>
      <c r="H625" s="420" t="s">
        <v>539</v>
      </c>
      <c r="I625" s="420" t="s">
        <v>108</v>
      </c>
      <c r="J625" s="399" t="s">
        <v>537</v>
      </c>
      <c r="K625" s="414">
        <v>74.25</v>
      </c>
      <c r="L625" s="408">
        <f t="shared" si="52"/>
        <v>52</v>
      </c>
      <c r="M625" s="409">
        <v>52</v>
      </c>
      <c r="N625" s="306"/>
      <c r="O625" s="409"/>
      <c r="P625" s="410" t="e">
        <f>IF(M625="nio",0,IF(M625&gt;0,M625*K625/S625,0))*VLOOKUP(B625,'2-Kosten per locatie'!$A$14:$C$61,3,FALSE)</f>
        <v>#DIV/0!</v>
      </c>
      <c r="Q625" s="410">
        <f>IF(N625&gt;0,N625*K625/T625,0)*VLOOKUP(B625,'2-Kosten per locatie'!$A$14:$C$61,3,FALSE)</f>
        <v>0</v>
      </c>
      <c r="R625" s="410">
        <f>IF(O625&gt;0,O625*K625/U625,0)*VLOOKUP(B625,'2-Kosten per locatie'!$A$14:$C$61,3,FALSE)</f>
        <v>0</v>
      </c>
      <c r="S625" s="411">
        <f>IF(M625="nio",0,IF(M625&gt;0,VLOOKUP(I625,'3-Productie normen'!A:P,VLOOKUP(M625,'3-Productie normen'!$B$38:$C$48,2,FALSE),FALSE)))</f>
        <v>0</v>
      </c>
      <c r="T625" s="411">
        <f t="shared" si="48"/>
        <v>0</v>
      </c>
      <c r="U625" s="411">
        <f t="shared" si="51"/>
        <v>0</v>
      </c>
      <c r="V625" s="412"/>
      <c r="X625" s="413">
        <f t="shared" si="49"/>
        <v>3861</v>
      </c>
    </row>
    <row r="626" spans="1:24" ht="14.1" customHeight="1">
      <c r="A626" s="70">
        <f t="shared" si="50"/>
        <v>626</v>
      </c>
      <c r="B626" s="354" t="s">
        <v>75</v>
      </c>
      <c r="C626" s="354" t="s">
        <v>535</v>
      </c>
      <c r="D626" s="354" t="s">
        <v>165</v>
      </c>
      <c r="E626" s="404" t="s">
        <v>536</v>
      </c>
      <c r="F626" s="405" t="s">
        <v>167</v>
      </c>
      <c r="G626" s="406"/>
      <c r="H626" s="420" t="s">
        <v>411</v>
      </c>
      <c r="I626" s="420" t="s">
        <v>116</v>
      </c>
      <c r="J626" s="399" t="s">
        <v>537</v>
      </c>
      <c r="K626" s="414">
        <v>8.7750000000000004</v>
      </c>
      <c r="L626" s="408">
        <f t="shared" si="52"/>
        <v>4</v>
      </c>
      <c r="M626" s="409">
        <v>4</v>
      </c>
      <c r="N626" s="306"/>
      <c r="O626" s="409"/>
      <c r="P626" s="410" t="e">
        <f>IF(M626="nio",0,IF(M626&gt;0,M626*K626/S626,0))*VLOOKUP(B626,'2-Kosten per locatie'!$A$14:$C$61,3,FALSE)</f>
        <v>#DIV/0!</v>
      </c>
      <c r="Q626" s="410">
        <f>IF(N626&gt;0,N626*K626/T626,0)*VLOOKUP(B626,'2-Kosten per locatie'!$A$14:$C$61,3,FALSE)</f>
        <v>0</v>
      </c>
      <c r="R626" s="410">
        <f>IF(O626&gt;0,O626*K626/U626,0)*VLOOKUP(B626,'2-Kosten per locatie'!$A$14:$C$61,3,FALSE)</f>
        <v>0</v>
      </c>
      <c r="S626" s="411">
        <f>IF(M626="nio",0,IF(M626&gt;0,VLOOKUP(I626,'3-Productie normen'!A:P,VLOOKUP(M626,'3-Productie normen'!$B$38:$C$48,2,FALSE),FALSE)))</f>
        <v>0</v>
      </c>
      <c r="T626" s="411">
        <f t="shared" si="48"/>
        <v>0</v>
      </c>
      <c r="U626" s="411">
        <f t="shared" si="51"/>
        <v>0</v>
      </c>
      <c r="V626" s="412"/>
      <c r="X626" s="413">
        <f t="shared" si="49"/>
        <v>35.1</v>
      </c>
    </row>
    <row r="627" spans="1:24" ht="14.1" customHeight="1">
      <c r="A627" s="70">
        <f t="shared" si="50"/>
        <v>627</v>
      </c>
      <c r="B627" s="354" t="s">
        <v>76</v>
      </c>
      <c r="C627" s="354" t="s">
        <v>540</v>
      </c>
      <c r="D627" s="354" t="s">
        <v>165</v>
      </c>
      <c r="E627" s="404" t="s">
        <v>520</v>
      </c>
      <c r="F627" s="405" t="s">
        <v>213</v>
      </c>
      <c r="G627" s="406" t="s">
        <v>289</v>
      </c>
      <c r="H627" s="420" t="s">
        <v>541</v>
      </c>
      <c r="I627" s="420" t="s">
        <v>107</v>
      </c>
      <c r="J627" s="399" t="s">
        <v>542</v>
      </c>
      <c r="K627" s="414">
        <v>20.11</v>
      </c>
      <c r="L627" s="408">
        <f t="shared" si="52"/>
        <v>322</v>
      </c>
      <c r="M627" s="409">
        <v>230</v>
      </c>
      <c r="N627" s="306"/>
      <c r="O627" s="409">
        <v>92</v>
      </c>
      <c r="P627" s="410" t="e">
        <f>IF(M627="nio",0,IF(M627&gt;0,M627*K627/S627,0))*VLOOKUP(B627,'2-Kosten per locatie'!$A$14:$C$61,3,FALSE)</f>
        <v>#DIV/0!</v>
      </c>
      <c r="Q627" s="410">
        <f>IF(N627&gt;0,N627*K627/T627,0)*VLOOKUP(B627,'2-Kosten per locatie'!$A$14:$C$61,3,FALSE)</f>
        <v>0</v>
      </c>
      <c r="R627" s="410" t="e">
        <f>IF(O627&gt;0,O627*K627/U627,0)*VLOOKUP(B627,'2-Kosten per locatie'!$A$14:$C$61,3,FALSE)</f>
        <v>#DIV/0!</v>
      </c>
      <c r="S627" s="411">
        <f>IF(M627="nio",0,IF(M627&gt;0,VLOOKUP(I627,'3-Productie normen'!A:P,VLOOKUP(M627,'3-Productie normen'!$B$38:$C$48,2,FALSE),FALSE)))</f>
        <v>0</v>
      </c>
      <c r="T627" s="411">
        <f t="shared" si="48"/>
        <v>0</v>
      </c>
      <c r="U627" s="411">
        <f t="shared" si="51"/>
        <v>0</v>
      </c>
      <c r="V627" s="412"/>
      <c r="X627" s="413">
        <f t="shared" si="49"/>
        <v>6475.42</v>
      </c>
    </row>
    <row r="628" spans="1:24" ht="14.1" customHeight="1">
      <c r="A628" s="70">
        <f t="shared" si="50"/>
        <v>628</v>
      </c>
      <c r="B628" s="354" t="s">
        <v>76</v>
      </c>
      <c r="C628" s="354" t="s">
        <v>540</v>
      </c>
      <c r="D628" s="354" t="s">
        <v>165</v>
      </c>
      <c r="E628" s="404" t="s">
        <v>520</v>
      </c>
      <c r="F628" s="405" t="s">
        <v>213</v>
      </c>
      <c r="G628" s="406" t="s">
        <v>311</v>
      </c>
      <c r="H628" s="420" t="s">
        <v>543</v>
      </c>
      <c r="I628" s="420" t="s">
        <v>112</v>
      </c>
      <c r="J628" s="399" t="s">
        <v>542</v>
      </c>
      <c r="K628" s="414">
        <v>26.57</v>
      </c>
      <c r="L628" s="408">
        <f t="shared" si="52"/>
        <v>322</v>
      </c>
      <c r="M628" s="409">
        <v>230</v>
      </c>
      <c r="N628" s="306"/>
      <c r="O628" s="409">
        <v>92</v>
      </c>
      <c r="P628" s="410" t="e">
        <f>IF(M628="nio",0,IF(M628&gt;0,M628*K628/S628,0))*VLOOKUP(B628,'2-Kosten per locatie'!$A$14:$C$61,3,FALSE)</f>
        <v>#DIV/0!</v>
      </c>
      <c r="Q628" s="410">
        <f>IF(N628&gt;0,N628*K628/T628,0)*VLOOKUP(B628,'2-Kosten per locatie'!$A$14:$C$61,3,FALSE)</f>
        <v>0</v>
      </c>
      <c r="R628" s="410" t="e">
        <f>IF(O628&gt;0,O628*K628/U628,0)*VLOOKUP(B628,'2-Kosten per locatie'!$A$14:$C$61,3,FALSE)</f>
        <v>#DIV/0!</v>
      </c>
      <c r="S628" s="411">
        <f>IF(M628="nio",0,IF(M628&gt;0,VLOOKUP(I628,'3-Productie normen'!A:P,VLOOKUP(M628,'3-Productie normen'!$B$38:$C$48,2,FALSE),FALSE)))</f>
        <v>0</v>
      </c>
      <c r="T628" s="411">
        <f t="shared" si="48"/>
        <v>0</v>
      </c>
      <c r="U628" s="411">
        <f t="shared" si="51"/>
        <v>0</v>
      </c>
      <c r="V628" s="412"/>
      <c r="X628" s="413">
        <f t="shared" si="49"/>
        <v>8555.5400000000009</v>
      </c>
    </row>
    <row r="629" spans="1:24" ht="14.1" customHeight="1">
      <c r="A629" s="70">
        <f t="shared" si="50"/>
        <v>629</v>
      </c>
      <c r="B629" s="354" t="s">
        <v>76</v>
      </c>
      <c r="C629" s="354" t="s">
        <v>540</v>
      </c>
      <c r="D629" s="354" t="s">
        <v>165</v>
      </c>
      <c r="E629" s="404" t="s">
        <v>520</v>
      </c>
      <c r="F629" s="405" t="s">
        <v>213</v>
      </c>
      <c r="G629" s="406" t="s">
        <v>312</v>
      </c>
      <c r="H629" s="420" t="s">
        <v>544</v>
      </c>
      <c r="I629" s="399" t="s">
        <v>124</v>
      </c>
      <c r="J629" s="399" t="s">
        <v>545</v>
      </c>
      <c r="K629" s="414">
        <v>1</v>
      </c>
      <c r="L629" s="408">
        <f t="shared" si="52"/>
        <v>0</v>
      </c>
      <c r="M629" s="409" t="s">
        <v>242</v>
      </c>
      <c r="N629" s="306"/>
      <c r="O629" s="409"/>
      <c r="P629" s="410">
        <f>IF(M629="nio",0,IF(M629&gt;0,M629*K629/S629,0))*VLOOKUP(B629,'2-Kosten per locatie'!$A$14:$C$61,3,FALSE)</f>
        <v>0</v>
      </c>
      <c r="Q629" s="410">
        <f>IF(N629&gt;0,N629*K629/T629,0)*VLOOKUP(B629,'2-Kosten per locatie'!$A$14:$C$61,3,FALSE)</f>
        <v>0</v>
      </c>
      <c r="R629" s="410">
        <f>IF(O629&gt;0,O629*K629/U629,0)*VLOOKUP(B629,'2-Kosten per locatie'!$A$14:$C$61,3,FALSE)</f>
        <v>0</v>
      </c>
      <c r="S629" s="411">
        <f>IF(M629="nio",0,IF(M629&gt;0,VLOOKUP(I629,'3-Productie normen'!A:P,VLOOKUP(M629,'3-Productie normen'!$B$38:$C$48,2,FALSE),FALSE)))</f>
        <v>0</v>
      </c>
      <c r="T629" s="411">
        <f t="shared" si="48"/>
        <v>0</v>
      </c>
      <c r="U629" s="411">
        <f t="shared" si="51"/>
        <v>0</v>
      </c>
      <c r="V629" s="412"/>
      <c r="X629" s="413">
        <f t="shared" si="49"/>
        <v>0</v>
      </c>
    </row>
    <row r="630" spans="1:24" ht="14.1" customHeight="1">
      <c r="A630" s="70">
        <f t="shared" si="50"/>
        <v>630</v>
      </c>
      <c r="B630" s="354" t="s">
        <v>76</v>
      </c>
      <c r="C630" s="354" t="s">
        <v>540</v>
      </c>
      <c r="D630" s="354" t="s">
        <v>165</v>
      </c>
      <c r="E630" s="404" t="s">
        <v>520</v>
      </c>
      <c r="F630" s="405" t="s">
        <v>213</v>
      </c>
      <c r="G630" s="406" t="s">
        <v>546</v>
      </c>
      <c r="H630" s="420" t="s">
        <v>547</v>
      </c>
      <c r="I630" s="399" t="s">
        <v>124</v>
      </c>
      <c r="J630" s="399" t="s">
        <v>545</v>
      </c>
      <c r="K630" s="414">
        <v>0.96</v>
      </c>
      <c r="L630" s="408">
        <f t="shared" si="52"/>
        <v>0</v>
      </c>
      <c r="M630" s="409" t="s">
        <v>242</v>
      </c>
      <c r="N630" s="306"/>
      <c r="O630" s="409"/>
      <c r="P630" s="410">
        <f>IF(M630="nio",0,IF(M630&gt;0,M630*K630/S630,0))*VLOOKUP(B630,'2-Kosten per locatie'!$A$14:$C$61,3,FALSE)</f>
        <v>0</v>
      </c>
      <c r="Q630" s="410">
        <f>IF(N630&gt;0,N630*K630/T630,0)*VLOOKUP(B630,'2-Kosten per locatie'!$A$14:$C$61,3,FALSE)</f>
        <v>0</v>
      </c>
      <c r="R630" s="410">
        <f>IF(O630&gt;0,O630*K630/U630,0)*VLOOKUP(B630,'2-Kosten per locatie'!$A$14:$C$61,3,FALSE)</f>
        <v>0</v>
      </c>
      <c r="S630" s="411">
        <f>IF(M630="nio",0,IF(M630&gt;0,VLOOKUP(I630,'3-Productie normen'!A:P,VLOOKUP(M630,'3-Productie normen'!$B$38:$C$48,2,FALSE),FALSE)))</f>
        <v>0</v>
      </c>
      <c r="T630" s="411">
        <f t="shared" si="48"/>
        <v>0</v>
      </c>
      <c r="U630" s="411">
        <f t="shared" si="51"/>
        <v>0</v>
      </c>
      <c r="V630" s="412"/>
      <c r="X630" s="413">
        <f t="shared" si="49"/>
        <v>0</v>
      </c>
    </row>
    <row r="631" spans="1:24" ht="14.1" customHeight="1">
      <c r="A631" s="70">
        <f t="shared" si="50"/>
        <v>631</v>
      </c>
      <c r="B631" s="354" t="s">
        <v>76</v>
      </c>
      <c r="C631" s="399" t="s">
        <v>540</v>
      </c>
      <c r="D631" s="354" t="s">
        <v>165</v>
      </c>
      <c r="E631" s="404" t="s">
        <v>520</v>
      </c>
      <c r="F631" s="404" t="s">
        <v>213</v>
      </c>
      <c r="G631" s="422" t="s">
        <v>548</v>
      </c>
      <c r="H631" s="399" t="s">
        <v>547</v>
      </c>
      <c r="I631" s="399" t="s">
        <v>124</v>
      </c>
      <c r="J631" s="399" t="s">
        <v>545</v>
      </c>
      <c r="K631" s="414">
        <v>1.1100000000000001</v>
      </c>
      <c r="L631" s="408">
        <f t="shared" si="52"/>
        <v>0</v>
      </c>
      <c r="M631" s="409" t="s">
        <v>242</v>
      </c>
      <c r="N631" s="306"/>
      <c r="O631" s="409"/>
      <c r="P631" s="410">
        <f>IF(M631="nio",0,IF(M631&gt;0,M631*K631/S631,0))*VLOOKUP(B631,'2-Kosten per locatie'!$A$14:$C$61,3,FALSE)</f>
        <v>0</v>
      </c>
      <c r="Q631" s="410">
        <f>IF(N631&gt;0,N631*K631/T631,0)*VLOOKUP(B631,'2-Kosten per locatie'!$A$14:$C$61,3,FALSE)</f>
        <v>0</v>
      </c>
      <c r="R631" s="410">
        <f>IF(O631&gt;0,O631*K631/U631,0)*VLOOKUP(B631,'2-Kosten per locatie'!$A$14:$C$61,3,FALSE)</f>
        <v>0</v>
      </c>
      <c r="S631" s="411">
        <f>IF(M631="nio",0,IF(M631&gt;0,VLOOKUP(I631,'3-Productie normen'!A:P,VLOOKUP(M631,'3-Productie normen'!$B$38:$C$48,2,FALSE),FALSE)))</f>
        <v>0</v>
      </c>
      <c r="T631" s="411">
        <f t="shared" si="48"/>
        <v>0</v>
      </c>
      <c r="U631" s="411">
        <f t="shared" si="51"/>
        <v>0</v>
      </c>
      <c r="V631" s="412"/>
      <c r="X631" s="413">
        <f t="shared" si="49"/>
        <v>0</v>
      </c>
    </row>
    <row r="632" spans="1:24" ht="14.1" customHeight="1">
      <c r="A632" s="70">
        <f t="shared" si="50"/>
        <v>632</v>
      </c>
      <c r="B632" s="354" t="s">
        <v>76</v>
      </c>
      <c r="C632" s="399" t="s">
        <v>540</v>
      </c>
      <c r="D632" s="354" t="s">
        <v>165</v>
      </c>
      <c r="E632" s="404" t="s">
        <v>520</v>
      </c>
      <c r="F632" s="404" t="s">
        <v>213</v>
      </c>
      <c r="G632" s="422" t="s">
        <v>549</v>
      </c>
      <c r="H632" s="399" t="s">
        <v>550</v>
      </c>
      <c r="I632" s="399" t="s">
        <v>106</v>
      </c>
      <c r="J632" s="399" t="s">
        <v>545</v>
      </c>
      <c r="K632" s="414">
        <v>3.42</v>
      </c>
      <c r="L632" s="408">
        <f t="shared" si="52"/>
        <v>322</v>
      </c>
      <c r="M632" s="409">
        <v>230</v>
      </c>
      <c r="N632" s="306"/>
      <c r="O632" s="409">
        <v>92</v>
      </c>
      <c r="P632" s="410" t="e">
        <f>IF(M632="nio",0,IF(M632&gt;0,M632*K632/S632,0))*VLOOKUP(B632,'2-Kosten per locatie'!$A$14:$C$61,3,FALSE)</f>
        <v>#DIV/0!</v>
      </c>
      <c r="Q632" s="410">
        <f>IF(N632&gt;0,N632*K632/T632,0)*VLOOKUP(B632,'2-Kosten per locatie'!$A$14:$C$61,3,FALSE)</f>
        <v>0</v>
      </c>
      <c r="R632" s="410" t="e">
        <f>IF(O632&gt;0,O632*K632/U632,0)*VLOOKUP(B632,'2-Kosten per locatie'!$A$14:$C$61,3,FALSE)</f>
        <v>#DIV/0!</v>
      </c>
      <c r="S632" s="411">
        <f>IF(M632="nio",0,IF(M632&gt;0,VLOOKUP(I632,'3-Productie normen'!A:P,VLOOKUP(M632,'3-Productie normen'!$B$38:$C$48,2,FALSE),FALSE)))</f>
        <v>0</v>
      </c>
      <c r="T632" s="411">
        <f t="shared" si="48"/>
        <v>0</v>
      </c>
      <c r="U632" s="411">
        <f t="shared" si="51"/>
        <v>0</v>
      </c>
      <c r="V632" s="412"/>
      <c r="X632" s="413">
        <f t="shared" si="49"/>
        <v>1101.24</v>
      </c>
    </row>
    <row r="633" spans="1:24" ht="14.1" customHeight="1">
      <c r="A633" s="70">
        <f t="shared" si="50"/>
        <v>633</v>
      </c>
      <c r="B633" s="354" t="s">
        <v>76</v>
      </c>
      <c r="C633" s="399" t="s">
        <v>540</v>
      </c>
      <c r="D633" s="354" t="s">
        <v>165</v>
      </c>
      <c r="E633" s="404" t="s">
        <v>520</v>
      </c>
      <c r="F633" s="404" t="s">
        <v>213</v>
      </c>
      <c r="G633" s="422" t="s">
        <v>551</v>
      </c>
      <c r="H633" s="399" t="s">
        <v>552</v>
      </c>
      <c r="I633" s="399" t="s">
        <v>106</v>
      </c>
      <c r="J633" s="399" t="s">
        <v>545</v>
      </c>
      <c r="K633" s="414">
        <v>6.06</v>
      </c>
      <c r="L633" s="408">
        <f t="shared" si="52"/>
        <v>322</v>
      </c>
      <c r="M633" s="409">
        <v>230</v>
      </c>
      <c r="N633" s="306"/>
      <c r="O633" s="409">
        <v>92</v>
      </c>
      <c r="P633" s="410" t="e">
        <f>IF(M633="nio",0,IF(M633&gt;0,M633*K633/S633,0))*VLOOKUP(B633,'2-Kosten per locatie'!$A$14:$C$61,3,FALSE)</f>
        <v>#DIV/0!</v>
      </c>
      <c r="Q633" s="410">
        <f>IF(N633&gt;0,N633*K633/T633,0)*VLOOKUP(B633,'2-Kosten per locatie'!$A$14:$C$61,3,FALSE)</f>
        <v>0</v>
      </c>
      <c r="R633" s="410" t="e">
        <f>IF(O633&gt;0,O633*K633/U633,0)*VLOOKUP(B633,'2-Kosten per locatie'!$A$14:$C$61,3,FALSE)</f>
        <v>#DIV/0!</v>
      </c>
      <c r="S633" s="411">
        <f>IF(M633="nio",0,IF(M633&gt;0,VLOOKUP(I633,'3-Productie normen'!A:P,VLOOKUP(M633,'3-Productie normen'!$B$38:$C$48,2,FALSE),FALSE)))</f>
        <v>0</v>
      </c>
      <c r="T633" s="411">
        <f t="shared" si="48"/>
        <v>0</v>
      </c>
      <c r="U633" s="411">
        <f t="shared" si="51"/>
        <v>0</v>
      </c>
      <c r="V633" s="412"/>
      <c r="X633" s="413">
        <f t="shared" si="49"/>
        <v>1951.32</v>
      </c>
    </row>
    <row r="634" spans="1:24" ht="14.1" customHeight="1">
      <c r="A634" s="70">
        <f t="shared" si="50"/>
        <v>634</v>
      </c>
      <c r="B634" s="354" t="s">
        <v>76</v>
      </c>
      <c r="C634" s="399" t="s">
        <v>540</v>
      </c>
      <c r="D634" s="354" t="s">
        <v>165</v>
      </c>
      <c r="E634" s="404" t="s">
        <v>520</v>
      </c>
      <c r="F634" s="404" t="s">
        <v>213</v>
      </c>
      <c r="G634" s="422" t="s">
        <v>553</v>
      </c>
      <c r="H634" s="399" t="s">
        <v>554</v>
      </c>
      <c r="I634" s="399" t="s">
        <v>106</v>
      </c>
      <c r="J634" s="399" t="s">
        <v>545</v>
      </c>
      <c r="K634" s="414">
        <v>4.1100000000000003</v>
      </c>
      <c r="L634" s="408">
        <f t="shared" si="52"/>
        <v>322</v>
      </c>
      <c r="M634" s="409">
        <v>230</v>
      </c>
      <c r="N634" s="306"/>
      <c r="O634" s="409">
        <v>92</v>
      </c>
      <c r="P634" s="410" t="e">
        <f>IF(M634="nio",0,IF(M634&gt;0,M634*K634/S634,0))*VLOOKUP(B634,'2-Kosten per locatie'!$A$14:$C$61,3,FALSE)</f>
        <v>#DIV/0!</v>
      </c>
      <c r="Q634" s="410">
        <f>IF(N634&gt;0,N634*K634/T634,0)*VLOOKUP(B634,'2-Kosten per locatie'!$A$14:$C$61,3,FALSE)</f>
        <v>0</v>
      </c>
      <c r="R634" s="410" t="e">
        <f>IF(O634&gt;0,O634*K634/U634,0)*VLOOKUP(B634,'2-Kosten per locatie'!$A$14:$C$61,3,FALSE)</f>
        <v>#DIV/0!</v>
      </c>
      <c r="S634" s="411">
        <f>IF(M634="nio",0,IF(M634&gt;0,VLOOKUP(I634,'3-Productie normen'!A:P,VLOOKUP(M634,'3-Productie normen'!$B$38:$C$48,2,FALSE),FALSE)))</f>
        <v>0</v>
      </c>
      <c r="T634" s="411">
        <f t="shared" si="48"/>
        <v>0</v>
      </c>
      <c r="U634" s="411">
        <f t="shared" si="51"/>
        <v>0</v>
      </c>
      <c r="V634" s="412"/>
      <c r="X634" s="413">
        <f t="shared" si="49"/>
        <v>1323.42</v>
      </c>
    </row>
    <row r="635" spans="1:24" ht="14.1" customHeight="1">
      <c r="A635" s="70">
        <f t="shared" si="50"/>
        <v>635</v>
      </c>
      <c r="B635" s="354" t="s">
        <v>76</v>
      </c>
      <c r="C635" s="399" t="s">
        <v>540</v>
      </c>
      <c r="D635" s="354" t="s">
        <v>165</v>
      </c>
      <c r="E635" s="404" t="s">
        <v>520</v>
      </c>
      <c r="F635" s="404" t="s">
        <v>213</v>
      </c>
      <c r="G635" s="422" t="s">
        <v>555</v>
      </c>
      <c r="H635" s="399" t="s">
        <v>556</v>
      </c>
      <c r="I635" s="399" t="s">
        <v>122</v>
      </c>
      <c r="J635" s="399" t="s">
        <v>542</v>
      </c>
      <c r="K635" s="414">
        <v>95.15</v>
      </c>
      <c r="L635" s="408">
        <f t="shared" si="52"/>
        <v>322</v>
      </c>
      <c r="M635" s="409">
        <v>230</v>
      </c>
      <c r="N635" s="306"/>
      <c r="O635" s="409">
        <v>92</v>
      </c>
      <c r="P635" s="410" t="e">
        <f>IF(M635="nio",0,IF(M635&gt;0,M635*K635/S635,0))*VLOOKUP(B635,'2-Kosten per locatie'!$A$14:$C$61,3,FALSE)</f>
        <v>#DIV/0!</v>
      </c>
      <c r="Q635" s="410">
        <f>IF(N635&gt;0,N635*K635/T635,0)*VLOOKUP(B635,'2-Kosten per locatie'!$A$14:$C$61,3,FALSE)</f>
        <v>0</v>
      </c>
      <c r="R635" s="410" t="e">
        <f>IF(O635&gt;0,O635*K635/U635,0)*VLOOKUP(B635,'2-Kosten per locatie'!$A$14:$C$61,3,FALSE)</f>
        <v>#DIV/0!</v>
      </c>
      <c r="S635" s="411">
        <f>IF(M635="nio",0,IF(M635&gt;0,VLOOKUP(I635,'3-Productie normen'!A:P,VLOOKUP(M635,'3-Productie normen'!$B$38:$C$48,2,FALSE),FALSE)))</f>
        <v>0</v>
      </c>
      <c r="T635" s="411">
        <f t="shared" si="48"/>
        <v>0</v>
      </c>
      <c r="U635" s="411">
        <f t="shared" si="51"/>
        <v>0</v>
      </c>
      <c r="V635" s="412"/>
      <c r="X635" s="413">
        <f t="shared" si="49"/>
        <v>30638.300000000003</v>
      </c>
    </row>
    <row r="636" spans="1:24" ht="14.1" customHeight="1">
      <c r="A636" s="70">
        <f t="shared" si="50"/>
        <v>636</v>
      </c>
      <c r="B636" s="354" t="s">
        <v>76</v>
      </c>
      <c r="C636" s="399" t="s">
        <v>540</v>
      </c>
      <c r="D636" s="354" t="s">
        <v>165</v>
      </c>
      <c r="E636" s="404" t="s">
        <v>520</v>
      </c>
      <c r="F636" s="404" t="s">
        <v>213</v>
      </c>
      <c r="G636" s="422" t="s">
        <v>557</v>
      </c>
      <c r="H636" s="399" t="s">
        <v>558</v>
      </c>
      <c r="I636" s="420" t="s">
        <v>108</v>
      </c>
      <c r="J636" s="399" t="s">
        <v>542</v>
      </c>
      <c r="K636" s="414">
        <v>6.63</v>
      </c>
      <c r="L636" s="408">
        <f t="shared" si="52"/>
        <v>322</v>
      </c>
      <c r="M636" s="409">
        <v>230</v>
      </c>
      <c r="N636" s="306"/>
      <c r="O636" s="409">
        <v>92</v>
      </c>
      <c r="P636" s="410" t="e">
        <f>IF(M636="nio",0,IF(M636&gt;0,M636*K636/S636,0))*VLOOKUP(B636,'2-Kosten per locatie'!$A$14:$C$61,3,FALSE)</f>
        <v>#DIV/0!</v>
      </c>
      <c r="Q636" s="410">
        <f>IF(N636&gt;0,N636*K636/T636,0)*VLOOKUP(B636,'2-Kosten per locatie'!$A$14:$C$61,3,FALSE)</f>
        <v>0</v>
      </c>
      <c r="R636" s="410" t="e">
        <f>IF(O636&gt;0,O636*K636/U636,0)*VLOOKUP(B636,'2-Kosten per locatie'!$A$14:$C$61,3,FALSE)</f>
        <v>#DIV/0!</v>
      </c>
      <c r="S636" s="411">
        <f>IF(M636="nio",0,IF(M636&gt;0,VLOOKUP(I636,'3-Productie normen'!A:P,VLOOKUP(M636,'3-Productie normen'!$B$38:$C$48,2,FALSE),FALSE)))</f>
        <v>0</v>
      </c>
      <c r="T636" s="411">
        <f t="shared" si="48"/>
        <v>0</v>
      </c>
      <c r="U636" s="411">
        <f t="shared" si="51"/>
        <v>0</v>
      </c>
      <c r="V636" s="412"/>
      <c r="X636" s="413">
        <f t="shared" si="49"/>
        <v>2134.86</v>
      </c>
    </row>
    <row r="637" spans="1:24" ht="14.1" customHeight="1">
      <c r="A637" s="70">
        <f t="shared" si="50"/>
        <v>637</v>
      </c>
      <c r="B637" s="354" t="s">
        <v>76</v>
      </c>
      <c r="C637" s="399" t="s">
        <v>540</v>
      </c>
      <c r="D637" s="354" t="s">
        <v>165</v>
      </c>
      <c r="E637" s="404" t="s">
        <v>520</v>
      </c>
      <c r="F637" s="404" t="s">
        <v>213</v>
      </c>
      <c r="G637" s="422" t="s">
        <v>309</v>
      </c>
      <c r="H637" s="399" t="s">
        <v>559</v>
      </c>
      <c r="I637" s="399" t="s">
        <v>109</v>
      </c>
      <c r="J637" s="399" t="s">
        <v>560</v>
      </c>
      <c r="K637" s="414">
        <v>19.649999999999999</v>
      </c>
      <c r="L637" s="408">
        <f t="shared" si="52"/>
        <v>52</v>
      </c>
      <c r="M637" s="409">
        <v>52</v>
      </c>
      <c r="N637" s="306"/>
      <c r="O637" s="409"/>
      <c r="P637" s="410" t="e">
        <f>IF(M637="nio",0,IF(M637&gt;0,M637*K637/S637,0))*VLOOKUP(B637,'2-Kosten per locatie'!$A$14:$C$61,3,FALSE)</f>
        <v>#DIV/0!</v>
      </c>
      <c r="Q637" s="410">
        <f>IF(N637&gt;0,N637*K637/T637,0)*VLOOKUP(B637,'2-Kosten per locatie'!$A$14:$C$61,3,FALSE)</f>
        <v>0</v>
      </c>
      <c r="R637" s="410">
        <f>IF(O637&gt;0,O637*K637/U637,0)*VLOOKUP(B637,'2-Kosten per locatie'!$A$14:$C$61,3,FALSE)</f>
        <v>0</v>
      </c>
      <c r="S637" s="411">
        <f>IF(M637="nio",0,IF(M637&gt;0,VLOOKUP(I637,'3-Productie normen'!A:P,VLOOKUP(M637,'3-Productie normen'!$B$38:$C$48,2,FALSE),FALSE)))</f>
        <v>0</v>
      </c>
      <c r="T637" s="411">
        <f t="shared" si="48"/>
        <v>0</v>
      </c>
      <c r="U637" s="411">
        <f t="shared" si="51"/>
        <v>0</v>
      </c>
      <c r="V637" s="412"/>
      <c r="X637" s="413">
        <f t="shared" si="49"/>
        <v>1021.8</v>
      </c>
    </row>
    <row r="638" spans="1:24" ht="14.1" customHeight="1">
      <c r="A638" s="70">
        <f t="shared" si="50"/>
        <v>638</v>
      </c>
      <c r="B638" s="354" t="s">
        <v>76</v>
      </c>
      <c r="C638" s="399" t="s">
        <v>540</v>
      </c>
      <c r="D638" s="354" t="s">
        <v>165</v>
      </c>
      <c r="E638" s="404" t="s">
        <v>520</v>
      </c>
      <c r="F638" s="404" t="s">
        <v>213</v>
      </c>
      <c r="G638" s="422" t="s">
        <v>313</v>
      </c>
      <c r="H638" s="399" t="s">
        <v>178</v>
      </c>
      <c r="I638" s="399" t="s">
        <v>122</v>
      </c>
      <c r="J638" s="399" t="s">
        <v>542</v>
      </c>
      <c r="K638" s="414">
        <v>12.78</v>
      </c>
      <c r="L638" s="408">
        <f t="shared" si="52"/>
        <v>322</v>
      </c>
      <c r="M638" s="409">
        <v>230</v>
      </c>
      <c r="N638" s="306"/>
      <c r="O638" s="409">
        <v>92</v>
      </c>
      <c r="P638" s="410" t="e">
        <f>IF(M638="nio",0,IF(M638&gt;0,M638*K638/S638,0))*VLOOKUP(B638,'2-Kosten per locatie'!$A$14:$C$61,3,FALSE)</f>
        <v>#DIV/0!</v>
      </c>
      <c r="Q638" s="410">
        <f>IF(N638&gt;0,N638*K638/T638,0)*VLOOKUP(B638,'2-Kosten per locatie'!$A$14:$C$61,3,FALSE)</f>
        <v>0</v>
      </c>
      <c r="R638" s="410" t="e">
        <f>IF(O638&gt;0,O638*K638/U638,0)*VLOOKUP(B638,'2-Kosten per locatie'!$A$14:$C$61,3,FALSE)</f>
        <v>#DIV/0!</v>
      </c>
      <c r="S638" s="411">
        <f>IF(M638="nio",0,IF(M638&gt;0,VLOOKUP(I638,'3-Productie normen'!A:P,VLOOKUP(M638,'3-Productie normen'!$B$38:$C$48,2,FALSE),FALSE)))</f>
        <v>0</v>
      </c>
      <c r="T638" s="411">
        <f t="shared" si="48"/>
        <v>0</v>
      </c>
      <c r="U638" s="411">
        <f t="shared" si="51"/>
        <v>0</v>
      </c>
      <c r="V638" s="412"/>
      <c r="X638" s="413">
        <f t="shared" si="49"/>
        <v>4115.16</v>
      </c>
    </row>
    <row r="639" spans="1:24" ht="14.1" customHeight="1">
      <c r="A639" s="70">
        <f t="shared" si="50"/>
        <v>639</v>
      </c>
      <c r="B639" s="354" t="s">
        <v>76</v>
      </c>
      <c r="C639" s="399" t="s">
        <v>540</v>
      </c>
      <c r="D639" s="354" t="s">
        <v>165</v>
      </c>
      <c r="E639" s="404" t="s">
        <v>520</v>
      </c>
      <c r="F639" s="404" t="s">
        <v>213</v>
      </c>
      <c r="G639" s="422" t="s">
        <v>180</v>
      </c>
      <c r="H639" s="399" t="s">
        <v>467</v>
      </c>
      <c r="I639" s="399" t="s">
        <v>124</v>
      </c>
      <c r="J639" s="399" t="s">
        <v>545</v>
      </c>
      <c r="K639" s="414">
        <v>1.1200000000000001</v>
      </c>
      <c r="L639" s="408">
        <f t="shared" si="52"/>
        <v>0</v>
      </c>
      <c r="M639" s="409" t="s">
        <v>242</v>
      </c>
      <c r="N639" s="306"/>
      <c r="O639" s="409"/>
      <c r="P639" s="410">
        <f>IF(M639="nio",0,IF(M639&gt;0,M639*K639/S639,0))*VLOOKUP(B639,'2-Kosten per locatie'!$A$14:$C$61,3,FALSE)</f>
        <v>0</v>
      </c>
      <c r="Q639" s="410">
        <f>IF(N639&gt;0,N639*K639/T639,0)*VLOOKUP(B639,'2-Kosten per locatie'!$A$14:$C$61,3,FALSE)</f>
        <v>0</v>
      </c>
      <c r="R639" s="410">
        <f>IF(O639&gt;0,O639*K639/U639,0)*VLOOKUP(B639,'2-Kosten per locatie'!$A$14:$C$61,3,FALSE)</f>
        <v>0</v>
      </c>
      <c r="S639" s="411">
        <f>IF(M639="nio",0,IF(M639&gt;0,VLOOKUP(I639,'3-Productie normen'!A:P,VLOOKUP(M639,'3-Productie normen'!$B$38:$C$48,2,FALSE),FALSE)))</f>
        <v>0</v>
      </c>
      <c r="T639" s="411">
        <f t="shared" si="48"/>
        <v>0</v>
      </c>
      <c r="U639" s="411">
        <f t="shared" si="51"/>
        <v>0</v>
      </c>
      <c r="V639" s="412"/>
      <c r="X639" s="413">
        <f t="shared" si="49"/>
        <v>0</v>
      </c>
    </row>
    <row r="640" spans="1:24" ht="14.1" customHeight="1">
      <c r="A640" s="70">
        <f t="shared" si="50"/>
        <v>640</v>
      </c>
      <c r="B640" s="354" t="s">
        <v>76</v>
      </c>
      <c r="C640" s="399" t="s">
        <v>540</v>
      </c>
      <c r="D640" s="354" t="s">
        <v>165</v>
      </c>
      <c r="E640" s="404" t="s">
        <v>520</v>
      </c>
      <c r="F640" s="404" t="s">
        <v>213</v>
      </c>
      <c r="G640" s="422" t="s">
        <v>182</v>
      </c>
      <c r="H640" s="399" t="s">
        <v>561</v>
      </c>
      <c r="I640" s="399" t="s">
        <v>106</v>
      </c>
      <c r="J640" s="399" t="s">
        <v>545</v>
      </c>
      <c r="K640" s="414">
        <v>1.1100000000000001</v>
      </c>
      <c r="L640" s="408">
        <f t="shared" si="52"/>
        <v>322</v>
      </c>
      <c r="M640" s="409">
        <v>230</v>
      </c>
      <c r="N640" s="306"/>
      <c r="O640" s="409">
        <v>92</v>
      </c>
      <c r="P640" s="410" t="e">
        <f>IF(M640="nio",0,IF(M640&gt;0,M640*K640/S640,0))*VLOOKUP(B640,'2-Kosten per locatie'!$A$14:$C$61,3,FALSE)</f>
        <v>#DIV/0!</v>
      </c>
      <c r="Q640" s="410">
        <f>IF(N640&gt;0,N640*K640/T640,0)*VLOOKUP(B640,'2-Kosten per locatie'!$A$14:$C$61,3,FALSE)</f>
        <v>0</v>
      </c>
      <c r="R640" s="410" t="e">
        <f>IF(O640&gt;0,O640*K640/U640,0)*VLOOKUP(B640,'2-Kosten per locatie'!$A$14:$C$61,3,FALSE)</f>
        <v>#DIV/0!</v>
      </c>
      <c r="S640" s="411">
        <f>IF(M640="nio",0,IF(M640&gt;0,VLOOKUP(I640,'3-Productie normen'!A:P,VLOOKUP(M640,'3-Productie normen'!$B$38:$C$48,2,FALSE),FALSE)))</f>
        <v>0</v>
      </c>
      <c r="T640" s="411">
        <f t="shared" si="48"/>
        <v>0</v>
      </c>
      <c r="U640" s="411">
        <f t="shared" si="51"/>
        <v>0</v>
      </c>
      <c r="V640" s="412"/>
      <c r="X640" s="413">
        <f t="shared" si="49"/>
        <v>357.42</v>
      </c>
    </row>
    <row r="641" spans="1:24" ht="14.1" customHeight="1">
      <c r="A641" s="70">
        <f t="shared" si="50"/>
        <v>641</v>
      </c>
      <c r="B641" s="354" t="s">
        <v>76</v>
      </c>
      <c r="C641" s="399" t="s">
        <v>540</v>
      </c>
      <c r="D641" s="354" t="s">
        <v>165</v>
      </c>
      <c r="E641" s="404" t="s">
        <v>520</v>
      </c>
      <c r="F641" s="404" t="s">
        <v>213</v>
      </c>
      <c r="G641" s="422" t="s">
        <v>207</v>
      </c>
      <c r="H641" s="399" t="s">
        <v>471</v>
      </c>
      <c r="I641" s="399" t="s">
        <v>111</v>
      </c>
      <c r="J641" s="399" t="s">
        <v>560</v>
      </c>
      <c r="K641" s="414">
        <v>23.85</v>
      </c>
      <c r="L641" s="408">
        <f t="shared" si="52"/>
        <v>322</v>
      </c>
      <c r="M641" s="409">
        <v>230</v>
      </c>
      <c r="N641" s="306"/>
      <c r="O641" s="409">
        <v>92</v>
      </c>
      <c r="P641" s="410" t="e">
        <f>IF(M641="nio",0,IF(M641&gt;0,M641*K641/S641,0))*VLOOKUP(B641,'2-Kosten per locatie'!$A$14:$C$61,3,FALSE)</f>
        <v>#DIV/0!</v>
      </c>
      <c r="Q641" s="410">
        <f>IF(N641&gt;0,N641*K641/T641,0)*VLOOKUP(B641,'2-Kosten per locatie'!$A$14:$C$61,3,FALSE)</f>
        <v>0</v>
      </c>
      <c r="R641" s="410" t="e">
        <f>IF(O641&gt;0,O641*K641/U641,0)*VLOOKUP(B641,'2-Kosten per locatie'!$A$14:$C$61,3,FALSE)</f>
        <v>#DIV/0!</v>
      </c>
      <c r="S641" s="411">
        <f>IF(M641="nio",0,IF(M641&gt;0,VLOOKUP(I641,'3-Productie normen'!A:P,VLOOKUP(M641,'3-Productie normen'!$B$38:$C$48,2,FALSE),FALSE)))</f>
        <v>0</v>
      </c>
      <c r="T641" s="411">
        <f t="shared" si="48"/>
        <v>0</v>
      </c>
      <c r="U641" s="411">
        <f t="shared" si="51"/>
        <v>0</v>
      </c>
      <c r="V641" s="412"/>
      <c r="X641" s="413">
        <f t="shared" si="49"/>
        <v>7679.7000000000007</v>
      </c>
    </row>
    <row r="642" spans="1:24" ht="14.1" customHeight="1">
      <c r="A642" s="70">
        <f t="shared" si="50"/>
        <v>642</v>
      </c>
      <c r="B642" s="354" t="s">
        <v>76</v>
      </c>
      <c r="C642" s="399" t="s">
        <v>540</v>
      </c>
      <c r="D642" s="354" t="s">
        <v>165</v>
      </c>
      <c r="E642" s="404" t="s">
        <v>520</v>
      </c>
      <c r="F642" s="404" t="s">
        <v>213</v>
      </c>
      <c r="G642" s="422" t="s">
        <v>562</v>
      </c>
      <c r="H642" s="399" t="s">
        <v>563</v>
      </c>
      <c r="I642" s="399" t="s">
        <v>119</v>
      </c>
      <c r="J642" s="399" t="s">
        <v>545</v>
      </c>
      <c r="K642" s="414">
        <v>11.85</v>
      </c>
      <c r="L642" s="408">
        <f t="shared" si="52"/>
        <v>322</v>
      </c>
      <c r="M642" s="409">
        <v>230</v>
      </c>
      <c r="N642" s="306"/>
      <c r="O642" s="409">
        <v>92</v>
      </c>
      <c r="P642" s="410" t="e">
        <f>IF(M642="nio",0,IF(M642&gt;0,M642*K642/S642,0))*VLOOKUP(B642,'2-Kosten per locatie'!$A$14:$C$61,3,FALSE)</f>
        <v>#DIV/0!</v>
      </c>
      <c r="Q642" s="410">
        <f>IF(N642&gt;0,N642*K642/T642,0)*VLOOKUP(B642,'2-Kosten per locatie'!$A$14:$C$61,3,FALSE)</f>
        <v>0</v>
      </c>
      <c r="R642" s="410" t="e">
        <f>IF(O642&gt;0,O642*K642/U642,0)*VLOOKUP(B642,'2-Kosten per locatie'!$A$14:$C$61,3,FALSE)</f>
        <v>#DIV/0!</v>
      </c>
      <c r="S642" s="411">
        <f>IF(M642="nio",0,IF(M642&gt;0,VLOOKUP(I642,'3-Productie normen'!A:P,VLOOKUP(M642,'3-Productie normen'!$B$38:$C$48,2,FALSE),FALSE)))</f>
        <v>0</v>
      </c>
      <c r="T642" s="411">
        <f t="shared" si="48"/>
        <v>0</v>
      </c>
      <c r="U642" s="411">
        <f t="shared" si="51"/>
        <v>0</v>
      </c>
      <c r="V642" s="412"/>
      <c r="X642" s="413">
        <f t="shared" si="49"/>
        <v>3815.7</v>
      </c>
    </row>
    <row r="643" spans="1:24" ht="14.1" customHeight="1">
      <c r="A643" s="70">
        <f t="shared" si="50"/>
        <v>643</v>
      </c>
      <c r="B643" s="354" t="s">
        <v>76</v>
      </c>
      <c r="C643" s="399" t="s">
        <v>540</v>
      </c>
      <c r="D643" s="354" t="s">
        <v>165</v>
      </c>
      <c r="E643" s="404" t="s">
        <v>520</v>
      </c>
      <c r="F643" s="404" t="s">
        <v>213</v>
      </c>
      <c r="G643" s="422" t="s">
        <v>209</v>
      </c>
      <c r="H643" s="399" t="s">
        <v>471</v>
      </c>
      <c r="I643" s="399" t="s">
        <v>111</v>
      </c>
      <c r="J643" s="399" t="s">
        <v>560</v>
      </c>
      <c r="K643" s="414">
        <v>24.26</v>
      </c>
      <c r="L643" s="408">
        <f t="shared" si="52"/>
        <v>322</v>
      </c>
      <c r="M643" s="409">
        <v>230</v>
      </c>
      <c r="N643" s="306"/>
      <c r="O643" s="409">
        <v>92</v>
      </c>
      <c r="P643" s="410" t="e">
        <f>IF(M643="nio",0,IF(M643&gt;0,M643*K643/S643,0))*VLOOKUP(B643,'2-Kosten per locatie'!$A$14:$C$61,3,FALSE)</f>
        <v>#DIV/0!</v>
      </c>
      <c r="Q643" s="410">
        <f>IF(N643&gt;0,N643*K643/T643,0)*VLOOKUP(B643,'2-Kosten per locatie'!$A$14:$C$61,3,FALSE)</f>
        <v>0</v>
      </c>
      <c r="R643" s="410" t="e">
        <f>IF(O643&gt;0,O643*K643/U643,0)*VLOOKUP(B643,'2-Kosten per locatie'!$A$14:$C$61,3,FALSE)</f>
        <v>#DIV/0!</v>
      </c>
      <c r="S643" s="411">
        <f>IF(M643="nio",0,IF(M643&gt;0,VLOOKUP(I643,'3-Productie normen'!A:P,VLOOKUP(M643,'3-Productie normen'!$B$38:$C$48,2,FALSE),FALSE)))</f>
        <v>0</v>
      </c>
      <c r="T643" s="411">
        <f t="shared" si="48"/>
        <v>0</v>
      </c>
      <c r="U643" s="411">
        <f t="shared" si="51"/>
        <v>0</v>
      </c>
      <c r="V643" s="412"/>
      <c r="X643" s="413">
        <f t="shared" si="49"/>
        <v>7811.72</v>
      </c>
    </row>
    <row r="644" spans="1:24" ht="14.1" customHeight="1">
      <c r="A644" s="70">
        <f t="shared" si="50"/>
        <v>644</v>
      </c>
      <c r="B644" s="354" t="s">
        <v>76</v>
      </c>
      <c r="C644" s="399" t="s">
        <v>540</v>
      </c>
      <c r="D644" s="354" t="s">
        <v>165</v>
      </c>
      <c r="E644" s="404" t="s">
        <v>520</v>
      </c>
      <c r="F644" s="404" t="s">
        <v>213</v>
      </c>
      <c r="G644" s="422" t="s">
        <v>564</v>
      </c>
      <c r="H644" s="399" t="s">
        <v>563</v>
      </c>
      <c r="I644" s="399" t="s">
        <v>119</v>
      </c>
      <c r="J644" s="399" t="s">
        <v>545</v>
      </c>
      <c r="K644" s="414">
        <v>12.55</v>
      </c>
      <c r="L644" s="408">
        <f t="shared" si="52"/>
        <v>322</v>
      </c>
      <c r="M644" s="409">
        <v>230</v>
      </c>
      <c r="N644" s="306"/>
      <c r="O644" s="409">
        <v>92</v>
      </c>
      <c r="P644" s="410" t="e">
        <f>IF(M644="nio",0,IF(M644&gt;0,M644*K644/S644,0))*VLOOKUP(B644,'2-Kosten per locatie'!$A$14:$C$61,3,FALSE)</f>
        <v>#DIV/0!</v>
      </c>
      <c r="Q644" s="410">
        <f>IF(N644&gt;0,N644*K644/T644,0)*VLOOKUP(B644,'2-Kosten per locatie'!$A$14:$C$61,3,FALSE)</f>
        <v>0</v>
      </c>
      <c r="R644" s="410" t="e">
        <f>IF(O644&gt;0,O644*K644/U644,0)*VLOOKUP(B644,'2-Kosten per locatie'!$A$14:$C$61,3,FALSE)</f>
        <v>#DIV/0!</v>
      </c>
      <c r="S644" s="411">
        <f>IF(M644="nio",0,IF(M644&gt;0,VLOOKUP(I644,'3-Productie normen'!A:P,VLOOKUP(M644,'3-Productie normen'!$B$38:$C$48,2,FALSE),FALSE)))</f>
        <v>0</v>
      </c>
      <c r="T644" s="411">
        <f t="shared" si="48"/>
        <v>0</v>
      </c>
      <c r="U644" s="411">
        <f t="shared" si="51"/>
        <v>0</v>
      </c>
      <c r="V644" s="412"/>
      <c r="X644" s="413">
        <f t="shared" si="49"/>
        <v>4041.1000000000004</v>
      </c>
    </row>
    <row r="645" spans="1:24" ht="14.1" customHeight="1">
      <c r="A645" s="70">
        <f t="shared" si="50"/>
        <v>645</v>
      </c>
      <c r="B645" s="354" t="s">
        <v>76</v>
      </c>
      <c r="C645" s="399" t="s">
        <v>540</v>
      </c>
      <c r="D645" s="354" t="s">
        <v>165</v>
      </c>
      <c r="E645" s="404" t="s">
        <v>520</v>
      </c>
      <c r="F645" s="404" t="s">
        <v>213</v>
      </c>
      <c r="G645" s="422" t="s">
        <v>210</v>
      </c>
      <c r="H645" s="399" t="s">
        <v>561</v>
      </c>
      <c r="I645" s="399" t="s">
        <v>106</v>
      </c>
      <c r="J645" s="399" t="s">
        <v>545</v>
      </c>
      <c r="K645" s="414">
        <v>1.1100000000000001</v>
      </c>
      <c r="L645" s="408">
        <f t="shared" si="52"/>
        <v>322</v>
      </c>
      <c r="M645" s="409">
        <v>230</v>
      </c>
      <c r="N645" s="306"/>
      <c r="O645" s="409">
        <v>92</v>
      </c>
      <c r="P645" s="410" t="e">
        <f>IF(M645="nio",0,IF(M645&gt;0,M645*K645/S645,0))*VLOOKUP(B645,'2-Kosten per locatie'!$A$14:$C$61,3,FALSE)</f>
        <v>#DIV/0!</v>
      </c>
      <c r="Q645" s="410">
        <f>IF(N645&gt;0,N645*K645/T645,0)*VLOOKUP(B645,'2-Kosten per locatie'!$A$14:$C$61,3,FALSE)</f>
        <v>0</v>
      </c>
      <c r="R645" s="410" t="e">
        <f>IF(O645&gt;0,O645*K645/U645,0)*VLOOKUP(B645,'2-Kosten per locatie'!$A$14:$C$61,3,FALSE)</f>
        <v>#DIV/0!</v>
      </c>
      <c r="S645" s="411">
        <f>IF(M645="nio",0,IF(M645&gt;0,VLOOKUP(I645,'3-Productie normen'!A:P,VLOOKUP(M645,'3-Productie normen'!$B$38:$C$48,2,FALSE),FALSE)))</f>
        <v>0</v>
      </c>
      <c r="T645" s="411">
        <f t="shared" si="48"/>
        <v>0</v>
      </c>
      <c r="U645" s="411">
        <f t="shared" si="51"/>
        <v>0</v>
      </c>
      <c r="V645" s="412"/>
      <c r="X645" s="413">
        <f t="shared" si="49"/>
        <v>357.42</v>
      </c>
    </row>
    <row r="646" spans="1:24" ht="14.1" customHeight="1">
      <c r="A646" s="70">
        <f t="shared" si="50"/>
        <v>646</v>
      </c>
      <c r="B646" s="354" t="s">
        <v>76</v>
      </c>
      <c r="C646" s="399" t="s">
        <v>540</v>
      </c>
      <c r="D646" s="354" t="s">
        <v>165</v>
      </c>
      <c r="E646" s="404" t="s">
        <v>520</v>
      </c>
      <c r="F646" s="404" t="s">
        <v>213</v>
      </c>
      <c r="G646" s="422" t="s">
        <v>212</v>
      </c>
      <c r="H646" s="399" t="s">
        <v>467</v>
      </c>
      <c r="I646" s="399" t="s">
        <v>124</v>
      </c>
      <c r="J646" s="399" t="s">
        <v>545</v>
      </c>
      <c r="K646" s="414">
        <v>1.1200000000000001</v>
      </c>
      <c r="L646" s="408">
        <f t="shared" si="52"/>
        <v>0</v>
      </c>
      <c r="M646" s="409" t="s">
        <v>242</v>
      </c>
      <c r="N646" s="306"/>
      <c r="O646" s="409"/>
      <c r="P646" s="410">
        <f>IF(M646="nio",0,IF(M646&gt;0,M646*K646/S646,0))*VLOOKUP(B646,'2-Kosten per locatie'!$A$14:$C$61,3,FALSE)</f>
        <v>0</v>
      </c>
      <c r="Q646" s="410">
        <f>IF(N646&gt;0,N646*K646/T646,0)*VLOOKUP(B646,'2-Kosten per locatie'!$A$14:$C$61,3,FALSE)</f>
        <v>0</v>
      </c>
      <c r="R646" s="410">
        <f>IF(O646&gt;0,O646*K646/U646,0)*VLOOKUP(B646,'2-Kosten per locatie'!$A$14:$C$61,3,FALSE)</f>
        <v>0</v>
      </c>
      <c r="S646" s="411">
        <f>IF(M646="nio",0,IF(M646&gt;0,VLOOKUP(I646,'3-Productie normen'!A:P,VLOOKUP(M646,'3-Productie normen'!$B$38:$C$48,2,FALSE),FALSE)))</f>
        <v>0</v>
      </c>
      <c r="T646" s="411">
        <f t="shared" si="48"/>
        <v>0</v>
      </c>
      <c r="U646" s="411">
        <f t="shared" si="51"/>
        <v>0</v>
      </c>
      <c r="V646" s="412"/>
      <c r="X646" s="413">
        <f t="shared" si="49"/>
        <v>0</v>
      </c>
    </row>
    <row r="647" spans="1:24" ht="14.1" customHeight="1">
      <c r="A647" s="70">
        <f t="shared" si="50"/>
        <v>647</v>
      </c>
      <c r="B647" s="354" t="s">
        <v>76</v>
      </c>
      <c r="C647" s="399" t="s">
        <v>540</v>
      </c>
      <c r="D647" s="354" t="s">
        <v>165</v>
      </c>
      <c r="E647" s="404" t="s">
        <v>520</v>
      </c>
      <c r="F647" s="404" t="s">
        <v>213</v>
      </c>
      <c r="G647" s="422" t="s">
        <v>245</v>
      </c>
      <c r="H647" s="399" t="s">
        <v>565</v>
      </c>
      <c r="I647" s="399" t="s">
        <v>124</v>
      </c>
      <c r="J647" s="399" t="s">
        <v>545</v>
      </c>
      <c r="K647" s="414">
        <v>3.57</v>
      </c>
      <c r="L647" s="408">
        <f t="shared" si="52"/>
        <v>0</v>
      </c>
      <c r="M647" s="409" t="s">
        <v>242</v>
      </c>
      <c r="N647" s="306"/>
      <c r="O647" s="409"/>
      <c r="P647" s="410">
        <f>IF(M647="nio",0,IF(M647&gt;0,M647*K647/S647,0))*VLOOKUP(B647,'2-Kosten per locatie'!$A$14:$C$61,3,FALSE)</f>
        <v>0</v>
      </c>
      <c r="Q647" s="410">
        <f>IF(N647&gt;0,N647*K647/T647,0)*VLOOKUP(B647,'2-Kosten per locatie'!$A$14:$C$61,3,FALSE)</f>
        <v>0</v>
      </c>
      <c r="R647" s="410">
        <f>IF(O647&gt;0,O647*K647/U647,0)*VLOOKUP(B647,'2-Kosten per locatie'!$A$14:$C$61,3,FALSE)</f>
        <v>0</v>
      </c>
      <c r="S647" s="411">
        <f>IF(M647="nio",0,IF(M647&gt;0,VLOOKUP(I647,'3-Productie normen'!A:P,VLOOKUP(M647,'3-Productie normen'!$B$38:$C$48,2,FALSE),FALSE)))</f>
        <v>0</v>
      </c>
      <c r="T647" s="411">
        <f t="shared" si="48"/>
        <v>0</v>
      </c>
      <c r="U647" s="411">
        <f t="shared" si="51"/>
        <v>0</v>
      </c>
      <c r="V647" s="412"/>
      <c r="X647" s="413">
        <f t="shared" si="49"/>
        <v>0</v>
      </c>
    </row>
    <row r="648" spans="1:24" ht="14.1" customHeight="1">
      <c r="A648" s="70">
        <f t="shared" si="50"/>
        <v>648</v>
      </c>
      <c r="B648" s="354" t="s">
        <v>76</v>
      </c>
      <c r="C648" s="399" t="s">
        <v>540</v>
      </c>
      <c r="D648" s="354" t="s">
        <v>165</v>
      </c>
      <c r="E648" s="404" t="s">
        <v>520</v>
      </c>
      <c r="F648" s="404" t="s">
        <v>213</v>
      </c>
      <c r="G648" s="422" t="s">
        <v>246</v>
      </c>
      <c r="H648" s="399" t="s">
        <v>441</v>
      </c>
      <c r="I648" s="399" t="s">
        <v>114</v>
      </c>
      <c r="J648" s="399"/>
      <c r="K648" s="414">
        <v>1651.86</v>
      </c>
      <c r="L648" s="408">
        <f t="shared" si="52"/>
        <v>322</v>
      </c>
      <c r="M648" s="409">
        <v>230</v>
      </c>
      <c r="N648" s="306"/>
      <c r="O648" s="409">
        <v>92</v>
      </c>
      <c r="P648" s="410" t="e">
        <f>IF(M648="nio",0,IF(M648&gt;0,M648*K648/S648,0))*VLOOKUP(B648,'2-Kosten per locatie'!$A$14:$C$61,3,FALSE)</f>
        <v>#DIV/0!</v>
      </c>
      <c r="Q648" s="410">
        <f>IF(N648&gt;0,N648*K648/T648,0)*VLOOKUP(B648,'2-Kosten per locatie'!$A$14:$C$61,3,FALSE)</f>
        <v>0</v>
      </c>
      <c r="R648" s="410" t="e">
        <f>IF(O648&gt;0,O648*K648/U648,0)*VLOOKUP(B648,'2-Kosten per locatie'!$A$14:$C$61,3,FALSE)</f>
        <v>#DIV/0!</v>
      </c>
      <c r="S648" s="411">
        <f>IF(M648="nio",0,IF(M648&gt;0,VLOOKUP(I648,'3-Productie normen'!A:P,VLOOKUP(M648,'3-Productie normen'!$B$38:$C$48,2,FALSE),FALSE)))</f>
        <v>0</v>
      </c>
      <c r="T648" s="411">
        <f t="shared" si="48"/>
        <v>0</v>
      </c>
      <c r="U648" s="411">
        <f t="shared" si="51"/>
        <v>0</v>
      </c>
      <c r="V648" s="412"/>
      <c r="X648" s="413">
        <f t="shared" si="49"/>
        <v>531898.91999999993</v>
      </c>
    </row>
    <row r="649" spans="1:24" ht="14.1" customHeight="1">
      <c r="A649" s="70">
        <f t="shared" si="50"/>
        <v>649</v>
      </c>
      <c r="B649" s="354" t="s">
        <v>76</v>
      </c>
      <c r="C649" s="399" t="s">
        <v>540</v>
      </c>
      <c r="D649" s="354" t="s">
        <v>165</v>
      </c>
      <c r="E649" s="404" t="s">
        <v>520</v>
      </c>
      <c r="F649" s="404" t="s">
        <v>213</v>
      </c>
      <c r="G649" s="422" t="s">
        <v>566</v>
      </c>
      <c r="H649" s="399" t="s">
        <v>567</v>
      </c>
      <c r="I649" s="420" t="s">
        <v>108</v>
      </c>
      <c r="J649" s="399" t="s">
        <v>542</v>
      </c>
      <c r="K649" s="414">
        <v>103.2</v>
      </c>
      <c r="L649" s="408">
        <f t="shared" si="52"/>
        <v>322</v>
      </c>
      <c r="M649" s="409">
        <v>230</v>
      </c>
      <c r="N649" s="306"/>
      <c r="O649" s="409">
        <v>92</v>
      </c>
      <c r="P649" s="410" t="e">
        <f>IF(M649="nio",0,IF(M649&gt;0,M649*K649/S649,0))*VLOOKUP(B649,'2-Kosten per locatie'!$A$14:$C$61,3,FALSE)</f>
        <v>#DIV/0!</v>
      </c>
      <c r="Q649" s="410">
        <f>IF(N649&gt;0,N649*K649/T649,0)*VLOOKUP(B649,'2-Kosten per locatie'!$A$14:$C$61,3,FALSE)</f>
        <v>0</v>
      </c>
      <c r="R649" s="410" t="e">
        <f>IF(O649&gt;0,O649*K649/U649,0)*VLOOKUP(B649,'2-Kosten per locatie'!$A$14:$C$61,3,FALSE)</f>
        <v>#DIV/0!</v>
      </c>
      <c r="S649" s="411">
        <f>IF(M649="nio",0,IF(M649&gt;0,VLOOKUP(I649,'3-Productie normen'!A:P,VLOOKUP(M649,'3-Productie normen'!$B$38:$C$48,2,FALSE),FALSE)))</f>
        <v>0</v>
      </c>
      <c r="T649" s="411">
        <f t="shared" si="48"/>
        <v>0</v>
      </c>
      <c r="U649" s="411">
        <f t="shared" si="51"/>
        <v>0</v>
      </c>
      <c r="V649" s="412"/>
      <c r="X649" s="413">
        <f t="shared" si="49"/>
        <v>33230.400000000001</v>
      </c>
    </row>
    <row r="650" spans="1:24" ht="14.1" customHeight="1">
      <c r="A650" s="70">
        <f t="shared" si="50"/>
        <v>650</v>
      </c>
      <c r="B650" s="354" t="s">
        <v>76</v>
      </c>
      <c r="C650" s="399" t="s">
        <v>540</v>
      </c>
      <c r="D650" s="354" t="s">
        <v>165</v>
      </c>
      <c r="E650" s="404" t="s">
        <v>520</v>
      </c>
      <c r="F650" s="404" t="s">
        <v>213</v>
      </c>
      <c r="G650" s="422" t="s">
        <v>247</v>
      </c>
      <c r="H650" s="399" t="s">
        <v>550</v>
      </c>
      <c r="I650" s="399" t="s">
        <v>106</v>
      </c>
      <c r="J650" s="399" t="s">
        <v>560</v>
      </c>
      <c r="K650" s="414">
        <v>4.97</v>
      </c>
      <c r="L650" s="408">
        <f t="shared" si="52"/>
        <v>322</v>
      </c>
      <c r="M650" s="409">
        <v>230</v>
      </c>
      <c r="N650" s="306"/>
      <c r="O650" s="409">
        <v>92</v>
      </c>
      <c r="P650" s="410" t="e">
        <f>IF(M650="nio",0,IF(M650&gt;0,M650*K650/S650,0))*VLOOKUP(B650,'2-Kosten per locatie'!$A$14:$C$61,3,FALSE)</f>
        <v>#DIV/0!</v>
      </c>
      <c r="Q650" s="410">
        <f>IF(N650&gt;0,N650*K650/T650,0)*VLOOKUP(B650,'2-Kosten per locatie'!$A$14:$C$61,3,FALSE)</f>
        <v>0</v>
      </c>
      <c r="R650" s="410" t="e">
        <f>IF(O650&gt;0,O650*K650/U650,0)*VLOOKUP(B650,'2-Kosten per locatie'!$A$14:$C$61,3,FALSE)</f>
        <v>#DIV/0!</v>
      </c>
      <c r="S650" s="411">
        <f>IF(M650="nio",0,IF(M650&gt;0,VLOOKUP(I650,'3-Productie normen'!A:P,VLOOKUP(M650,'3-Productie normen'!$B$38:$C$48,2,FALSE),FALSE)))</f>
        <v>0</v>
      </c>
      <c r="T650" s="411">
        <f t="shared" ref="T650:T713" si="53">IF(N650&gt;0,S650*$T$8,0)</f>
        <v>0</v>
      </c>
      <c r="U650" s="411">
        <f t="shared" si="51"/>
        <v>0</v>
      </c>
      <c r="V650" s="412"/>
      <c r="X650" s="413">
        <f t="shared" ref="X650:X713" si="54">L650*K650</f>
        <v>1600.34</v>
      </c>
    </row>
    <row r="651" spans="1:24" ht="14.1" customHeight="1">
      <c r="A651" s="70">
        <f t="shared" ref="A651:A714" si="55">A650+1</f>
        <v>651</v>
      </c>
      <c r="B651" s="354" t="s">
        <v>76</v>
      </c>
      <c r="C651" s="399" t="s">
        <v>540</v>
      </c>
      <c r="D651" s="354" t="s">
        <v>165</v>
      </c>
      <c r="E651" s="404" t="s">
        <v>520</v>
      </c>
      <c r="F651" s="404" t="s">
        <v>213</v>
      </c>
      <c r="G651" s="422" t="s">
        <v>248</v>
      </c>
      <c r="H651" s="399" t="s">
        <v>467</v>
      </c>
      <c r="I651" s="399" t="s">
        <v>124</v>
      </c>
      <c r="J651" s="399" t="s">
        <v>560</v>
      </c>
      <c r="K651" s="414">
        <v>1.4</v>
      </c>
      <c r="L651" s="408">
        <f t="shared" si="52"/>
        <v>0</v>
      </c>
      <c r="M651" s="409" t="s">
        <v>242</v>
      </c>
      <c r="N651" s="306"/>
      <c r="O651" s="409"/>
      <c r="P651" s="410">
        <f>IF(M651="nio",0,IF(M651&gt;0,M651*K651/S651,0))*VLOOKUP(B651,'2-Kosten per locatie'!$A$14:$C$61,3,FALSE)</f>
        <v>0</v>
      </c>
      <c r="Q651" s="410">
        <f>IF(N651&gt;0,N651*K651/T651,0)*VLOOKUP(B651,'2-Kosten per locatie'!$A$14:$C$61,3,FALSE)</f>
        <v>0</v>
      </c>
      <c r="R651" s="410">
        <f>IF(O651&gt;0,O651*K651/U651,0)*VLOOKUP(B651,'2-Kosten per locatie'!$A$14:$C$61,3,FALSE)</f>
        <v>0</v>
      </c>
      <c r="S651" s="411">
        <f>IF(M651="nio",0,IF(M651&gt;0,VLOOKUP(I651,'3-Productie normen'!A:P,VLOOKUP(M651,'3-Productie normen'!$B$38:$C$48,2,FALSE),FALSE)))</f>
        <v>0</v>
      </c>
      <c r="T651" s="411">
        <f t="shared" si="53"/>
        <v>0</v>
      </c>
      <c r="U651" s="411">
        <f t="shared" si="51"/>
        <v>0</v>
      </c>
      <c r="V651" s="412"/>
      <c r="X651" s="413">
        <f t="shared" si="54"/>
        <v>0</v>
      </c>
    </row>
    <row r="652" spans="1:24" ht="14.1" customHeight="1">
      <c r="A652" s="70">
        <f t="shared" si="55"/>
        <v>652</v>
      </c>
      <c r="B652" s="354" t="s">
        <v>76</v>
      </c>
      <c r="C652" s="399" t="s">
        <v>540</v>
      </c>
      <c r="D652" s="354" t="s">
        <v>165</v>
      </c>
      <c r="E652" s="404" t="s">
        <v>520</v>
      </c>
      <c r="F652" s="404" t="s">
        <v>213</v>
      </c>
      <c r="G652" s="422" t="s">
        <v>249</v>
      </c>
      <c r="H652" s="399" t="s">
        <v>471</v>
      </c>
      <c r="I652" s="399" t="s">
        <v>111</v>
      </c>
      <c r="J652" s="399" t="s">
        <v>560</v>
      </c>
      <c r="K652" s="414">
        <v>31.47</v>
      </c>
      <c r="L652" s="408">
        <f t="shared" si="52"/>
        <v>322</v>
      </c>
      <c r="M652" s="409">
        <v>230</v>
      </c>
      <c r="N652" s="306"/>
      <c r="O652" s="409">
        <v>92</v>
      </c>
      <c r="P652" s="410" t="e">
        <f>IF(M652="nio",0,IF(M652&gt;0,M652*K652/S652,0))*VLOOKUP(B652,'2-Kosten per locatie'!$A$14:$C$61,3,FALSE)</f>
        <v>#DIV/0!</v>
      </c>
      <c r="Q652" s="410">
        <f>IF(N652&gt;0,N652*K652/T652,0)*VLOOKUP(B652,'2-Kosten per locatie'!$A$14:$C$61,3,FALSE)</f>
        <v>0</v>
      </c>
      <c r="R652" s="410" t="e">
        <f>IF(O652&gt;0,O652*K652/U652,0)*VLOOKUP(B652,'2-Kosten per locatie'!$A$14:$C$61,3,FALSE)</f>
        <v>#DIV/0!</v>
      </c>
      <c r="S652" s="411">
        <f>IF(M652="nio",0,IF(M652&gt;0,VLOOKUP(I652,'3-Productie normen'!A:P,VLOOKUP(M652,'3-Productie normen'!$B$38:$C$48,2,FALSE),FALSE)))</f>
        <v>0</v>
      </c>
      <c r="T652" s="411">
        <f t="shared" si="53"/>
        <v>0</v>
      </c>
      <c r="U652" s="411">
        <f t="shared" si="51"/>
        <v>0</v>
      </c>
      <c r="V652" s="412"/>
      <c r="X652" s="413">
        <f t="shared" si="54"/>
        <v>10133.34</v>
      </c>
    </row>
    <row r="653" spans="1:24" ht="14.1" customHeight="1">
      <c r="A653" s="70">
        <f t="shared" si="55"/>
        <v>653</v>
      </c>
      <c r="B653" s="354" t="s">
        <v>76</v>
      </c>
      <c r="C653" s="399" t="s">
        <v>540</v>
      </c>
      <c r="D653" s="354" t="s">
        <v>165</v>
      </c>
      <c r="E653" s="404" t="s">
        <v>520</v>
      </c>
      <c r="F653" s="404" t="s">
        <v>213</v>
      </c>
      <c r="G653" s="422" t="s">
        <v>568</v>
      </c>
      <c r="H653" s="399" t="s">
        <v>467</v>
      </c>
      <c r="I653" s="399" t="s">
        <v>124</v>
      </c>
      <c r="J653" s="399" t="s">
        <v>545</v>
      </c>
      <c r="K653" s="414">
        <v>1.19</v>
      </c>
      <c r="L653" s="408">
        <f t="shared" si="52"/>
        <v>0</v>
      </c>
      <c r="M653" s="409" t="s">
        <v>242</v>
      </c>
      <c r="N653" s="306"/>
      <c r="O653" s="409"/>
      <c r="P653" s="410">
        <f>IF(M653="nio",0,IF(M653&gt;0,M653*K653/S653,0))*VLOOKUP(B653,'2-Kosten per locatie'!$A$14:$C$61,3,FALSE)</f>
        <v>0</v>
      </c>
      <c r="Q653" s="410">
        <f>IF(N653&gt;0,N653*K653/T653,0)*VLOOKUP(B653,'2-Kosten per locatie'!$A$14:$C$61,3,FALSE)</f>
        <v>0</v>
      </c>
      <c r="R653" s="410">
        <f>IF(O653&gt;0,O653*K653/U653,0)*VLOOKUP(B653,'2-Kosten per locatie'!$A$14:$C$61,3,FALSE)</f>
        <v>0</v>
      </c>
      <c r="S653" s="411">
        <f>IF(M653="nio",0,IF(M653&gt;0,VLOOKUP(I653,'3-Productie normen'!A:P,VLOOKUP(M653,'3-Productie normen'!$B$38:$C$48,2,FALSE),FALSE)))</f>
        <v>0</v>
      </c>
      <c r="T653" s="411">
        <f t="shared" si="53"/>
        <v>0</v>
      </c>
      <c r="U653" s="411">
        <f t="shared" si="51"/>
        <v>0</v>
      </c>
      <c r="V653" s="412"/>
      <c r="X653" s="413">
        <f t="shared" si="54"/>
        <v>0</v>
      </c>
    </row>
    <row r="654" spans="1:24" ht="14.1" customHeight="1">
      <c r="A654" s="70">
        <f t="shared" si="55"/>
        <v>654</v>
      </c>
      <c r="B654" s="354" t="s">
        <v>76</v>
      </c>
      <c r="C654" s="399" t="s">
        <v>540</v>
      </c>
      <c r="D654" s="354" t="s">
        <v>165</v>
      </c>
      <c r="E654" s="404" t="s">
        <v>520</v>
      </c>
      <c r="F654" s="404" t="s">
        <v>213</v>
      </c>
      <c r="G654" s="422" t="s">
        <v>569</v>
      </c>
      <c r="H654" s="399" t="s">
        <v>561</v>
      </c>
      <c r="I654" s="399" t="s">
        <v>106</v>
      </c>
      <c r="J654" s="399" t="s">
        <v>545</v>
      </c>
      <c r="K654" s="414">
        <v>1.19</v>
      </c>
      <c r="L654" s="408">
        <f t="shared" si="52"/>
        <v>322</v>
      </c>
      <c r="M654" s="409">
        <v>230</v>
      </c>
      <c r="N654" s="306"/>
      <c r="O654" s="409">
        <v>92</v>
      </c>
      <c r="P654" s="410" t="e">
        <f>IF(M654="nio",0,IF(M654&gt;0,M654*K654/S654,0))*VLOOKUP(B654,'2-Kosten per locatie'!$A$14:$C$61,3,FALSE)</f>
        <v>#DIV/0!</v>
      </c>
      <c r="Q654" s="410">
        <f>IF(N654&gt;0,N654*K654/T654,0)*VLOOKUP(B654,'2-Kosten per locatie'!$A$14:$C$61,3,FALSE)</f>
        <v>0</v>
      </c>
      <c r="R654" s="410" t="e">
        <f>IF(O654&gt;0,O654*K654/U654,0)*VLOOKUP(B654,'2-Kosten per locatie'!$A$14:$C$61,3,FALSE)</f>
        <v>#DIV/0!</v>
      </c>
      <c r="S654" s="411">
        <f>IF(M654="nio",0,IF(M654&gt;0,VLOOKUP(I654,'3-Productie normen'!A:P,VLOOKUP(M654,'3-Productie normen'!$B$38:$C$48,2,FALSE),FALSE)))</f>
        <v>0</v>
      </c>
      <c r="T654" s="411">
        <f t="shared" si="53"/>
        <v>0</v>
      </c>
      <c r="U654" s="411">
        <f t="shared" ref="U654:U717" si="56">IF(OR(O654&gt;0),S654*$U$8,0)</f>
        <v>0</v>
      </c>
      <c r="V654" s="412"/>
      <c r="X654" s="413">
        <f t="shared" si="54"/>
        <v>383.18</v>
      </c>
    </row>
    <row r="655" spans="1:24" ht="14.1" customHeight="1">
      <c r="A655" s="70">
        <f t="shared" si="55"/>
        <v>655</v>
      </c>
      <c r="B655" s="354" t="s">
        <v>76</v>
      </c>
      <c r="C655" s="399" t="s">
        <v>540</v>
      </c>
      <c r="D655" s="354" t="s">
        <v>165</v>
      </c>
      <c r="E655" s="404" t="s">
        <v>520</v>
      </c>
      <c r="F655" s="404" t="s">
        <v>213</v>
      </c>
      <c r="G655" s="422" t="s">
        <v>251</v>
      </c>
      <c r="H655" s="399" t="s">
        <v>563</v>
      </c>
      <c r="I655" s="399" t="s">
        <v>119</v>
      </c>
      <c r="J655" s="399" t="s">
        <v>545</v>
      </c>
      <c r="K655" s="414">
        <v>12.69</v>
      </c>
      <c r="L655" s="408">
        <f t="shared" si="52"/>
        <v>322</v>
      </c>
      <c r="M655" s="409">
        <v>230</v>
      </c>
      <c r="N655" s="306"/>
      <c r="O655" s="409">
        <v>92</v>
      </c>
      <c r="P655" s="410" t="e">
        <f>IF(M655="nio",0,IF(M655&gt;0,M655*K655/S655,0))*VLOOKUP(B655,'2-Kosten per locatie'!$A$14:$C$61,3,FALSE)</f>
        <v>#DIV/0!</v>
      </c>
      <c r="Q655" s="410">
        <f>IF(N655&gt;0,N655*K655/T655,0)*VLOOKUP(B655,'2-Kosten per locatie'!$A$14:$C$61,3,FALSE)</f>
        <v>0</v>
      </c>
      <c r="R655" s="410" t="e">
        <f>IF(O655&gt;0,O655*K655/U655,0)*VLOOKUP(B655,'2-Kosten per locatie'!$A$14:$C$61,3,FALSE)</f>
        <v>#DIV/0!</v>
      </c>
      <c r="S655" s="411">
        <f>IF(M655="nio",0,IF(M655&gt;0,VLOOKUP(I655,'3-Productie normen'!A:P,VLOOKUP(M655,'3-Productie normen'!$B$38:$C$48,2,FALSE),FALSE)))</f>
        <v>0</v>
      </c>
      <c r="T655" s="411">
        <f t="shared" si="53"/>
        <v>0</v>
      </c>
      <c r="U655" s="411">
        <f t="shared" si="56"/>
        <v>0</v>
      </c>
      <c r="V655" s="412"/>
      <c r="X655" s="413">
        <f t="shared" si="54"/>
        <v>4086.18</v>
      </c>
    </row>
    <row r="656" spans="1:24" ht="14.1" customHeight="1">
      <c r="A656" s="70">
        <f t="shared" si="55"/>
        <v>656</v>
      </c>
      <c r="B656" s="354" t="s">
        <v>76</v>
      </c>
      <c r="C656" s="399" t="s">
        <v>540</v>
      </c>
      <c r="D656" s="354" t="s">
        <v>165</v>
      </c>
      <c r="E656" s="404" t="s">
        <v>520</v>
      </c>
      <c r="F656" s="404" t="s">
        <v>213</v>
      </c>
      <c r="G656" s="422" t="s">
        <v>474</v>
      </c>
      <c r="H656" s="399" t="s">
        <v>570</v>
      </c>
      <c r="I656" s="399" t="s">
        <v>107</v>
      </c>
      <c r="J656" s="399" t="s">
        <v>545</v>
      </c>
      <c r="K656" s="414">
        <v>4.47</v>
      </c>
      <c r="L656" s="408">
        <f t="shared" si="52"/>
        <v>322</v>
      </c>
      <c r="M656" s="409">
        <v>230</v>
      </c>
      <c r="N656" s="306"/>
      <c r="O656" s="409">
        <v>92</v>
      </c>
      <c r="P656" s="410" t="e">
        <f>IF(M656="nio",0,IF(M656&gt;0,M656*K656/S656,0))*VLOOKUP(B656,'2-Kosten per locatie'!$A$14:$C$61,3,FALSE)</f>
        <v>#DIV/0!</v>
      </c>
      <c r="Q656" s="410">
        <f>IF(N656&gt;0,N656*K656/T656,0)*VLOOKUP(B656,'2-Kosten per locatie'!$A$14:$C$61,3,FALSE)</f>
        <v>0</v>
      </c>
      <c r="R656" s="410" t="e">
        <f>IF(O656&gt;0,O656*K656/U656,0)*VLOOKUP(B656,'2-Kosten per locatie'!$A$14:$C$61,3,FALSE)</f>
        <v>#DIV/0!</v>
      </c>
      <c r="S656" s="411">
        <f>IF(M656="nio",0,IF(M656&gt;0,VLOOKUP(I656,'3-Productie normen'!A:P,VLOOKUP(M656,'3-Productie normen'!$B$38:$C$48,2,FALSE),FALSE)))</f>
        <v>0</v>
      </c>
      <c r="T656" s="411">
        <f t="shared" si="53"/>
        <v>0</v>
      </c>
      <c r="U656" s="411">
        <f t="shared" si="56"/>
        <v>0</v>
      </c>
      <c r="V656" s="412"/>
      <c r="X656" s="413">
        <f t="shared" si="54"/>
        <v>1439.34</v>
      </c>
    </row>
    <row r="657" spans="1:24" ht="14.1" customHeight="1">
      <c r="A657" s="70">
        <f t="shared" si="55"/>
        <v>657</v>
      </c>
      <c r="B657" s="354" t="s">
        <v>76</v>
      </c>
      <c r="C657" s="399" t="s">
        <v>540</v>
      </c>
      <c r="D657" s="354" t="s">
        <v>165</v>
      </c>
      <c r="E657" s="404" t="s">
        <v>520</v>
      </c>
      <c r="F657" s="404" t="s">
        <v>213</v>
      </c>
      <c r="G657" s="422" t="s">
        <v>475</v>
      </c>
      <c r="H657" s="399" t="s">
        <v>563</v>
      </c>
      <c r="I657" s="399" t="s">
        <v>119</v>
      </c>
      <c r="J657" s="399" t="s">
        <v>545</v>
      </c>
      <c r="K657" s="414">
        <v>13.44</v>
      </c>
      <c r="L657" s="408">
        <f t="shared" si="52"/>
        <v>322</v>
      </c>
      <c r="M657" s="409">
        <v>230</v>
      </c>
      <c r="N657" s="306"/>
      <c r="O657" s="409">
        <v>92</v>
      </c>
      <c r="P657" s="410" t="e">
        <f>IF(M657="nio",0,IF(M657&gt;0,M657*K657/S657,0))*VLOOKUP(B657,'2-Kosten per locatie'!$A$14:$C$61,3,FALSE)</f>
        <v>#DIV/0!</v>
      </c>
      <c r="Q657" s="410">
        <f>IF(N657&gt;0,N657*K657/T657,0)*VLOOKUP(B657,'2-Kosten per locatie'!$A$14:$C$61,3,FALSE)</f>
        <v>0</v>
      </c>
      <c r="R657" s="410" t="e">
        <f>IF(O657&gt;0,O657*K657/U657,0)*VLOOKUP(B657,'2-Kosten per locatie'!$A$14:$C$61,3,FALSE)</f>
        <v>#DIV/0!</v>
      </c>
      <c r="S657" s="411">
        <f>IF(M657="nio",0,IF(M657&gt;0,VLOOKUP(I657,'3-Productie normen'!A:P,VLOOKUP(M657,'3-Productie normen'!$B$38:$C$48,2,FALSE),FALSE)))</f>
        <v>0</v>
      </c>
      <c r="T657" s="411">
        <f t="shared" si="53"/>
        <v>0</v>
      </c>
      <c r="U657" s="411">
        <f t="shared" si="56"/>
        <v>0</v>
      </c>
      <c r="V657" s="412"/>
      <c r="X657" s="413">
        <f t="shared" si="54"/>
        <v>4327.68</v>
      </c>
    </row>
    <row r="658" spans="1:24" ht="14.1" customHeight="1">
      <c r="A658" s="70">
        <f t="shared" si="55"/>
        <v>658</v>
      </c>
      <c r="B658" s="354" t="s">
        <v>76</v>
      </c>
      <c r="C658" s="399" t="s">
        <v>540</v>
      </c>
      <c r="D658" s="354" t="s">
        <v>165</v>
      </c>
      <c r="E658" s="404" t="s">
        <v>520</v>
      </c>
      <c r="F658" s="404" t="s">
        <v>213</v>
      </c>
      <c r="G658" s="422" t="s">
        <v>476</v>
      </c>
      <c r="H658" s="399" t="s">
        <v>471</v>
      </c>
      <c r="I658" s="399" t="s">
        <v>111</v>
      </c>
      <c r="J658" s="399" t="s">
        <v>560</v>
      </c>
      <c r="K658" s="414">
        <v>35.270000000000003</v>
      </c>
      <c r="L658" s="408">
        <f t="shared" si="52"/>
        <v>322</v>
      </c>
      <c r="M658" s="409">
        <v>230</v>
      </c>
      <c r="N658" s="306"/>
      <c r="O658" s="409">
        <v>92</v>
      </c>
      <c r="P658" s="410" t="e">
        <f>IF(M658="nio",0,IF(M658&gt;0,M658*K658/S658,0))*VLOOKUP(B658,'2-Kosten per locatie'!$A$14:$C$61,3,FALSE)</f>
        <v>#DIV/0!</v>
      </c>
      <c r="Q658" s="410">
        <f>IF(N658&gt;0,N658*K658/T658,0)*VLOOKUP(B658,'2-Kosten per locatie'!$A$14:$C$61,3,FALSE)</f>
        <v>0</v>
      </c>
      <c r="R658" s="410" t="e">
        <f>IF(O658&gt;0,O658*K658/U658,0)*VLOOKUP(B658,'2-Kosten per locatie'!$A$14:$C$61,3,FALSE)</f>
        <v>#DIV/0!</v>
      </c>
      <c r="S658" s="411">
        <f>IF(M658="nio",0,IF(M658&gt;0,VLOOKUP(I658,'3-Productie normen'!A:P,VLOOKUP(M658,'3-Productie normen'!$B$38:$C$48,2,FALSE),FALSE)))</f>
        <v>0</v>
      </c>
      <c r="T658" s="411">
        <f t="shared" si="53"/>
        <v>0</v>
      </c>
      <c r="U658" s="411">
        <f t="shared" si="56"/>
        <v>0</v>
      </c>
      <c r="V658" s="412"/>
      <c r="X658" s="413">
        <f t="shared" si="54"/>
        <v>11356.94</v>
      </c>
    </row>
    <row r="659" spans="1:24" ht="14.1" customHeight="1">
      <c r="A659" s="70">
        <f t="shared" si="55"/>
        <v>659</v>
      </c>
      <c r="B659" s="354" t="s">
        <v>76</v>
      </c>
      <c r="C659" s="399" t="s">
        <v>540</v>
      </c>
      <c r="D659" s="354" t="s">
        <v>165</v>
      </c>
      <c r="E659" s="404" t="s">
        <v>520</v>
      </c>
      <c r="F659" s="404" t="s">
        <v>213</v>
      </c>
      <c r="G659" s="422" t="s">
        <v>571</v>
      </c>
      <c r="H659" s="399" t="s">
        <v>467</v>
      </c>
      <c r="I659" s="399" t="s">
        <v>124</v>
      </c>
      <c r="J659" s="399" t="s">
        <v>545</v>
      </c>
      <c r="K659" s="414">
        <v>1.24</v>
      </c>
      <c r="L659" s="408">
        <f t="shared" si="52"/>
        <v>0</v>
      </c>
      <c r="M659" s="409" t="s">
        <v>242</v>
      </c>
      <c r="N659" s="306"/>
      <c r="O659" s="409"/>
      <c r="P659" s="410">
        <f>IF(M659="nio",0,IF(M659&gt;0,M659*K659/S659,0))*VLOOKUP(B659,'2-Kosten per locatie'!$A$14:$C$61,3,FALSE)</f>
        <v>0</v>
      </c>
      <c r="Q659" s="410">
        <f>IF(N659&gt;0,N659*K659/T659,0)*VLOOKUP(B659,'2-Kosten per locatie'!$A$14:$C$61,3,FALSE)</f>
        <v>0</v>
      </c>
      <c r="R659" s="410">
        <f>IF(O659&gt;0,O659*K659/U659,0)*VLOOKUP(B659,'2-Kosten per locatie'!$A$14:$C$61,3,FALSE)</f>
        <v>0</v>
      </c>
      <c r="S659" s="411">
        <f>IF(M659="nio",0,IF(M659&gt;0,VLOOKUP(I659,'3-Productie normen'!A:P,VLOOKUP(M659,'3-Productie normen'!$B$38:$C$48,2,FALSE),FALSE)))</f>
        <v>0</v>
      </c>
      <c r="T659" s="411">
        <f t="shared" si="53"/>
        <v>0</v>
      </c>
      <c r="U659" s="411">
        <f t="shared" si="56"/>
        <v>0</v>
      </c>
      <c r="V659" s="412"/>
      <c r="X659" s="413">
        <f t="shared" si="54"/>
        <v>0</v>
      </c>
    </row>
    <row r="660" spans="1:24" ht="14.1" customHeight="1">
      <c r="A660" s="70">
        <f t="shared" si="55"/>
        <v>660</v>
      </c>
      <c r="B660" s="354" t="s">
        <v>76</v>
      </c>
      <c r="C660" s="399" t="s">
        <v>540</v>
      </c>
      <c r="D660" s="354" t="s">
        <v>165</v>
      </c>
      <c r="E660" s="404" t="s">
        <v>520</v>
      </c>
      <c r="F660" s="404" t="s">
        <v>213</v>
      </c>
      <c r="G660" s="422" t="s">
        <v>572</v>
      </c>
      <c r="H660" s="399" t="s">
        <v>561</v>
      </c>
      <c r="I660" s="399" t="s">
        <v>106</v>
      </c>
      <c r="J660" s="399" t="s">
        <v>545</v>
      </c>
      <c r="K660" s="414">
        <v>1.24</v>
      </c>
      <c r="L660" s="408">
        <f t="shared" si="52"/>
        <v>322</v>
      </c>
      <c r="M660" s="409">
        <v>230</v>
      </c>
      <c r="N660" s="306"/>
      <c r="O660" s="409">
        <v>92</v>
      </c>
      <c r="P660" s="410" t="e">
        <f>IF(M660="nio",0,IF(M660&gt;0,M660*K660/S660,0))*VLOOKUP(B660,'2-Kosten per locatie'!$A$14:$C$61,3,FALSE)</f>
        <v>#DIV/0!</v>
      </c>
      <c r="Q660" s="410">
        <f>IF(N660&gt;0,N660*K660/T660,0)*VLOOKUP(B660,'2-Kosten per locatie'!$A$14:$C$61,3,FALSE)</f>
        <v>0</v>
      </c>
      <c r="R660" s="410" t="e">
        <f>IF(O660&gt;0,O660*K660/U660,0)*VLOOKUP(B660,'2-Kosten per locatie'!$A$14:$C$61,3,FALSE)</f>
        <v>#DIV/0!</v>
      </c>
      <c r="S660" s="411">
        <f>IF(M660="nio",0,IF(M660&gt;0,VLOOKUP(I660,'3-Productie normen'!A:P,VLOOKUP(M660,'3-Productie normen'!$B$38:$C$48,2,FALSE),FALSE)))</f>
        <v>0</v>
      </c>
      <c r="T660" s="411">
        <f t="shared" si="53"/>
        <v>0</v>
      </c>
      <c r="U660" s="411">
        <f t="shared" si="56"/>
        <v>0</v>
      </c>
      <c r="V660" s="412"/>
      <c r="X660" s="413">
        <f t="shared" si="54"/>
        <v>399.28</v>
      </c>
    </row>
    <row r="661" spans="1:24" ht="14.1" customHeight="1">
      <c r="A661" s="70">
        <f t="shared" si="55"/>
        <v>661</v>
      </c>
      <c r="B661" s="354" t="s">
        <v>76</v>
      </c>
      <c r="C661" s="399" t="s">
        <v>540</v>
      </c>
      <c r="D661" s="354" t="s">
        <v>165</v>
      </c>
      <c r="E661" s="404" t="s">
        <v>520</v>
      </c>
      <c r="F661" s="404" t="s">
        <v>213</v>
      </c>
      <c r="G661" s="422" t="s">
        <v>479</v>
      </c>
      <c r="H661" s="399" t="s">
        <v>573</v>
      </c>
      <c r="I661" s="399" t="s">
        <v>124</v>
      </c>
      <c r="J661" s="399"/>
      <c r="K661" s="414">
        <v>15.19</v>
      </c>
      <c r="L661" s="408">
        <f t="shared" si="52"/>
        <v>0</v>
      </c>
      <c r="M661" s="409" t="s">
        <v>242</v>
      </c>
      <c r="N661" s="306"/>
      <c r="O661" s="409"/>
      <c r="P661" s="410">
        <f>IF(M661="nio",0,IF(M661&gt;0,M661*K661/S661,0))*VLOOKUP(B661,'2-Kosten per locatie'!$A$14:$C$61,3,FALSE)</f>
        <v>0</v>
      </c>
      <c r="Q661" s="410">
        <f>IF(N661&gt;0,N661*K661/T661,0)*VLOOKUP(B661,'2-Kosten per locatie'!$A$14:$C$61,3,FALSE)</f>
        <v>0</v>
      </c>
      <c r="R661" s="410">
        <f>IF(O661&gt;0,O661*K661/U661,0)*VLOOKUP(B661,'2-Kosten per locatie'!$A$14:$C$61,3,FALSE)</f>
        <v>0</v>
      </c>
      <c r="S661" s="411">
        <f>IF(M661="nio",0,IF(M661&gt;0,VLOOKUP(I661,'3-Productie normen'!A:P,VLOOKUP(M661,'3-Productie normen'!$B$38:$C$48,2,FALSE),FALSE)))</f>
        <v>0</v>
      </c>
      <c r="T661" s="411">
        <f t="shared" si="53"/>
        <v>0</v>
      </c>
      <c r="U661" s="411">
        <f t="shared" si="56"/>
        <v>0</v>
      </c>
      <c r="V661" s="412"/>
      <c r="X661" s="413">
        <f t="shared" si="54"/>
        <v>0</v>
      </c>
    </row>
    <row r="662" spans="1:24" ht="14.1" customHeight="1">
      <c r="A662" s="70">
        <f t="shared" si="55"/>
        <v>662</v>
      </c>
      <c r="B662" s="354" t="s">
        <v>76</v>
      </c>
      <c r="C662" s="399" t="s">
        <v>540</v>
      </c>
      <c r="D662" s="354" t="s">
        <v>165</v>
      </c>
      <c r="E662" s="404" t="s">
        <v>520</v>
      </c>
      <c r="F662" s="404" t="s">
        <v>213</v>
      </c>
      <c r="G662" s="422" t="s">
        <v>481</v>
      </c>
      <c r="H662" s="399" t="s">
        <v>467</v>
      </c>
      <c r="I662" s="399" t="s">
        <v>124</v>
      </c>
      <c r="J662" s="399"/>
      <c r="K662" s="414">
        <v>10.08</v>
      </c>
      <c r="L662" s="408">
        <f t="shared" si="52"/>
        <v>0</v>
      </c>
      <c r="M662" s="409" t="s">
        <v>242</v>
      </c>
      <c r="N662" s="306"/>
      <c r="O662" s="409"/>
      <c r="P662" s="410">
        <f>IF(M662="nio",0,IF(M662&gt;0,M662*K662/S662,0))*VLOOKUP(B662,'2-Kosten per locatie'!$A$14:$C$61,3,FALSE)</f>
        <v>0</v>
      </c>
      <c r="Q662" s="410">
        <f>IF(N662&gt;0,N662*K662/T662,0)*VLOOKUP(B662,'2-Kosten per locatie'!$A$14:$C$61,3,FALSE)</f>
        <v>0</v>
      </c>
      <c r="R662" s="410">
        <f>IF(O662&gt;0,O662*K662/U662,0)*VLOOKUP(B662,'2-Kosten per locatie'!$A$14:$C$61,3,FALSE)</f>
        <v>0</v>
      </c>
      <c r="S662" s="411">
        <f>IF(M662="nio",0,IF(M662&gt;0,VLOOKUP(I662,'3-Productie normen'!A:P,VLOOKUP(M662,'3-Productie normen'!$B$38:$C$48,2,FALSE),FALSE)))</f>
        <v>0</v>
      </c>
      <c r="T662" s="411">
        <f t="shared" si="53"/>
        <v>0</v>
      </c>
      <c r="U662" s="411">
        <f t="shared" si="56"/>
        <v>0</v>
      </c>
      <c r="V662" s="412"/>
      <c r="X662" s="413">
        <f t="shared" si="54"/>
        <v>0</v>
      </c>
    </row>
    <row r="663" spans="1:24" ht="14.1" customHeight="1">
      <c r="A663" s="70">
        <f t="shared" si="55"/>
        <v>663</v>
      </c>
      <c r="B663" s="399" t="s">
        <v>77</v>
      </c>
      <c r="C663" s="399" t="s">
        <v>574</v>
      </c>
      <c r="D663" s="354" t="s">
        <v>165</v>
      </c>
      <c r="E663" s="404" t="s">
        <v>520</v>
      </c>
      <c r="F663" s="404" t="s">
        <v>213</v>
      </c>
      <c r="G663" s="422">
        <v>9001</v>
      </c>
      <c r="H663" s="399" t="s">
        <v>575</v>
      </c>
      <c r="I663" s="399" t="s">
        <v>117</v>
      </c>
      <c r="J663" s="399" t="s">
        <v>576</v>
      </c>
      <c r="K663" s="414">
        <v>5.2</v>
      </c>
      <c r="L663" s="408">
        <f t="shared" si="52"/>
        <v>322</v>
      </c>
      <c r="M663" s="409">
        <v>230</v>
      </c>
      <c r="N663" s="306"/>
      <c r="O663" s="409">
        <v>92</v>
      </c>
      <c r="P663" s="410" t="e">
        <f>IF(M663="nio",0,IF(M663&gt;0,M663*K663/S663,0))*VLOOKUP(B663,'2-Kosten per locatie'!$A$14:$C$61,3,FALSE)</f>
        <v>#DIV/0!</v>
      </c>
      <c r="Q663" s="410">
        <f>IF(N663&gt;0,N663*K663/T663,0)*VLOOKUP(B663,'2-Kosten per locatie'!$A$14:$C$61,3,FALSE)</f>
        <v>0</v>
      </c>
      <c r="R663" s="410" t="e">
        <f>IF(O663&gt;0,O663*K663/U663,0)*VLOOKUP(B663,'2-Kosten per locatie'!$A$14:$C$61,3,FALSE)</f>
        <v>#DIV/0!</v>
      </c>
      <c r="S663" s="411">
        <f>IF(M663="nio",0,IF(M663&gt;0,VLOOKUP(I663,'3-Productie normen'!A:P,VLOOKUP(M663,'3-Productie normen'!$B$38:$C$48,2,FALSE),FALSE)))</f>
        <v>0</v>
      </c>
      <c r="T663" s="411">
        <f t="shared" si="53"/>
        <v>0</v>
      </c>
      <c r="U663" s="411">
        <f t="shared" si="56"/>
        <v>0</v>
      </c>
      <c r="V663" s="412"/>
      <c r="X663" s="413">
        <f t="shared" si="54"/>
        <v>1674.4</v>
      </c>
    </row>
    <row r="664" spans="1:24" ht="14.1" customHeight="1">
      <c r="A664" s="70">
        <f t="shared" si="55"/>
        <v>664</v>
      </c>
      <c r="B664" s="399" t="s">
        <v>77</v>
      </c>
      <c r="C664" s="399" t="s">
        <v>574</v>
      </c>
      <c r="D664" s="354" t="s">
        <v>165</v>
      </c>
      <c r="E664" s="404" t="s">
        <v>520</v>
      </c>
      <c r="F664" s="404" t="s">
        <v>213</v>
      </c>
      <c r="G664" s="422" t="s">
        <v>577</v>
      </c>
      <c r="H664" s="399" t="s">
        <v>578</v>
      </c>
      <c r="I664" s="399" t="s">
        <v>105</v>
      </c>
      <c r="J664" s="399" t="s">
        <v>579</v>
      </c>
      <c r="K664" s="414">
        <v>5.9</v>
      </c>
      <c r="L664" s="408">
        <f t="shared" si="52"/>
        <v>322</v>
      </c>
      <c r="M664" s="409">
        <v>230</v>
      </c>
      <c r="N664" s="306"/>
      <c r="O664" s="409">
        <v>92</v>
      </c>
      <c r="P664" s="410" t="e">
        <f>IF(M664="nio",0,IF(M664&gt;0,M664*K664/S664,0))*VLOOKUP(B664,'2-Kosten per locatie'!$A$14:$C$61,3,FALSE)</f>
        <v>#DIV/0!</v>
      </c>
      <c r="Q664" s="410">
        <f>IF(N664&gt;0,N664*K664/T664,0)*VLOOKUP(B664,'2-Kosten per locatie'!$A$14:$C$61,3,FALSE)</f>
        <v>0</v>
      </c>
      <c r="R664" s="410" t="e">
        <f>IF(O664&gt;0,O664*K664/U664,0)*VLOOKUP(B664,'2-Kosten per locatie'!$A$14:$C$61,3,FALSE)</f>
        <v>#DIV/0!</v>
      </c>
      <c r="S664" s="411">
        <f>IF(M664="nio",0,IF(M664&gt;0,VLOOKUP(I664,'3-Productie normen'!A:P,VLOOKUP(M664,'3-Productie normen'!$B$38:$C$48,2,FALSE),FALSE)))</f>
        <v>0</v>
      </c>
      <c r="T664" s="411">
        <f t="shared" si="53"/>
        <v>0</v>
      </c>
      <c r="U664" s="411">
        <f t="shared" si="56"/>
        <v>0</v>
      </c>
      <c r="V664" s="412"/>
      <c r="X664" s="413">
        <f t="shared" si="54"/>
        <v>1899.8000000000002</v>
      </c>
    </row>
    <row r="665" spans="1:24" ht="14.1" customHeight="1">
      <c r="A665" s="70">
        <f t="shared" si="55"/>
        <v>665</v>
      </c>
      <c r="B665" s="399" t="s">
        <v>77</v>
      </c>
      <c r="C665" s="399" t="s">
        <v>574</v>
      </c>
      <c r="D665" s="354" t="s">
        <v>165</v>
      </c>
      <c r="E665" s="404" t="s">
        <v>520</v>
      </c>
      <c r="F665" s="404" t="s">
        <v>213</v>
      </c>
      <c r="G665" s="422" t="s">
        <v>580</v>
      </c>
      <c r="H665" s="399" t="s">
        <v>581</v>
      </c>
      <c r="I665" s="399" t="s">
        <v>124</v>
      </c>
      <c r="J665" s="399" t="s">
        <v>579</v>
      </c>
      <c r="K665" s="414">
        <v>10.4</v>
      </c>
      <c r="L665" s="408">
        <f t="shared" si="52"/>
        <v>0</v>
      </c>
      <c r="M665" s="409" t="s">
        <v>242</v>
      </c>
      <c r="N665" s="306"/>
      <c r="O665" s="409"/>
      <c r="P665" s="410">
        <f>IF(M665="nio",0,IF(M665&gt;0,M665*K665/S665,0))*VLOOKUP(B665,'2-Kosten per locatie'!$A$14:$C$61,3,FALSE)</f>
        <v>0</v>
      </c>
      <c r="Q665" s="410">
        <f>IF(N665&gt;0,N665*K665/T665,0)*VLOOKUP(B665,'2-Kosten per locatie'!$A$14:$C$61,3,FALSE)</f>
        <v>0</v>
      </c>
      <c r="R665" s="410">
        <f>IF(O665&gt;0,O665*K665/U665,0)*VLOOKUP(B665,'2-Kosten per locatie'!$A$14:$C$61,3,FALSE)</f>
        <v>0</v>
      </c>
      <c r="S665" s="411">
        <f>IF(M665="nio",0,IF(M665&gt;0,VLOOKUP(I665,'3-Productie normen'!A:P,VLOOKUP(M665,'3-Productie normen'!$B$38:$C$48,2,FALSE),FALSE)))</f>
        <v>0</v>
      </c>
      <c r="T665" s="411">
        <f t="shared" si="53"/>
        <v>0</v>
      </c>
      <c r="U665" s="411">
        <f t="shared" si="56"/>
        <v>0</v>
      </c>
      <c r="V665" s="412"/>
      <c r="X665" s="413">
        <f t="shared" si="54"/>
        <v>0</v>
      </c>
    </row>
    <row r="666" spans="1:24" ht="14.1" customHeight="1">
      <c r="A666" s="70">
        <f t="shared" si="55"/>
        <v>666</v>
      </c>
      <c r="B666" s="399" t="s">
        <v>77</v>
      </c>
      <c r="C666" s="399" t="s">
        <v>574</v>
      </c>
      <c r="D666" s="354" t="s">
        <v>165</v>
      </c>
      <c r="E666" s="404" t="s">
        <v>520</v>
      </c>
      <c r="F666" s="404" t="s">
        <v>213</v>
      </c>
      <c r="G666" s="422" t="s">
        <v>582</v>
      </c>
      <c r="H666" s="399" t="s">
        <v>287</v>
      </c>
      <c r="I666" s="399" t="s">
        <v>124</v>
      </c>
      <c r="J666" s="399" t="s">
        <v>579</v>
      </c>
      <c r="K666" s="414">
        <v>10.1</v>
      </c>
      <c r="L666" s="408">
        <f t="shared" si="52"/>
        <v>0</v>
      </c>
      <c r="M666" s="409" t="s">
        <v>242</v>
      </c>
      <c r="N666" s="306"/>
      <c r="O666" s="409"/>
      <c r="P666" s="410">
        <f>IF(M666="nio",0,IF(M666&gt;0,M666*K666/S666,0))*VLOOKUP(B666,'2-Kosten per locatie'!$A$14:$C$61,3,FALSE)</f>
        <v>0</v>
      </c>
      <c r="Q666" s="410">
        <f>IF(N666&gt;0,N666*K666/T666,0)*VLOOKUP(B666,'2-Kosten per locatie'!$A$14:$C$61,3,FALSE)</f>
        <v>0</v>
      </c>
      <c r="R666" s="410">
        <f>IF(O666&gt;0,O666*K666/U666,0)*VLOOKUP(B666,'2-Kosten per locatie'!$A$14:$C$61,3,FALSE)</f>
        <v>0</v>
      </c>
      <c r="S666" s="411">
        <f>IF(M666="nio",0,IF(M666&gt;0,VLOOKUP(I666,'3-Productie normen'!A:P,VLOOKUP(M666,'3-Productie normen'!$B$38:$C$48,2,FALSE),FALSE)))</f>
        <v>0</v>
      </c>
      <c r="T666" s="411">
        <f t="shared" si="53"/>
        <v>0</v>
      </c>
      <c r="U666" s="411">
        <f t="shared" si="56"/>
        <v>0</v>
      </c>
      <c r="V666" s="412"/>
      <c r="X666" s="413">
        <f t="shared" si="54"/>
        <v>0</v>
      </c>
    </row>
    <row r="667" spans="1:24" ht="14.1" customHeight="1">
      <c r="A667" s="70">
        <f t="shared" si="55"/>
        <v>667</v>
      </c>
      <c r="B667" s="399" t="s">
        <v>77</v>
      </c>
      <c r="C667" s="399" t="s">
        <v>574</v>
      </c>
      <c r="D667" s="354" t="s">
        <v>165</v>
      </c>
      <c r="E667" s="404" t="s">
        <v>520</v>
      </c>
      <c r="F667" s="404" t="s">
        <v>213</v>
      </c>
      <c r="G667" s="422" t="s">
        <v>583</v>
      </c>
      <c r="H667" s="399" t="s">
        <v>584</v>
      </c>
      <c r="I667" s="399" t="s">
        <v>124</v>
      </c>
      <c r="J667" s="399" t="s">
        <v>579</v>
      </c>
      <c r="K667" s="414">
        <v>6</v>
      </c>
      <c r="L667" s="408">
        <f t="shared" si="52"/>
        <v>0</v>
      </c>
      <c r="M667" s="409" t="s">
        <v>242</v>
      </c>
      <c r="N667" s="306"/>
      <c r="O667" s="409"/>
      <c r="P667" s="410">
        <f>IF(M667="nio",0,IF(M667&gt;0,M667*K667/S667,0))*VLOOKUP(B667,'2-Kosten per locatie'!$A$14:$C$61,3,FALSE)</f>
        <v>0</v>
      </c>
      <c r="Q667" s="410">
        <f>IF(N667&gt;0,N667*K667/T667,0)*VLOOKUP(B667,'2-Kosten per locatie'!$A$14:$C$61,3,FALSE)</f>
        <v>0</v>
      </c>
      <c r="R667" s="410">
        <f>IF(O667&gt;0,O667*K667/U667,0)*VLOOKUP(B667,'2-Kosten per locatie'!$A$14:$C$61,3,FALSE)</f>
        <v>0</v>
      </c>
      <c r="S667" s="411">
        <f>IF(M667="nio",0,IF(M667&gt;0,VLOOKUP(I667,'3-Productie normen'!A:P,VLOOKUP(M667,'3-Productie normen'!$B$38:$C$48,2,FALSE),FALSE)))</f>
        <v>0</v>
      </c>
      <c r="T667" s="411">
        <f t="shared" si="53"/>
        <v>0</v>
      </c>
      <c r="U667" s="411">
        <f t="shared" si="56"/>
        <v>0</v>
      </c>
      <c r="V667" s="412"/>
      <c r="X667" s="413">
        <f t="shared" si="54"/>
        <v>0</v>
      </c>
    </row>
    <row r="668" spans="1:24" ht="14.1" customHeight="1">
      <c r="A668" s="70">
        <f t="shared" si="55"/>
        <v>668</v>
      </c>
      <c r="B668" s="399" t="s">
        <v>77</v>
      </c>
      <c r="C668" s="399" t="s">
        <v>574</v>
      </c>
      <c r="D668" s="354" t="s">
        <v>165</v>
      </c>
      <c r="E668" s="404" t="s">
        <v>520</v>
      </c>
      <c r="F668" s="404" t="s">
        <v>213</v>
      </c>
      <c r="G668" s="422" t="s">
        <v>585</v>
      </c>
      <c r="H668" s="399" t="s">
        <v>586</v>
      </c>
      <c r="I668" s="399" t="s">
        <v>124</v>
      </c>
      <c r="J668" s="399" t="s">
        <v>579</v>
      </c>
      <c r="K668" s="414">
        <v>18.7</v>
      </c>
      <c r="L668" s="408">
        <f t="shared" si="52"/>
        <v>0</v>
      </c>
      <c r="M668" s="409" t="s">
        <v>242</v>
      </c>
      <c r="N668" s="306"/>
      <c r="O668" s="409"/>
      <c r="P668" s="410">
        <f>IF(M668="nio",0,IF(M668&gt;0,M668*K668/S668,0))*VLOOKUP(B668,'2-Kosten per locatie'!$A$14:$C$61,3,FALSE)</f>
        <v>0</v>
      </c>
      <c r="Q668" s="410">
        <f>IF(N668&gt;0,N668*K668/T668,0)*VLOOKUP(B668,'2-Kosten per locatie'!$A$14:$C$61,3,FALSE)</f>
        <v>0</v>
      </c>
      <c r="R668" s="410">
        <f>IF(O668&gt;0,O668*K668/U668,0)*VLOOKUP(B668,'2-Kosten per locatie'!$A$14:$C$61,3,FALSE)</f>
        <v>0</v>
      </c>
      <c r="S668" s="411">
        <f>IF(M668="nio",0,IF(M668&gt;0,VLOOKUP(I668,'3-Productie normen'!A:P,VLOOKUP(M668,'3-Productie normen'!$B$38:$C$48,2,FALSE),FALSE)))</f>
        <v>0</v>
      </c>
      <c r="T668" s="411">
        <f t="shared" si="53"/>
        <v>0</v>
      </c>
      <c r="U668" s="411">
        <f t="shared" si="56"/>
        <v>0</v>
      </c>
      <c r="V668" s="412"/>
      <c r="X668" s="413">
        <f t="shared" si="54"/>
        <v>0</v>
      </c>
    </row>
    <row r="669" spans="1:24" ht="14.1" customHeight="1">
      <c r="A669" s="70">
        <f t="shared" si="55"/>
        <v>669</v>
      </c>
      <c r="B669" s="399" t="s">
        <v>77</v>
      </c>
      <c r="C669" s="399" t="s">
        <v>574</v>
      </c>
      <c r="D669" s="354" t="s">
        <v>165</v>
      </c>
      <c r="E669" s="404" t="s">
        <v>520</v>
      </c>
      <c r="F669" s="404" t="s">
        <v>213</v>
      </c>
      <c r="G669" s="422" t="s">
        <v>587</v>
      </c>
      <c r="H669" s="399" t="s">
        <v>588</v>
      </c>
      <c r="I669" s="399" t="s">
        <v>124</v>
      </c>
      <c r="J669" s="399" t="s">
        <v>579</v>
      </c>
      <c r="K669" s="414">
        <v>7.9</v>
      </c>
      <c r="L669" s="408">
        <f t="shared" si="52"/>
        <v>0</v>
      </c>
      <c r="M669" s="409" t="s">
        <v>242</v>
      </c>
      <c r="N669" s="306"/>
      <c r="O669" s="409"/>
      <c r="P669" s="410">
        <f>IF(M669="nio",0,IF(M669&gt;0,M669*K669/S669,0))*VLOOKUP(B669,'2-Kosten per locatie'!$A$14:$C$61,3,FALSE)</f>
        <v>0</v>
      </c>
      <c r="Q669" s="410">
        <f>IF(N669&gt;0,N669*K669/T669,0)*VLOOKUP(B669,'2-Kosten per locatie'!$A$14:$C$61,3,FALSE)</f>
        <v>0</v>
      </c>
      <c r="R669" s="410">
        <f>IF(O669&gt;0,O669*K669/U669,0)*VLOOKUP(B669,'2-Kosten per locatie'!$A$14:$C$61,3,FALSE)</f>
        <v>0</v>
      </c>
      <c r="S669" s="411">
        <f>IF(M669="nio",0,IF(M669&gt;0,VLOOKUP(I669,'3-Productie normen'!A:P,VLOOKUP(M669,'3-Productie normen'!$B$38:$C$48,2,FALSE),FALSE)))</f>
        <v>0</v>
      </c>
      <c r="T669" s="411">
        <f t="shared" si="53"/>
        <v>0</v>
      </c>
      <c r="U669" s="411">
        <f t="shared" si="56"/>
        <v>0</v>
      </c>
      <c r="V669" s="412"/>
      <c r="X669" s="413">
        <f t="shared" si="54"/>
        <v>0</v>
      </c>
    </row>
    <row r="670" spans="1:24" ht="14.1" customHeight="1">
      <c r="A670" s="70">
        <f t="shared" si="55"/>
        <v>670</v>
      </c>
      <c r="B670" s="399" t="s">
        <v>77</v>
      </c>
      <c r="C670" s="399" t="s">
        <v>574</v>
      </c>
      <c r="D670" s="354" t="s">
        <v>165</v>
      </c>
      <c r="E670" s="404" t="s">
        <v>520</v>
      </c>
      <c r="F670" s="404" t="s">
        <v>213</v>
      </c>
      <c r="G670" s="422" t="s">
        <v>589</v>
      </c>
      <c r="H670" s="399" t="s">
        <v>590</v>
      </c>
      <c r="I670" s="399" t="s">
        <v>124</v>
      </c>
      <c r="J670" s="399" t="s">
        <v>579</v>
      </c>
      <c r="K670" s="414">
        <v>6</v>
      </c>
      <c r="L670" s="408">
        <f t="shared" si="52"/>
        <v>0</v>
      </c>
      <c r="M670" s="409" t="s">
        <v>242</v>
      </c>
      <c r="N670" s="306"/>
      <c r="O670" s="409"/>
      <c r="P670" s="410">
        <f>IF(M670="nio",0,IF(M670&gt;0,M670*K670/S670,0))*VLOOKUP(B670,'2-Kosten per locatie'!$A$14:$C$61,3,FALSE)</f>
        <v>0</v>
      </c>
      <c r="Q670" s="410">
        <f>IF(N670&gt;0,N670*K670/T670,0)*VLOOKUP(B670,'2-Kosten per locatie'!$A$14:$C$61,3,FALSE)</f>
        <v>0</v>
      </c>
      <c r="R670" s="410">
        <f>IF(O670&gt;0,O670*K670/U670,0)*VLOOKUP(B670,'2-Kosten per locatie'!$A$14:$C$61,3,FALSE)</f>
        <v>0</v>
      </c>
      <c r="S670" s="411">
        <f>IF(M670="nio",0,IF(M670&gt;0,VLOOKUP(I670,'3-Productie normen'!A:P,VLOOKUP(M670,'3-Productie normen'!$B$38:$C$48,2,FALSE),FALSE)))</f>
        <v>0</v>
      </c>
      <c r="T670" s="411">
        <f t="shared" si="53"/>
        <v>0</v>
      </c>
      <c r="U670" s="411">
        <f t="shared" si="56"/>
        <v>0</v>
      </c>
      <c r="V670" s="412"/>
      <c r="X670" s="413">
        <f t="shared" si="54"/>
        <v>0</v>
      </c>
    </row>
    <row r="671" spans="1:24" ht="14.1" customHeight="1">
      <c r="A671" s="70">
        <f t="shared" si="55"/>
        <v>671</v>
      </c>
      <c r="B671" s="399" t="s">
        <v>77</v>
      </c>
      <c r="C671" s="399" t="s">
        <v>574</v>
      </c>
      <c r="D671" s="354" t="s">
        <v>165</v>
      </c>
      <c r="E671" s="404" t="s">
        <v>520</v>
      </c>
      <c r="F671" s="404" t="s">
        <v>591</v>
      </c>
      <c r="G671" s="422">
        <v>4101</v>
      </c>
      <c r="H671" s="399" t="s">
        <v>592</v>
      </c>
      <c r="I671" s="399" t="s">
        <v>124</v>
      </c>
      <c r="J671" s="399" t="s">
        <v>593</v>
      </c>
      <c r="K671" s="414">
        <v>126.6</v>
      </c>
      <c r="L671" s="408">
        <f t="shared" si="52"/>
        <v>0</v>
      </c>
      <c r="M671" s="409" t="s">
        <v>242</v>
      </c>
      <c r="N671" s="306"/>
      <c r="O671" s="409"/>
      <c r="P671" s="410">
        <f>IF(M671="nio",0,IF(M671&gt;0,M671*K671/S671,0))*VLOOKUP(B671,'2-Kosten per locatie'!$A$14:$C$61,3,FALSE)</f>
        <v>0</v>
      </c>
      <c r="Q671" s="410">
        <f>IF(N671&gt;0,N671*K671/T671,0)*VLOOKUP(B671,'2-Kosten per locatie'!$A$14:$C$61,3,FALSE)</f>
        <v>0</v>
      </c>
      <c r="R671" s="410">
        <f>IF(O671&gt;0,O671*K671/U671,0)*VLOOKUP(B671,'2-Kosten per locatie'!$A$14:$C$61,3,FALSE)</f>
        <v>0</v>
      </c>
      <c r="S671" s="411">
        <f>IF(M671="nio",0,IF(M671&gt;0,VLOOKUP(I671,'3-Productie normen'!A:P,VLOOKUP(M671,'3-Productie normen'!$B$38:$C$48,2,FALSE),FALSE)))</f>
        <v>0</v>
      </c>
      <c r="T671" s="411">
        <f t="shared" si="53"/>
        <v>0</v>
      </c>
      <c r="U671" s="411">
        <f t="shared" si="56"/>
        <v>0</v>
      </c>
      <c r="V671" s="412"/>
      <c r="X671" s="413">
        <f t="shared" si="54"/>
        <v>0</v>
      </c>
    </row>
    <row r="672" spans="1:24" ht="14.1" customHeight="1">
      <c r="A672" s="70">
        <f t="shared" si="55"/>
        <v>672</v>
      </c>
      <c r="B672" s="399" t="s">
        <v>77</v>
      </c>
      <c r="C672" s="399" t="s">
        <v>574</v>
      </c>
      <c r="D672" s="354" t="s">
        <v>165</v>
      </c>
      <c r="E672" s="404" t="s">
        <v>520</v>
      </c>
      <c r="F672" s="404" t="s">
        <v>591</v>
      </c>
      <c r="G672" s="422">
        <v>4102</v>
      </c>
      <c r="H672" s="399" t="s">
        <v>594</v>
      </c>
      <c r="I672" s="399" t="s">
        <v>124</v>
      </c>
      <c r="J672" s="399" t="s">
        <v>593</v>
      </c>
      <c r="K672" s="414">
        <v>12.5</v>
      </c>
      <c r="L672" s="408">
        <f t="shared" si="52"/>
        <v>0</v>
      </c>
      <c r="M672" s="409" t="s">
        <v>242</v>
      </c>
      <c r="N672" s="306"/>
      <c r="O672" s="409"/>
      <c r="P672" s="410">
        <f>IF(M672="nio",0,IF(M672&gt;0,M672*K672/S672,0))*VLOOKUP(B672,'2-Kosten per locatie'!$A$14:$C$61,3,FALSE)</f>
        <v>0</v>
      </c>
      <c r="Q672" s="410">
        <f>IF(N672&gt;0,N672*K672/T672,0)*VLOOKUP(B672,'2-Kosten per locatie'!$A$14:$C$61,3,FALSE)</f>
        <v>0</v>
      </c>
      <c r="R672" s="410">
        <f>IF(O672&gt;0,O672*K672/U672,0)*VLOOKUP(B672,'2-Kosten per locatie'!$A$14:$C$61,3,FALSE)</f>
        <v>0</v>
      </c>
      <c r="S672" s="411">
        <f>IF(M672="nio",0,IF(M672&gt;0,VLOOKUP(I672,'3-Productie normen'!A:P,VLOOKUP(M672,'3-Productie normen'!$B$38:$C$48,2,FALSE),FALSE)))</f>
        <v>0</v>
      </c>
      <c r="T672" s="411">
        <f t="shared" si="53"/>
        <v>0</v>
      </c>
      <c r="U672" s="411">
        <f t="shared" si="56"/>
        <v>0</v>
      </c>
      <c r="V672" s="412"/>
      <c r="X672" s="413">
        <f t="shared" si="54"/>
        <v>0</v>
      </c>
    </row>
    <row r="673" spans="1:24" ht="14.1" customHeight="1">
      <c r="A673" s="70">
        <f t="shared" si="55"/>
        <v>673</v>
      </c>
      <c r="B673" s="399" t="s">
        <v>77</v>
      </c>
      <c r="C673" s="399" t="s">
        <v>574</v>
      </c>
      <c r="D673" s="354" t="s">
        <v>165</v>
      </c>
      <c r="E673" s="404" t="s">
        <v>520</v>
      </c>
      <c r="F673" s="404" t="s">
        <v>591</v>
      </c>
      <c r="G673" s="422">
        <v>4103</v>
      </c>
      <c r="H673" s="399" t="s">
        <v>595</v>
      </c>
      <c r="I673" s="399" t="s">
        <v>124</v>
      </c>
      <c r="J673" s="399" t="s">
        <v>593</v>
      </c>
      <c r="K673" s="414">
        <v>12.9</v>
      </c>
      <c r="L673" s="408">
        <f t="shared" si="52"/>
        <v>0</v>
      </c>
      <c r="M673" s="409" t="s">
        <v>242</v>
      </c>
      <c r="N673" s="306"/>
      <c r="O673" s="409"/>
      <c r="P673" s="410">
        <f>IF(M673="nio",0,IF(M673&gt;0,M673*K673/S673,0))*VLOOKUP(B673,'2-Kosten per locatie'!$A$14:$C$61,3,FALSE)</f>
        <v>0</v>
      </c>
      <c r="Q673" s="410">
        <f>IF(N673&gt;0,N673*K673/T673,0)*VLOOKUP(B673,'2-Kosten per locatie'!$A$14:$C$61,3,FALSE)</f>
        <v>0</v>
      </c>
      <c r="R673" s="410">
        <f>IF(O673&gt;0,O673*K673/U673,0)*VLOOKUP(B673,'2-Kosten per locatie'!$A$14:$C$61,3,FALSE)</f>
        <v>0</v>
      </c>
      <c r="S673" s="411">
        <f>IF(M673="nio",0,IF(M673&gt;0,VLOOKUP(I673,'3-Productie normen'!A:P,VLOOKUP(M673,'3-Productie normen'!$B$38:$C$48,2,FALSE),FALSE)))</f>
        <v>0</v>
      </c>
      <c r="T673" s="411">
        <f t="shared" si="53"/>
        <v>0</v>
      </c>
      <c r="U673" s="411">
        <f t="shared" si="56"/>
        <v>0</v>
      </c>
      <c r="V673" s="412"/>
      <c r="X673" s="413">
        <f t="shared" si="54"/>
        <v>0</v>
      </c>
    </row>
    <row r="674" spans="1:24" ht="14.1" customHeight="1">
      <c r="A674" s="70">
        <f t="shared" si="55"/>
        <v>674</v>
      </c>
      <c r="B674" s="399" t="s">
        <v>77</v>
      </c>
      <c r="C674" s="399" t="s">
        <v>574</v>
      </c>
      <c r="D674" s="354" t="s">
        <v>165</v>
      </c>
      <c r="E674" s="404" t="s">
        <v>520</v>
      </c>
      <c r="F674" s="404" t="s">
        <v>591</v>
      </c>
      <c r="G674" s="422">
        <v>4104</v>
      </c>
      <c r="H674" s="399" t="s">
        <v>596</v>
      </c>
      <c r="I674" s="399" t="s">
        <v>124</v>
      </c>
      <c r="J674" s="399" t="s">
        <v>593</v>
      </c>
      <c r="K674" s="414">
        <v>15.2</v>
      </c>
      <c r="L674" s="408">
        <f t="shared" si="52"/>
        <v>0</v>
      </c>
      <c r="M674" s="409" t="s">
        <v>242</v>
      </c>
      <c r="N674" s="306"/>
      <c r="O674" s="409"/>
      <c r="P674" s="410">
        <f>IF(M674="nio",0,IF(M674&gt;0,M674*K674/S674,0))*VLOOKUP(B674,'2-Kosten per locatie'!$A$14:$C$61,3,FALSE)</f>
        <v>0</v>
      </c>
      <c r="Q674" s="410">
        <f>IF(N674&gt;0,N674*K674/T674,0)*VLOOKUP(B674,'2-Kosten per locatie'!$A$14:$C$61,3,FALSE)</f>
        <v>0</v>
      </c>
      <c r="R674" s="410">
        <f>IF(O674&gt;0,O674*K674/U674,0)*VLOOKUP(B674,'2-Kosten per locatie'!$A$14:$C$61,3,FALSE)</f>
        <v>0</v>
      </c>
      <c r="S674" s="411">
        <f>IF(M674="nio",0,IF(M674&gt;0,VLOOKUP(I674,'3-Productie normen'!A:P,VLOOKUP(M674,'3-Productie normen'!$B$38:$C$48,2,FALSE),FALSE)))</f>
        <v>0</v>
      </c>
      <c r="T674" s="411">
        <f t="shared" si="53"/>
        <v>0</v>
      </c>
      <c r="U674" s="411">
        <f t="shared" si="56"/>
        <v>0</v>
      </c>
      <c r="V674" s="412"/>
      <c r="X674" s="413">
        <f t="shared" si="54"/>
        <v>0</v>
      </c>
    </row>
    <row r="675" spans="1:24" ht="14.1" customHeight="1">
      <c r="A675" s="70">
        <f t="shared" si="55"/>
        <v>675</v>
      </c>
      <c r="B675" s="399" t="s">
        <v>77</v>
      </c>
      <c r="C675" s="399" t="s">
        <v>574</v>
      </c>
      <c r="D675" s="354" t="s">
        <v>165</v>
      </c>
      <c r="E675" s="404" t="s">
        <v>520</v>
      </c>
      <c r="F675" s="404" t="s">
        <v>591</v>
      </c>
      <c r="G675" s="422">
        <v>4105</v>
      </c>
      <c r="H675" s="399" t="s">
        <v>597</v>
      </c>
      <c r="I675" s="399" t="s">
        <v>124</v>
      </c>
      <c r="J675" s="399" t="s">
        <v>593</v>
      </c>
      <c r="K675" s="414">
        <v>35.6</v>
      </c>
      <c r="L675" s="408">
        <f t="shared" si="52"/>
        <v>0</v>
      </c>
      <c r="M675" s="409" t="s">
        <v>242</v>
      </c>
      <c r="N675" s="306"/>
      <c r="O675" s="409"/>
      <c r="P675" s="410">
        <f>IF(M675="nio",0,IF(M675&gt;0,M675*K675/S675,0))*VLOOKUP(B675,'2-Kosten per locatie'!$A$14:$C$61,3,FALSE)</f>
        <v>0</v>
      </c>
      <c r="Q675" s="410">
        <f>IF(N675&gt;0,N675*K675/T675,0)*VLOOKUP(B675,'2-Kosten per locatie'!$A$14:$C$61,3,FALSE)</f>
        <v>0</v>
      </c>
      <c r="R675" s="410">
        <f>IF(O675&gt;0,O675*K675/U675,0)*VLOOKUP(B675,'2-Kosten per locatie'!$A$14:$C$61,3,FALSE)</f>
        <v>0</v>
      </c>
      <c r="S675" s="411">
        <f>IF(M675="nio",0,IF(M675&gt;0,VLOOKUP(I675,'3-Productie normen'!A:P,VLOOKUP(M675,'3-Productie normen'!$B$38:$C$48,2,FALSE),FALSE)))</f>
        <v>0</v>
      </c>
      <c r="T675" s="411">
        <f t="shared" si="53"/>
        <v>0</v>
      </c>
      <c r="U675" s="411">
        <f t="shared" si="56"/>
        <v>0</v>
      </c>
      <c r="V675" s="412"/>
      <c r="X675" s="413">
        <f t="shared" si="54"/>
        <v>0</v>
      </c>
    </row>
    <row r="676" spans="1:24" ht="14.1" customHeight="1">
      <c r="A676" s="70">
        <f t="shared" si="55"/>
        <v>676</v>
      </c>
      <c r="B676" s="399" t="s">
        <v>77</v>
      </c>
      <c r="C676" s="399" t="s">
        <v>574</v>
      </c>
      <c r="D676" s="354" t="s">
        <v>165</v>
      </c>
      <c r="E676" s="404" t="s">
        <v>520</v>
      </c>
      <c r="F676" s="404" t="s">
        <v>591</v>
      </c>
      <c r="G676" s="422">
        <v>4106</v>
      </c>
      <c r="H676" s="399" t="s">
        <v>598</v>
      </c>
      <c r="I676" s="399" t="s">
        <v>124</v>
      </c>
      <c r="J676" s="399" t="s">
        <v>593</v>
      </c>
      <c r="K676" s="414">
        <v>11.6</v>
      </c>
      <c r="L676" s="408">
        <f t="shared" si="52"/>
        <v>0</v>
      </c>
      <c r="M676" s="409" t="s">
        <v>242</v>
      </c>
      <c r="N676" s="306"/>
      <c r="O676" s="409"/>
      <c r="P676" s="410">
        <f>IF(M676="nio",0,IF(M676&gt;0,M676*K676/S676,0))*VLOOKUP(B676,'2-Kosten per locatie'!$A$14:$C$61,3,FALSE)</f>
        <v>0</v>
      </c>
      <c r="Q676" s="410">
        <f>IF(N676&gt;0,N676*K676/T676,0)*VLOOKUP(B676,'2-Kosten per locatie'!$A$14:$C$61,3,FALSE)</f>
        <v>0</v>
      </c>
      <c r="R676" s="410">
        <f>IF(O676&gt;0,O676*K676/U676,0)*VLOOKUP(B676,'2-Kosten per locatie'!$A$14:$C$61,3,FALSE)</f>
        <v>0</v>
      </c>
      <c r="S676" s="411">
        <f>IF(M676="nio",0,IF(M676&gt;0,VLOOKUP(I676,'3-Productie normen'!A:P,VLOOKUP(M676,'3-Productie normen'!$B$38:$C$48,2,FALSE),FALSE)))</f>
        <v>0</v>
      </c>
      <c r="T676" s="411">
        <f t="shared" si="53"/>
        <v>0</v>
      </c>
      <c r="U676" s="411">
        <f t="shared" si="56"/>
        <v>0</v>
      </c>
      <c r="V676" s="412"/>
      <c r="X676" s="413">
        <f t="shared" si="54"/>
        <v>0</v>
      </c>
    </row>
    <row r="677" spans="1:24" ht="14.1" customHeight="1">
      <c r="A677" s="70">
        <f t="shared" si="55"/>
        <v>677</v>
      </c>
      <c r="B677" s="399" t="s">
        <v>77</v>
      </c>
      <c r="C677" s="399" t="s">
        <v>574</v>
      </c>
      <c r="D677" s="354" t="s">
        <v>165</v>
      </c>
      <c r="E677" s="404" t="s">
        <v>520</v>
      </c>
      <c r="F677" s="404" t="s">
        <v>591</v>
      </c>
      <c r="G677" s="422">
        <v>4107</v>
      </c>
      <c r="H677" s="399" t="s">
        <v>599</v>
      </c>
      <c r="I677" s="399" t="s">
        <v>124</v>
      </c>
      <c r="J677" s="399" t="s">
        <v>537</v>
      </c>
      <c r="K677" s="414">
        <v>6.4</v>
      </c>
      <c r="L677" s="408">
        <f t="shared" si="52"/>
        <v>0</v>
      </c>
      <c r="M677" s="409" t="s">
        <v>242</v>
      </c>
      <c r="N677" s="306"/>
      <c r="O677" s="409"/>
      <c r="P677" s="410">
        <f>IF(M677="nio",0,IF(M677&gt;0,M677*K677/S677,0))*VLOOKUP(B677,'2-Kosten per locatie'!$A$14:$C$61,3,FALSE)</f>
        <v>0</v>
      </c>
      <c r="Q677" s="410">
        <f>IF(N677&gt;0,N677*K677/T677,0)*VLOOKUP(B677,'2-Kosten per locatie'!$A$14:$C$61,3,FALSE)</f>
        <v>0</v>
      </c>
      <c r="R677" s="410">
        <f>IF(O677&gt;0,O677*K677/U677,0)*VLOOKUP(B677,'2-Kosten per locatie'!$A$14:$C$61,3,FALSE)</f>
        <v>0</v>
      </c>
      <c r="S677" s="411">
        <f>IF(M677="nio",0,IF(M677&gt;0,VLOOKUP(I677,'3-Productie normen'!A:P,VLOOKUP(M677,'3-Productie normen'!$B$38:$C$48,2,FALSE),FALSE)))</f>
        <v>0</v>
      </c>
      <c r="T677" s="411">
        <f t="shared" si="53"/>
        <v>0</v>
      </c>
      <c r="U677" s="411">
        <f t="shared" si="56"/>
        <v>0</v>
      </c>
      <c r="V677" s="412"/>
      <c r="X677" s="413">
        <f t="shared" si="54"/>
        <v>0</v>
      </c>
    </row>
    <row r="678" spans="1:24" ht="14.1" customHeight="1">
      <c r="A678" s="70">
        <f t="shared" si="55"/>
        <v>678</v>
      </c>
      <c r="B678" s="399" t="s">
        <v>77</v>
      </c>
      <c r="C678" s="399" t="s">
        <v>574</v>
      </c>
      <c r="D678" s="354" t="s">
        <v>165</v>
      </c>
      <c r="E678" s="404" t="s">
        <v>520</v>
      </c>
      <c r="F678" s="404" t="s">
        <v>591</v>
      </c>
      <c r="G678" s="422">
        <v>4108</v>
      </c>
      <c r="H678" s="399" t="s">
        <v>600</v>
      </c>
      <c r="I678" s="399" t="s">
        <v>124</v>
      </c>
      <c r="J678" s="399" t="s">
        <v>537</v>
      </c>
      <c r="K678" s="414">
        <v>2.5</v>
      </c>
      <c r="L678" s="408">
        <f t="shared" si="52"/>
        <v>0</v>
      </c>
      <c r="M678" s="409" t="s">
        <v>242</v>
      </c>
      <c r="N678" s="306"/>
      <c r="O678" s="409"/>
      <c r="P678" s="410">
        <f>IF(M678="nio",0,IF(M678&gt;0,M678*K678/S678,0))*VLOOKUP(B678,'2-Kosten per locatie'!$A$14:$C$61,3,FALSE)</f>
        <v>0</v>
      </c>
      <c r="Q678" s="410">
        <f>IF(N678&gt;0,N678*K678/T678,0)*VLOOKUP(B678,'2-Kosten per locatie'!$A$14:$C$61,3,FALSE)</f>
        <v>0</v>
      </c>
      <c r="R678" s="410">
        <f>IF(O678&gt;0,O678*K678/U678,0)*VLOOKUP(B678,'2-Kosten per locatie'!$A$14:$C$61,3,FALSE)</f>
        <v>0</v>
      </c>
      <c r="S678" s="411">
        <f>IF(M678="nio",0,IF(M678&gt;0,VLOOKUP(I678,'3-Productie normen'!A:P,VLOOKUP(M678,'3-Productie normen'!$B$38:$C$48,2,FALSE),FALSE)))</f>
        <v>0</v>
      </c>
      <c r="T678" s="411">
        <f t="shared" si="53"/>
        <v>0</v>
      </c>
      <c r="U678" s="411">
        <f t="shared" si="56"/>
        <v>0</v>
      </c>
      <c r="V678" s="412"/>
      <c r="X678" s="413">
        <f t="shared" si="54"/>
        <v>0</v>
      </c>
    </row>
    <row r="679" spans="1:24" ht="14.1" customHeight="1">
      <c r="A679" s="70">
        <f t="shared" si="55"/>
        <v>679</v>
      </c>
      <c r="B679" s="399" t="s">
        <v>77</v>
      </c>
      <c r="C679" s="399" t="s">
        <v>574</v>
      </c>
      <c r="D679" s="354" t="s">
        <v>165</v>
      </c>
      <c r="E679" s="404" t="s">
        <v>520</v>
      </c>
      <c r="F679" s="404" t="s">
        <v>591</v>
      </c>
      <c r="G679" s="422">
        <v>9101</v>
      </c>
      <c r="H679" s="399" t="s">
        <v>575</v>
      </c>
      <c r="I679" s="399" t="s">
        <v>108</v>
      </c>
      <c r="J679" s="399" t="s">
        <v>228</v>
      </c>
      <c r="K679" s="414">
        <v>6.7</v>
      </c>
      <c r="L679" s="408">
        <f t="shared" si="52"/>
        <v>322</v>
      </c>
      <c r="M679" s="409">
        <v>230</v>
      </c>
      <c r="N679" s="306"/>
      <c r="O679" s="409">
        <v>92</v>
      </c>
      <c r="P679" s="410" t="e">
        <f>IF(M679="nio",0,IF(M679&gt;0,M679*K679/S679,0))*VLOOKUP(B679,'2-Kosten per locatie'!$A$14:$C$61,3,FALSE)</f>
        <v>#DIV/0!</v>
      </c>
      <c r="Q679" s="410">
        <f>IF(N679&gt;0,N679*K679/T679,0)*VLOOKUP(B679,'2-Kosten per locatie'!$A$14:$C$61,3,FALSE)</f>
        <v>0</v>
      </c>
      <c r="R679" s="410" t="e">
        <f>IF(O679&gt;0,O679*K679/U679,0)*VLOOKUP(B679,'2-Kosten per locatie'!$A$14:$C$61,3,FALSE)</f>
        <v>#DIV/0!</v>
      </c>
      <c r="S679" s="411">
        <f>IF(M679="nio",0,IF(M679&gt;0,VLOOKUP(I679,'3-Productie normen'!A:P,VLOOKUP(M679,'3-Productie normen'!$B$38:$C$48,2,FALSE),FALSE)))</f>
        <v>0</v>
      </c>
      <c r="T679" s="411">
        <f t="shared" si="53"/>
        <v>0</v>
      </c>
      <c r="U679" s="411">
        <f t="shared" si="56"/>
        <v>0</v>
      </c>
      <c r="V679" s="412"/>
      <c r="X679" s="413">
        <f t="shared" si="54"/>
        <v>2157.4</v>
      </c>
    </row>
    <row r="680" spans="1:24" ht="14.1" customHeight="1">
      <c r="A680" s="70">
        <f t="shared" si="55"/>
        <v>680</v>
      </c>
      <c r="B680" s="399" t="s">
        <v>77</v>
      </c>
      <c r="C680" s="399" t="s">
        <v>574</v>
      </c>
      <c r="D680" s="354" t="s">
        <v>165</v>
      </c>
      <c r="E680" s="404" t="s">
        <v>520</v>
      </c>
      <c r="F680" s="404" t="s">
        <v>591</v>
      </c>
      <c r="G680" s="422">
        <v>9102</v>
      </c>
      <c r="H680" s="399" t="s">
        <v>601</v>
      </c>
      <c r="I680" s="399" t="s">
        <v>108</v>
      </c>
      <c r="J680" s="399" t="s">
        <v>576</v>
      </c>
      <c r="K680" s="414">
        <v>12.4</v>
      </c>
      <c r="L680" s="408">
        <f t="shared" si="52"/>
        <v>322</v>
      </c>
      <c r="M680" s="409">
        <v>230</v>
      </c>
      <c r="N680" s="306"/>
      <c r="O680" s="409">
        <v>92</v>
      </c>
      <c r="P680" s="410" t="e">
        <f>IF(M680="nio",0,IF(M680&gt;0,M680*K680/S680,0))*VLOOKUP(B680,'2-Kosten per locatie'!$A$14:$C$61,3,FALSE)</f>
        <v>#DIV/0!</v>
      </c>
      <c r="Q680" s="410">
        <f>IF(N680&gt;0,N680*K680/T680,0)*VLOOKUP(B680,'2-Kosten per locatie'!$A$14:$C$61,3,FALSE)</f>
        <v>0</v>
      </c>
      <c r="R680" s="410" t="e">
        <f>IF(O680&gt;0,O680*K680/U680,0)*VLOOKUP(B680,'2-Kosten per locatie'!$A$14:$C$61,3,FALSE)</f>
        <v>#DIV/0!</v>
      </c>
      <c r="S680" s="411">
        <f>IF(M680="nio",0,IF(M680&gt;0,VLOOKUP(I680,'3-Productie normen'!A:P,VLOOKUP(M680,'3-Productie normen'!$B$38:$C$48,2,FALSE),FALSE)))</f>
        <v>0</v>
      </c>
      <c r="T680" s="411">
        <f t="shared" si="53"/>
        <v>0</v>
      </c>
      <c r="U680" s="411">
        <f t="shared" si="56"/>
        <v>0</v>
      </c>
      <c r="V680" s="412"/>
      <c r="X680" s="413">
        <f t="shared" si="54"/>
        <v>3992.8</v>
      </c>
    </row>
    <row r="681" spans="1:24" ht="14.1" customHeight="1">
      <c r="A681" s="70">
        <f t="shared" si="55"/>
        <v>681</v>
      </c>
      <c r="B681" s="399" t="s">
        <v>77</v>
      </c>
      <c r="C681" s="399" t="s">
        <v>574</v>
      </c>
      <c r="D681" s="354" t="s">
        <v>165</v>
      </c>
      <c r="E681" s="404" t="s">
        <v>520</v>
      </c>
      <c r="F681" s="404" t="s">
        <v>591</v>
      </c>
      <c r="G681" s="422">
        <v>9103</v>
      </c>
      <c r="H681" s="399" t="s">
        <v>602</v>
      </c>
      <c r="I681" s="399" t="s">
        <v>108</v>
      </c>
      <c r="J681" s="399" t="s">
        <v>228</v>
      </c>
      <c r="K681" s="414">
        <v>156.1</v>
      </c>
      <c r="L681" s="408">
        <f t="shared" si="52"/>
        <v>322</v>
      </c>
      <c r="M681" s="409">
        <v>230</v>
      </c>
      <c r="N681" s="306"/>
      <c r="O681" s="409">
        <v>92</v>
      </c>
      <c r="P681" s="410" t="e">
        <f>IF(M681="nio",0,IF(M681&gt;0,M681*K681/S681,0))*VLOOKUP(B681,'2-Kosten per locatie'!$A$14:$C$61,3,FALSE)</f>
        <v>#DIV/0!</v>
      </c>
      <c r="Q681" s="410">
        <f>IF(N681&gt;0,N681*K681/T681,0)*VLOOKUP(B681,'2-Kosten per locatie'!$A$14:$C$61,3,FALSE)</f>
        <v>0</v>
      </c>
      <c r="R681" s="410" t="e">
        <f>IF(O681&gt;0,O681*K681/U681,0)*VLOOKUP(B681,'2-Kosten per locatie'!$A$14:$C$61,3,FALSE)</f>
        <v>#DIV/0!</v>
      </c>
      <c r="S681" s="411">
        <f>IF(M681="nio",0,IF(M681&gt;0,VLOOKUP(I681,'3-Productie normen'!A:P,VLOOKUP(M681,'3-Productie normen'!$B$38:$C$48,2,FALSE),FALSE)))</f>
        <v>0</v>
      </c>
      <c r="T681" s="411">
        <f t="shared" si="53"/>
        <v>0</v>
      </c>
      <c r="U681" s="411">
        <f t="shared" si="56"/>
        <v>0</v>
      </c>
      <c r="V681" s="412"/>
      <c r="X681" s="413">
        <f t="shared" si="54"/>
        <v>50264.2</v>
      </c>
    </row>
    <row r="682" spans="1:24" ht="14.1" customHeight="1">
      <c r="A682" s="70">
        <f t="shared" si="55"/>
        <v>682</v>
      </c>
      <c r="B682" s="399" t="s">
        <v>77</v>
      </c>
      <c r="C682" s="399" t="s">
        <v>574</v>
      </c>
      <c r="D682" s="354" t="s">
        <v>165</v>
      </c>
      <c r="E682" s="404" t="s">
        <v>520</v>
      </c>
      <c r="F682" s="404" t="s">
        <v>591</v>
      </c>
      <c r="G682" s="422">
        <v>9104</v>
      </c>
      <c r="H682" s="399" t="s">
        <v>603</v>
      </c>
      <c r="I682" s="399" t="s">
        <v>108</v>
      </c>
      <c r="J682" s="399" t="s">
        <v>604</v>
      </c>
      <c r="K682" s="414">
        <v>13.2</v>
      </c>
      <c r="L682" s="408">
        <f t="shared" si="52"/>
        <v>322</v>
      </c>
      <c r="M682" s="409">
        <v>230</v>
      </c>
      <c r="N682" s="306"/>
      <c r="O682" s="409">
        <v>92</v>
      </c>
      <c r="P682" s="410" t="e">
        <f>IF(M682="nio",0,IF(M682&gt;0,M682*K682/S682,0))*VLOOKUP(B682,'2-Kosten per locatie'!$A$14:$C$61,3,FALSE)</f>
        <v>#DIV/0!</v>
      </c>
      <c r="Q682" s="410">
        <f>IF(N682&gt;0,N682*K682/T682,0)*VLOOKUP(B682,'2-Kosten per locatie'!$A$14:$C$61,3,FALSE)</f>
        <v>0</v>
      </c>
      <c r="R682" s="410" t="e">
        <f>IF(O682&gt;0,O682*K682/U682,0)*VLOOKUP(B682,'2-Kosten per locatie'!$A$14:$C$61,3,FALSE)</f>
        <v>#DIV/0!</v>
      </c>
      <c r="S682" s="411">
        <f>IF(M682="nio",0,IF(M682&gt;0,VLOOKUP(I682,'3-Productie normen'!A:P,VLOOKUP(M682,'3-Productie normen'!$B$38:$C$48,2,FALSE),FALSE)))</f>
        <v>0</v>
      </c>
      <c r="T682" s="411">
        <f t="shared" si="53"/>
        <v>0</v>
      </c>
      <c r="U682" s="411">
        <f t="shared" si="56"/>
        <v>0</v>
      </c>
      <c r="V682" s="412"/>
      <c r="X682" s="413">
        <f t="shared" si="54"/>
        <v>4250.3999999999996</v>
      </c>
    </row>
    <row r="683" spans="1:24" ht="14.1" customHeight="1">
      <c r="A683" s="70">
        <f t="shared" si="55"/>
        <v>683</v>
      </c>
      <c r="B683" s="399" t="s">
        <v>77</v>
      </c>
      <c r="C683" s="399" t="s">
        <v>574</v>
      </c>
      <c r="D683" s="354" t="s">
        <v>165</v>
      </c>
      <c r="E683" s="404" t="s">
        <v>520</v>
      </c>
      <c r="F683" s="404" t="s">
        <v>591</v>
      </c>
      <c r="G683" s="422">
        <v>9105</v>
      </c>
      <c r="H683" s="399" t="s">
        <v>605</v>
      </c>
      <c r="I683" s="399" t="s">
        <v>108</v>
      </c>
      <c r="J683" s="399" t="s">
        <v>604</v>
      </c>
      <c r="K683" s="414">
        <v>29.8</v>
      </c>
      <c r="L683" s="408">
        <f t="shared" si="52"/>
        <v>322</v>
      </c>
      <c r="M683" s="409">
        <v>230</v>
      </c>
      <c r="N683" s="306"/>
      <c r="O683" s="409">
        <v>92</v>
      </c>
      <c r="P683" s="410" t="e">
        <f>IF(M683="nio",0,IF(M683&gt;0,M683*K683/S683,0))*VLOOKUP(B683,'2-Kosten per locatie'!$A$14:$C$61,3,FALSE)</f>
        <v>#DIV/0!</v>
      </c>
      <c r="Q683" s="410">
        <f>IF(N683&gt;0,N683*K683/T683,0)*VLOOKUP(B683,'2-Kosten per locatie'!$A$14:$C$61,3,FALSE)</f>
        <v>0</v>
      </c>
      <c r="R683" s="410" t="e">
        <f>IF(O683&gt;0,O683*K683/U683,0)*VLOOKUP(B683,'2-Kosten per locatie'!$A$14:$C$61,3,FALSE)</f>
        <v>#DIV/0!</v>
      </c>
      <c r="S683" s="411">
        <f>IF(M683="nio",0,IF(M683&gt;0,VLOOKUP(I683,'3-Productie normen'!A:P,VLOOKUP(M683,'3-Productie normen'!$B$38:$C$48,2,FALSE),FALSE)))</f>
        <v>0</v>
      </c>
      <c r="T683" s="411">
        <f t="shared" si="53"/>
        <v>0</v>
      </c>
      <c r="U683" s="411">
        <f t="shared" si="56"/>
        <v>0</v>
      </c>
      <c r="V683" s="412"/>
      <c r="X683" s="413">
        <f t="shared" si="54"/>
        <v>9595.6</v>
      </c>
    </row>
    <row r="684" spans="1:24" ht="14.1" customHeight="1">
      <c r="A684" s="70">
        <f t="shared" si="55"/>
        <v>684</v>
      </c>
      <c r="B684" s="399" t="s">
        <v>77</v>
      </c>
      <c r="C684" s="399" t="s">
        <v>574</v>
      </c>
      <c r="D684" s="354" t="s">
        <v>165</v>
      </c>
      <c r="E684" s="404" t="s">
        <v>520</v>
      </c>
      <c r="F684" s="404" t="s">
        <v>591</v>
      </c>
      <c r="G684" s="422">
        <v>9106</v>
      </c>
      <c r="H684" s="399" t="s">
        <v>606</v>
      </c>
      <c r="I684" s="399" t="s">
        <v>114</v>
      </c>
      <c r="J684" s="399" t="s">
        <v>604</v>
      </c>
      <c r="K684" s="414">
        <v>66.7</v>
      </c>
      <c r="L684" s="408">
        <f t="shared" ref="L684:L747" si="57">SUM(M684:O684)</f>
        <v>322</v>
      </c>
      <c r="M684" s="409">
        <v>230</v>
      </c>
      <c r="N684" s="306"/>
      <c r="O684" s="409">
        <v>92</v>
      </c>
      <c r="P684" s="410" t="e">
        <f>IF(M684="nio",0,IF(M684&gt;0,M684*K684/S684,0))*VLOOKUP(B684,'2-Kosten per locatie'!$A$14:$C$61,3,FALSE)</f>
        <v>#DIV/0!</v>
      </c>
      <c r="Q684" s="410">
        <f>IF(N684&gt;0,N684*K684/T684,0)*VLOOKUP(B684,'2-Kosten per locatie'!$A$14:$C$61,3,FALSE)</f>
        <v>0</v>
      </c>
      <c r="R684" s="410" t="e">
        <f>IF(O684&gt;0,O684*K684/U684,0)*VLOOKUP(B684,'2-Kosten per locatie'!$A$14:$C$61,3,FALSE)</f>
        <v>#DIV/0!</v>
      </c>
      <c r="S684" s="411">
        <f>IF(M684="nio",0,IF(M684&gt;0,VLOOKUP(I684,'3-Productie normen'!A:P,VLOOKUP(M684,'3-Productie normen'!$B$38:$C$48,2,FALSE),FALSE)))</f>
        <v>0</v>
      </c>
      <c r="T684" s="411">
        <f t="shared" si="53"/>
        <v>0</v>
      </c>
      <c r="U684" s="411">
        <f t="shared" si="56"/>
        <v>0</v>
      </c>
      <c r="V684" s="412"/>
      <c r="X684" s="413">
        <f t="shared" si="54"/>
        <v>21477.4</v>
      </c>
    </row>
    <row r="685" spans="1:24" ht="14.1" customHeight="1">
      <c r="A685" s="70">
        <f t="shared" si="55"/>
        <v>685</v>
      </c>
      <c r="B685" s="399" t="s">
        <v>77</v>
      </c>
      <c r="C685" s="399" t="s">
        <v>574</v>
      </c>
      <c r="D685" s="354" t="s">
        <v>165</v>
      </c>
      <c r="E685" s="404" t="s">
        <v>520</v>
      </c>
      <c r="F685" s="404" t="s">
        <v>591</v>
      </c>
      <c r="G685" s="422">
        <v>9108</v>
      </c>
      <c r="H685" s="399" t="s">
        <v>607</v>
      </c>
      <c r="I685" s="399" t="s">
        <v>124</v>
      </c>
      <c r="J685" s="399" t="s">
        <v>604</v>
      </c>
      <c r="K685" s="414">
        <v>36</v>
      </c>
      <c r="L685" s="408">
        <f t="shared" si="57"/>
        <v>0</v>
      </c>
      <c r="M685" s="409" t="s">
        <v>242</v>
      </c>
      <c r="N685" s="306"/>
      <c r="O685" s="409"/>
      <c r="P685" s="410">
        <f>IF(M685="nio",0,IF(M685&gt;0,M685*K685/S685,0))*VLOOKUP(B685,'2-Kosten per locatie'!$A$14:$C$61,3,FALSE)</f>
        <v>0</v>
      </c>
      <c r="Q685" s="410">
        <f>IF(N685&gt;0,N685*K685/T685,0)*VLOOKUP(B685,'2-Kosten per locatie'!$A$14:$C$61,3,FALSE)</f>
        <v>0</v>
      </c>
      <c r="R685" s="410">
        <f>IF(O685&gt;0,O685*K685/U685,0)*VLOOKUP(B685,'2-Kosten per locatie'!$A$14:$C$61,3,FALSE)</f>
        <v>0</v>
      </c>
      <c r="S685" s="411">
        <f>IF(M685="nio",0,IF(M685&gt;0,VLOOKUP(I685,'3-Productie normen'!A:P,VLOOKUP(M685,'3-Productie normen'!$B$38:$C$48,2,FALSE),FALSE)))</f>
        <v>0</v>
      </c>
      <c r="T685" s="411">
        <f t="shared" si="53"/>
        <v>0</v>
      </c>
      <c r="U685" s="411">
        <f t="shared" si="56"/>
        <v>0</v>
      </c>
      <c r="V685" s="412"/>
      <c r="X685" s="413">
        <f t="shared" si="54"/>
        <v>0</v>
      </c>
    </row>
    <row r="686" spans="1:24" ht="14.1" customHeight="1">
      <c r="A686" s="70">
        <f t="shared" si="55"/>
        <v>686</v>
      </c>
      <c r="B686" s="399" t="s">
        <v>77</v>
      </c>
      <c r="C686" s="399" t="s">
        <v>574</v>
      </c>
      <c r="D686" s="354" t="s">
        <v>165</v>
      </c>
      <c r="E686" s="404" t="s">
        <v>520</v>
      </c>
      <c r="F686" s="404" t="s">
        <v>591</v>
      </c>
      <c r="G686" s="422">
        <v>9109</v>
      </c>
      <c r="H686" s="399" t="s">
        <v>608</v>
      </c>
      <c r="I686" s="399" t="s">
        <v>124</v>
      </c>
      <c r="J686" s="399" t="s">
        <v>604</v>
      </c>
      <c r="K686" s="414">
        <v>8.8000000000000007</v>
      </c>
      <c r="L686" s="408">
        <f t="shared" si="57"/>
        <v>0</v>
      </c>
      <c r="M686" s="409" t="s">
        <v>242</v>
      </c>
      <c r="N686" s="306"/>
      <c r="O686" s="409"/>
      <c r="P686" s="410">
        <f>IF(M686="nio",0,IF(M686&gt;0,M686*K686/S686,0))*VLOOKUP(B686,'2-Kosten per locatie'!$A$14:$C$61,3,FALSE)</f>
        <v>0</v>
      </c>
      <c r="Q686" s="410">
        <f>IF(N686&gt;0,N686*K686/T686,0)*VLOOKUP(B686,'2-Kosten per locatie'!$A$14:$C$61,3,FALSE)</f>
        <v>0</v>
      </c>
      <c r="R686" s="410">
        <f>IF(O686&gt;0,O686*K686/U686,0)*VLOOKUP(B686,'2-Kosten per locatie'!$A$14:$C$61,3,FALSE)</f>
        <v>0</v>
      </c>
      <c r="S686" s="411">
        <f>IF(M686="nio",0,IF(M686&gt;0,VLOOKUP(I686,'3-Productie normen'!A:P,VLOOKUP(M686,'3-Productie normen'!$B$38:$C$48,2,FALSE),FALSE)))</f>
        <v>0</v>
      </c>
      <c r="T686" s="411">
        <f t="shared" si="53"/>
        <v>0</v>
      </c>
      <c r="U686" s="411">
        <f t="shared" si="56"/>
        <v>0</v>
      </c>
      <c r="V686" s="412"/>
      <c r="X686" s="413">
        <f t="shared" si="54"/>
        <v>0</v>
      </c>
    </row>
    <row r="687" spans="1:24" ht="14.1" customHeight="1">
      <c r="A687" s="70">
        <f t="shared" si="55"/>
        <v>687</v>
      </c>
      <c r="B687" s="399" t="s">
        <v>77</v>
      </c>
      <c r="C687" s="399" t="s">
        <v>574</v>
      </c>
      <c r="D687" s="354" t="s">
        <v>165</v>
      </c>
      <c r="E687" s="404" t="s">
        <v>520</v>
      </c>
      <c r="F687" s="404" t="s">
        <v>591</v>
      </c>
      <c r="G687" s="422">
        <v>9110</v>
      </c>
      <c r="H687" s="399" t="s">
        <v>609</v>
      </c>
      <c r="I687" s="399" t="s">
        <v>111</v>
      </c>
      <c r="J687" s="399" t="s">
        <v>604</v>
      </c>
      <c r="K687" s="414">
        <v>13.3</v>
      </c>
      <c r="L687" s="408">
        <f t="shared" si="57"/>
        <v>322</v>
      </c>
      <c r="M687" s="409">
        <v>230</v>
      </c>
      <c r="N687" s="306"/>
      <c r="O687" s="409">
        <v>92</v>
      </c>
      <c r="P687" s="410" t="e">
        <f>IF(M687="nio",0,IF(M687&gt;0,M687*K687/S687,0))*VLOOKUP(B687,'2-Kosten per locatie'!$A$14:$C$61,3,FALSE)</f>
        <v>#DIV/0!</v>
      </c>
      <c r="Q687" s="410">
        <f>IF(N687&gt;0,N687*K687/T687,0)*VLOOKUP(B687,'2-Kosten per locatie'!$A$14:$C$61,3,FALSE)</f>
        <v>0</v>
      </c>
      <c r="R687" s="410" t="e">
        <f>IF(O687&gt;0,O687*K687/U687,0)*VLOOKUP(B687,'2-Kosten per locatie'!$A$14:$C$61,3,FALSE)</f>
        <v>#DIV/0!</v>
      </c>
      <c r="S687" s="411">
        <f>IF(M687="nio",0,IF(M687&gt;0,VLOOKUP(I687,'3-Productie normen'!A:P,VLOOKUP(M687,'3-Productie normen'!$B$38:$C$48,2,FALSE),FALSE)))</f>
        <v>0</v>
      </c>
      <c r="T687" s="411">
        <f t="shared" si="53"/>
        <v>0</v>
      </c>
      <c r="U687" s="411">
        <f t="shared" si="56"/>
        <v>0</v>
      </c>
      <c r="V687" s="412"/>
      <c r="X687" s="413">
        <f t="shared" si="54"/>
        <v>4282.6000000000004</v>
      </c>
    </row>
    <row r="688" spans="1:24" ht="14.1" customHeight="1">
      <c r="A688" s="70">
        <f t="shared" si="55"/>
        <v>688</v>
      </c>
      <c r="B688" s="399" t="s">
        <v>77</v>
      </c>
      <c r="C688" s="399" t="s">
        <v>574</v>
      </c>
      <c r="D688" s="354" t="s">
        <v>165</v>
      </c>
      <c r="E688" s="404" t="s">
        <v>520</v>
      </c>
      <c r="F688" s="404" t="s">
        <v>591</v>
      </c>
      <c r="G688" s="422">
        <v>9111</v>
      </c>
      <c r="H688" s="399" t="s">
        <v>610</v>
      </c>
      <c r="I688" s="399" t="s">
        <v>111</v>
      </c>
      <c r="J688" s="399" t="s">
        <v>604</v>
      </c>
      <c r="K688" s="414">
        <v>15.5</v>
      </c>
      <c r="L688" s="408">
        <f t="shared" si="57"/>
        <v>322</v>
      </c>
      <c r="M688" s="409">
        <v>230</v>
      </c>
      <c r="N688" s="306"/>
      <c r="O688" s="409">
        <v>92</v>
      </c>
      <c r="P688" s="410" t="e">
        <f>IF(M688="nio",0,IF(M688&gt;0,M688*K688/S688,0))*VLOOKUP(B688,'2-Kosten per locatie'!$A$14:$C$61,3,FALSE)</f>
        <v>#DIV/0!</v>
      </c>
      <c r="Q688" s="410">
        <f>IF(N688&gt;0,N688*K688/T688,0)*VLOOKUP(B688,'2-Kosten per locatie'!$A$14:$C$61,3,FALSE)</f>
        <v>0</v>
      </c>
      <c r="R688" s="410" t="e">
        <f>IF(O688&gt;0,O688*K688/U688,0)*VLOOKUP(B688,'2-Kosten per locatie'!$A$14:$C$61,3,FALSE)</f>
        <v>#DIV/0!</v>
      </c>
      <c r="S688" s="411">
        <f>IF(M688="nio",0,IF(M688&gt;0,VLOOKUP(I688,'3-Productie normen'!A:P,VLOOKUP(M688,'3-Productie normen'!$B$38:$C$48,2,FALSE),FALSE)))</f>
        <v>0</v>
      </c>
      <c r="T688" s="411">
        <f t="shared" si="53"/>
        <v>0</v>
      </c>
      <c r="U688" s="411">
        <f t="shared" si="56"/>
        <v>0</v>
      </c>
      <c r="V688" s="412"/>
      <c r="X688" s="413">
        <f t="shared" si="54"/>
        <v>4991</v>
      </c>
    </row>
    <row r="689" spans="1:24" ht="14.1" customHeight="1">
      <c r="A689" s="70">
        <f t="shared" si="55"/>
        <v>689</v>
      </c>
      <c r="B689" s="399" t="s">
        <v>77</v>
      </c>
      <c r="C689" s="399" t="s">
        <v>574</v>
      </c>
      <c r="D689" s="354" t="s">
        <v>165</v>
      </c>
      <c r="E689" s="404" t="s">
        <v>520</v>
      </c>
      <c r="F689" s="404" t="s">
        <v>591</v>
      </c>
      <c r="G689" s="422">
        <v>9112</v>
      </c>
      <c r="H689" s="399" t="s">
        <v>611</v>
      </c>
      <c r="I689" s="399" t="s">
        <v>111</v>
      </c>
      <c r="J689" s="399" t="s">
        <v>612</v>
      </c>
      <c r="K689" s="414">
        <v>31.1</v>
      </c>
      <c r="L689" s="408">
        <f t="shared" si="57"/>
        <v>322</v>
      </c>
      <c r="M689" s="409">
        <v>230</v>
      </c>
      <c r="N689" s="306"/>
      <c r="O689" s="409">
        <v>92</v>
      </c>
      <c r="P689" s="410" t="e">
        <f>IF(M689="nio",0,IF(M689&gt;0,M689*K689/S689,0))*VLOOKUP(B689,'2-Kosten per locatie'!$A$14:$C$61,3,FALSE)</f>
        <v>#DIV/0!</v>
      </c>
      <c r="Q689" s="410">
        <f>IF(N689&gt;0,N689*K689/T689,0)*VLOOKUP(B689,'2-Kosten per locatie'!$A$14:$C$61,3,FALSE)</f>
        <v>0</v>
      </c>
      <c r="R689" s="410" t="e">
        <f>IF(O689&gt;0,O689*K689/U689,0)*VLOOKUP(B689,'2-Kosten per locatie'!$A$14:$C$61,3,FALSE)</f>
        <v>#DIV/0!</v>
      </c>
      <c r="S689" s="411">
        <f>IF(M689="nio",0,IF(M689&gt;0,VLOOKUP(I689,'3-Productie normen'!A:P,VLOOKUP(M689,'3-Productie normen'!$B$38:$C$48,2,FALSE),FALSE)))</f>
        <v>0</v>
      </c>
      <c r="T689" s="411">
        <f t="shared" si="53"/>
        <v>0</v>
      </c>
      <c r="U689" s="411">
        <f t="shared" si="56"/>
        <v>0</v>
      </c>
      <c r="V689" s="412"/>
      <c r="X689" s="413">
        <f t="shared" si="54"/>
        <v>10014.200000000001</v>
      </c>
    </row>
    <row r="690" spans="1:24" ht="14.1" customHeight="1">
      <c r="A690" s="70">
        <f t="shared" si="55"/>
        <v>690</v>
      </c>
      <c r="B690" s="399" t="s">
        <v>77</v>
      </c>
      <c r="C690" s="399" t="s">
        <v>574</v>
      </c>
      <c r="D690" s="354" t="s">
        <v>165</v>
      </c>
      <c r="E690" s="404" t="s">
        <v>520</v>
      </c>
      <c r="F690" s="404" t="s">
        <v>591</v>
      </c>
      <c r="G690" s="422">
        <v>9113</v>
      </c>
      <c r="H690" s="399" t="s">
        <v>613</v>
      </c>
      <c r="I690" s="399" t="s">
        <v>106</v>
      </c>
      <c r="J690" s="399" t="s">
        <v>612</v>
      </c>
      <c r="K690" s="414">
        <v>1.5</v>
      </c>
      <c r="L690" s="408">
        <f t="shared" si="57"/>
        <v>322</v>
      </c>
      <c r="M690" s="409">
        <v>230</v>
      </c>
      <c r="N690" s="306"/>
      <c r="O690" s="409">
        <v>92</v>
      </c>
      <c r="P690" s="410" t="e">
        <f>IF(M690="nio",0,IF(M690&gt;0,M690*K690/S690,0))*VLOOKUP(B690,'2-Kosten per locatie'!$A$14:$C$61,3,FALSE)</f>
        <v>#DIV/0!</v>
      </c>
      <c r="Q690" s="410">
        <f>IF(N690&gt;0,N690*K690/T690,0)*VLOOKUP(B690,'2-Kosten per locatie'!$A$14:$C$61,3,FALSE)</f>
        <v>0</v>
      </c>
      <c r="R690" s="410" t="e">
        <f>IF(O690&gt;0,O690*K690/U690,0)*VLOOKUP(B690,'2-Kosten per locatie'!$A$14:$C$61,3,FALSE)</f>
        <v>#DIV/0!</v>
      </c>
      <c r="S690" s="411">
        <f>IF(M690="nio",0,IF(M690&gt;0,VLOOKUP(I690,'3-Productie normen'!A:P,VLOOKUP(M690,'3-Productie normen'!$B$38:$C$48,2,FALSE),FALSE)))</f>
        <v>0</v>
      </c>
      <c r="T690" s="411">
        <f t="shared" si="53"/>
        <v>0</v>
      </c>
      <c r="U690" s="411">
        <f t="shared" si="56"/>
        <v>0</v>
      </c>
      <c r="V690" s="412"/>
      <c r="X690" s="413">
        <f t="shared" si="54"/>
        <v>483</v>
      </c>
    </row>
    <row r="691" spans="1:24" ht="14.1" customHeight="1">
      <c r="A691" s="70">
        <f t="shared" si="55"/>
        <v>691</v>
      </c>
      <c r="B691" s="399" t="s">
        <v>77</v>
      </c>
      <c r="C691" s="399" t="s">
        <v>574</v>
      </c>
      <c r="D691" s="354" t="s">
        <v>165</v>
      </c>
      <c r="E691" s="404" t="s">
        <v>520</v>
      </c>
      <c r="F691" s="404" t="s">
        <v>591</v>
      </c>
      <c r="G691" s="422">
        <v>9114</v>
      </c>
      <c r="H691" s="399" t="s">
        <v>614</v>
      </c>
      <c r="I691" s="399" t="s">
        <v>119</v>
      </c>
      <c r="J691" s="399" t="s">
        <v>612</v>
      </c>
      <c r="K691" s="414">
        <v>1.7</v>
      </c>
      <c r="L691" s="408">
        <f t="shared" si="57"/>
        <v>322</v>
      </c>
      <c r="M691" s="409">
        <v>230</v>
      </c>
      <c r="N691" s="306"/>
      <c r="O691" s="409">
        <v>92</v>
      </c>
      <c r="P691" s="410" t="e">
        <f>IF(M691="nio",0,IF(M691&gt;0,M691*K691/S691,0))*VLOOKUP(B691,'2-Kosten per locatie'!$A$14:$C$61,3,FALSE)</f>
        <v>#DIV/0!</v>
      </c>
      <c r="Q691" s="410">
        <f>IF(N691&gt;0,N691*K691/T691,0)*VLOOKUP(B691,'2-Kosten per locatie'!$A$14:$C$61,3,FALSE)</f>
        <v>0</v>
      </c>
      <c r="R691" s="410" t="e">
        <f>IF(O691&gt;0,O691*K691/U691,0)*VLOOKUP(B691,'2-Kosten per locatie'!$A$14:$C$61,3,FALSE)</f>
        <v>#DIV/0!</v>
      </c>
      <c r="S691" s="411">
        <f>IF(M691="nio",0,IF(M691&gt;0,VLOOKUP(I691,'3-Productie normen'!A:P,VLOOKUP(M691,'3-Productie normen'!$B$38:$C$48,2,FALSE),FALSE)))</f>
        <v>0</v>
      </c>
      <c r="T691" s="411">
        <f t="shared" si="53"/>
        <v>0</v>
      </c>
      <c r="U691" s="411">
        <f t="shared" si="56"/>
        <v>0</v>
      </c>
      <c r="V691" s="412"/>
      <c r="X691" s="413">
        <f t="shared" si="54"/>
        <v>547.4</v>
      </c>
    </row>
    <row r="692" spans="1:24" ht="14.1" customHeight="1">
      <c r="A692" s="70">
        <f t="shared" si="55"/>
        <v>692</v>
      </c>
      <c r="B692" s="399" t="s">
        <v>77</v>
      </c>
      <c r="C692" s="399" t="s">
        <v>574</v>
      </c>
      <c r="D692" s="354" t="s">
        <v>165</v>
      </c>
      <c r="E692" s="404" t="s">
        <v>520</v>
      </c>
      <c r="F692" s="404" t="s">
        <v>591</v>
      </c>
      <c r="G692" s="422">
        <v>9115</v>
      </c>
      <c r="H692" s="399" t="s">
        <v>615</v>
      </c>
      <c r="I692" s="399" t="s">
        <v>111</v>
      </c>
      <c r="J692" s="399" t="s">
        <v>612</v>
      </c>
      <c r="K692" s="414">
        <v>31.1</v>
      </c>
      <c r="L692" s="408">
        <f t="shared" si="57"/>
        <v>322</v>
      </c>
      <c r="M692" s="409">
        <v>230</v>
      </c>
      <c r="N692" s="306"/>
      <c r="O692" s="409">
        <v>92</v>
      </c>
      <c r="P692" s="410" t="e">
        <f>IF(M692="nio",0,IF(M692&gt;0,M692*K692/S692,0))*VLOOKUP(B692,'2-Kosten per locatie'!$A$14:$C$61,3,FALSE)</f>
        <v>#DIV/0!</v>
      </c>
      <c r="Q692" s="410">
        <f>IF(N692&gt;0,N692*K692/T692,0)*VLOOKUP(B692,'2-Kosten per locatie'!$A$14:$C$61,3,FALSE)</f>
        <v>0</v>
      </c>
      <c r="R692" s="410" t="e">
        <f>IF(O692&gt;0,O692*K692/U692,0)*VLOOKUP(B692,'2-Kosten per locatie'!$A$14:$C$61,3,FALSE)</f>
        <v>#DIV/0!</v>
      </c>
      <c r="S692" s="411">
        <f>IF(M692="nio",0,IF(M692&gt;0,VLOOKUP(I692,'3-Productie normen'!A:P,VLOOKUP(M692,'3-Productie normen'!$B$38:$C$48,2,FALSE),FALSE)))</f>
        <v>0</v>
      </c>
      <c r="T692" s="411">
        <f t="shared" si="53"/>
        <v>0</v>
      </c>
      <c r="U692" s="411">
        <f t="shared" si="56"/>
        <v>0</v>
      </c>
      <c r="V692" s="412"/>
      <c r="X692" s="413">
        <f t="shared" si="54"/>
        <v>10014.200000000001</v>
      </c>
    </row>
    <row r="693" spans="1:24" ht="14.1" customHeight="1">
      <c r="A693" s="70">
        <f t="shared" si="55"/>
        <v>693</v>
      </c>
      <c r="B693" s="399" t="s">
        <v>77</v>
      </c>
      <c r="C693" s="399" t="s">
        <v>574</v>
      </c>
      <c r="D693" s="354" t="s">
        <v>165</v>
      </c>
      <c r="E693" s="404" t="s">
        <v>520</v>
      </c>
      <c r="F693" s="404" t="s">
        <v>591</v>
      </c>
      <c r="G693" s="422">
        <v>9116</v>
      </c>
      <c r="H693" s="399" t="s">
        <v>616</v>
      </c>
      <c r="I693" s="399" t="s">
        <v>106</v>
      </c>
      <c r="J693" s="399" t="s">
        <v>612</v>
      </c>
      <c r="K693" s="414">
        <v>1.5</v>
      </c>
      <c r="L693" s="408">
        <f t="shared" si="57"/>
        <v>322</v>
      </c>
      <c r="M693" s="409">
        <v>230</v>
      </c>
      <c r="N693" s="306"/>
      <c r="O693" s="409">
        <v>92</v>
      </c>
      <c r="P693" s="410" t="e">
        <f>IF(M693="nio",0,IF(M693&gt;0,M693*K693/S693,0))*VLOOKUP(B693,'2-Kosten per locatie'!$A$14:$C$61,3,FALSE)</f>
        <v>#DIV/0!</v>
      </c>
      <c r="Q693" s="410">
        <f>IF(N693&gt;0,N693*K693/T693,0)*VLOOKUP(B693,'2-Kosten per locatie'!$A$14:$C$61,3,FALSE)</f>
        <v>0</v>
      </c>
      <c r="R693" s="410" t="e">
        <f>IF(O693&gt;0,O693*K693/U693,0)*VLOOKUP(B693,'2-Kosten per locatie'!$A$14:$C$61,3,FALSE)</f>
        <v>#DIV/0!</v>
      </c>
      <c r="S693" s="411">
        <f>IF(M693="nio",0,IF(M693&gt;0,VLOOKUP(I693,'3-Productie normen'!A:P,VLOOKUP(M693,'3-Productie normen'!$B$38:$C$48,2,FALSE),FALSE)))</f>
        <v>0</v>
      </c>
      <c r="T693" s="411">
        <f t="shared" si="53"/>
        <v>0</v>
      </c>
      <c r="U693" s="411">
        <f t="shared" si="56"/>
        <v>0</v>
      </c>
      <c r="V693" s="412"/>
      <c r="X693" s="413">
        <f t="shared" si="54"/>
        <v>483</v>
      </c>
    </row>
    <row r="694" spans="1:24" ht="14.1" customHeight="1">
      <c r="A694" s="70">
        <f t="shared" si="55"/>
        <v>694</v>
      </c>
      <c r="B694" s="399" t="s">
        <v>77</v>
      </c>
      <c r="C694" s="399" t="s">
        <v>574</v>
      </c>
      <c r="D694" s="354" t="s">
        <v>165</v>
      </c>
      <c r="E694" s="404" t="s">
        <v>520</v>
      </c>
      <c r="F694" s="404" t="s">
        <v>591</v>
      </c>
      <c r="G694" s="422">
        <v>9117</v>
      </c>
      <c r="H694" s="399" t="s">
        <v>617</v>
      </c>
      <c r="I694" s="399" t="s">
        <v>119</v>
      </c>
      <c r="J694" s="399" t="s">
        <v>612</v>
      </c>
      <c r="K694" s="414">
        <v>1.7</v>
      </c>
      <c r="L694" s="408">
        <f t="shared" si="57"/>
        <v>322</v>
      </c>
      <c r="M694" s="409">
        <v>230</v>
      </c>
      <c r="N694" s="306"/>
      <c r="O694" s="409">
        <v>92</v>
      </c>
      <c r="P694" s="410" t="e">
        <f>IF(M694="nio",0,IF(M694&gt;0,M694*K694/S694,0))*VLOOKUP(B694,'2-Kosten per locatie'!$A$14:$C$61,3,FALSE)</f>
        <v>#DIV/0!</v>
      </c>
      <c r="Q694" s="410">
        <f>IF(N694&gt;0,N694*K694/T694,0)*VLOOKUP(B694,'2-Kosten per locatie'!$A$14:$C$61,3,FALSE)</f>
        <v>0</v>
      </c>
      <c r="R694" s="410" t="e">
        <f>IF(O694&gt;0,O694*K694/U694,0)*VLOOKUP(B694,'2-Kosten per locatie'!$A$14:$C$61,3,FALSE)</f>
        <v>#DIV/0!</v>
      </c>
      <c r="S694" s="411">
        <f>IF(M694="nio",0,IF(M694&gt;0,VLOOKUP(I694,'3-Productie normen'!A:P,VLOOKUP(M694,'3-Productie normen'!$B$38:$C$48,2,FALSE),FALSE)))</f>
        <v>0</v>
      </c>
      <c r="T694" s="411">
        <f t="shared" si="53"/>
        <v>0</v>
      </c>
      <c r="U694" s="411">
        <f t="shared" si="56"/>
        <v>0</v>
      </c>
      <c r="V694" s="412"/>
      <c r="X694" s="413">
        <f t="shared" si="54"/>
        <v>547.4</v>
      </c>
    </row>
    <row r="695" spans="1:24" ht="14.1" customHeight="1">
      <c r="A695" s="70">
        <f t="shared" si="55"/>
        <v>695</v>
      </c>
      <c r="B695" s="399" t="s">
        <v>77</v>
      </c>
      <c r="C695" s="399" t="s">
        <v>574</v>
      </c>
      <c r="D695" s="354" t="s">
        <v>165</v>
      </c>
      <c r="E695" s="404" t="s">
        <v>520</v>
      </c>
      <c r="F695" s="404" t="s">
        <v>591</v>
      </c>
      <c r="G695" s="422">
        <v>9118</v>
      </c>
      <c r="H695" s="399" t="s">
        <v>618</v>
      </c>
      <c r="I695" s="399" t="s">
        <v>111</v>
      </c>
      <c r="J695" s="399" t="s">
        <v>612</v>
      </c>
      <c r="K695" s="414">
        <v>32.799999999999997</v>
      </c>
      <c r="L695" s="408">
        <f t="shared" si="57"/>
        <v>322</v>
      </c>
      <c r="M695" s="409">
        <v>230</v>
      </c>
      <c r="N695" s="306"/>
      <c r="O695" s="409">
        <v>92</v>
      </c>
      <c r="P695" s="410" t="e">
        <f>IF(M695="nio",0,IF(M695&gt;0,M695*K695/S695,0))*VLOOKUP(B695,'2-Kosten per locatie'!$A$14:$C$61,3,FALSE)</f>
        <v>#DIV/0!</v>
      </c>
      <c r="Q695" s="410">
        <f>IF(N695&gt;0,N695*K695/T695,0)*VLOOKUP(B695,'2-Kosten per locatie'!$A$14:$C$61,3,FALSE)</f>
        <v>0</v>
      </c>
      <c r="R695" s="410" t="e">
        <f>IF(O695&gt;0,O695*K695/U695,0)*VLOOKUP(B695,'2-Kosten per locatie'!$A$14:$C$61,3,FALSE)</f>
        <v>#DIV/0!</v>
      </c>
      <c r="S695" s="411">
        <f>IF(M695="nio",0,IF(M695&gt;0,VLOOKUP(I695,'3-Productie normen'!A:P,VLOOKUP(M695,'3-Productie normen'!$B$38:$C$48,2,FALSE),FALSE)))</f>
        <v>0</v>
      </c>
      <c r="T695" s="411">
        <f t="shared" si="53"/>
        <v>0</v>
      </c>
      <c r="U695" s="411">
        <f t="shared" si="56"/>
        <v>0</v>
      </c>
      <c r="V695" s="412"/>
      <c r="X695" s="413">
        <f t="shared" si="54"/>
        <v>10561.599999999999</v>
      </c>
    </row>
    <row r="696" spans="1:24" ht="14.1" customHeight="1">
      <c r="A696" s="70">
        <f t="shared" si="55"/>
        <v>696</v>
      </c>
      <c r="B696" s="399" t="s">
        <v>77</v>
      </c>
      <c r="C696" s="399" t="s">
        <v>574</v>
      </c>
      <c r="D696" s="354" t="s">
        <v>165</v>
      </c>
      <c r="E696" s="404" t="s">
        <v>520</v>
      </c>
      <c r="F696" s="404" t="s">
        <v>591</v>
      </c>
      <c r="G696" s="422">
        <v>9119</v>
      </c>
      <c r="H696" s="399" t="s">
        <v>619</v>
      </c>
      <c r="I696" s="399" t="s">
        <v>106</v>
      </c>
      <c r="J696" s="399" t="s">
        <v>612</v>
      </c>
      <c r="K696" s="414">
        <v>1.5</v>
      </c>
      <c r="L696" s="408">
        <f t="shared" si="57"/>
        <v>322</v>
      </c>
      <c r="M696" s="409">
        <v>230</v>
      </c>
      <c r="N696" s="306"/>
      <c r="O696" s="409">
        <v>92</v>
      </c>
      <c r="P696" s="410" t="e">
        <f>IF(M696="nio",0,IF(M696&gt;0,M696*K696/S696,0))*VLOOKUP(B696,'2-Kosten per locatie'!$A$14:$C$61,3,FALSE)</f>
        <v>#DIV/0!</v>
      </c>
      <c r="Q696" s="410">
        <f>IF(N696&gt;0,N696*K696/T696,0)*VLOOKUP(B696,'2-Kosten per locatie'!$A$14:$C$61,3,FALSE)</f>
        <v>0</v>
      </c>
      <c r="R696" s="410" t="e">
        <f>IF(O696&gt;0,O696*K696/U696,0)*VLOOKUP(B696,'2-Kosten per locatie'!$A$14:$C$61,3,FALSE)</f>
        <v>#DIV/0!</v>
      </c>
      <c r="S696" s="411">
        <f>IF(M696="nio",0,IF(M696&gt;0,VLOOKUP(I696,'3-Productie normen'!A:P,VLOOKUP(M696,'3-Productie normen'!$B$38:$C$48,2,FALSE),FALSE)))</f>
        <v>0</v>
      </c>
      <c r="T696" s="411">
        <f t="shared" si="53"/>
        <v>0</v>
      </c>
      <c r="U696" s="411">
        <f t="shared" si="56"/>
        <v>0</v>
      </c>
      <c r="V696" s="412"/>
      <c r="X696" s="413">
        <f t="shared" si="54"/>
        <v>483</v>
      </c>
    </row>
    <row r="697" spans="1:24" ht="14.1" customHeight="1">
      <c r="A697" s="70">
        <f t="shared" si="55"/>
        <v>697</v>
      </c>
      <c r="B697" s="399" t="s">
        <v>77</v>
      </c>
      <c r="C697" s="399" t="s">
        <v>574</v>
      </c>
      <c r="D697" s="354" t="s">
        <v>165</v>
      </c>
      <c r="E697" s="404" t="s">
        <v>520</v>
      </c>
      <c r="F697" s="404" t="s">
        <v>591</v>
      </c>
      <c r="G697" s="422">
        <v>9120</v>
      </c>
      <c r="H697" s="399" t="s">
        <v>620</v>
      </c>
      <c r="I697" s="399" t="s">
        <v>119</v>
      </c>
      <c r="J697" s="399" t="s">
        <v>612</v>
      </c>
      <c r="K697" s="414">
        <v>1.7</v>
      </c>
      <c r="L697" s="408">
        <f t="shared" si="57"/>
        <v>322</v>
      </c>
      <c r="M697" s="409">
        <v>230</v>
      </c>
      <c r="N697" s="306"/>
      <c r="O697" s="409">
        <v>92</v>
      </c>
      <c r="P697" s="410" t="e">
        <f>IF(M697="nio",0,IF(M697&gt;0,M697*K697/S697,0))*VLOOKUP(B697,'2-Kosten per locatie'!$A$14:$C$61,3,FALSE)</f>
        <v>#DIV/0!</v>
      </c>
      <c r="Q697" s="410">
        <f>IF(N697&gt;0,N697*K697/T697,0)*VLOOKUP(B697,'2-Kosten per locatie'!$A$14:$C$61,3,FALSE)</f>
        <v>0</v>
      </c>
      <c r="R697" s="410" t="e">
        <f>IF(O697&gt;0,O697*K697/U697,0)*VLOOKUP(B697,'2-Kosten per locatie'!$A$14:$C$61,3,FALSE)</f>
        <v>#DIV/0!</v>
      </c>
      <c r="S697" s="411">
        <f>IF(M697="nio",0,IF(M697&gt;0,VLOOKUP(I697,'3-Productie normen'!A:P,VLOOKUP(M697,'3-Productie normen'!$B$38:$C$48,2,FALSE),FALSE)))</f>
        <v>0</v>
      </c>
      <c r="T697" s="411">
        <f t="shared" si="53"/>
        <v>0</v>
      </c>
      <c r="U697" s="411">
        <f t="shared" si="56"/>
        <v>0</v>
      </c>
      <c r="V697" s="412"/>
      <c r="X697" s="413">
        <f t="shared" si="54"/>
        <v>547.4</v>
      </c>
    </row>
    <row r="698" spans="1:24" ht="14.1" customHeight="1">
      <c r="A698" s="70">
        <f t="shared" si="55"/>
        <v>698</v>
      </c>
      <c r="B698" s="399" t="s">
        <v>77</v>
      </c>
      <c r="C698" s="399" t="s">
        <v>574</v>
      </c>
      <c r="D698" s="354" t="s">
        <v>165</v>
      </c>
      <c r="E698" s="404" t="s">
        <v>520</v>
      </c>
      <c r="F698" s="404" t="s">
        <v>591</v>
      </c>
      <c r="G698" s="422">
        <v>9121</v>
      </c>
      <c r="H698" s="399" t="s">
        <v>621</v>
      </c>
      <c r="I698" s="399" t="s">
        <v>111</v>
      </c>
      <c r="J698" s="399" t="s">
        <v>612</v>
      </c>
      <c r="K698" s="414">
        <v>32.799999999999997</v>
      </c>
      <c r="L698" s="408">
        <f t="shared" si="57"/>
        <v>322</v>
      </c>
      <c r="M698" s="409">
        <v>230</v>
      </c>
      <c r="N698" s="306"/>
      <c r="O698" s="409">
        <v>92</v>
      </c>
      <c r="P698" s="410" t="e">
        <f>IF(M698="nio",0,IF(M698&gt;0,M698*K698/S698,0))*VLOOKUP(B698,'2-Kosten per locatie'!$A$14:$C$61,3,FALSE)</f>
        <v>#DIV/0!</v>
      </c>
      <c r="Q698" s="410">
        <f>IF(N698&gt;0,N698*K698/T698,0)*VLOOKUP(B698,'2-Kosten per locatie'!$A$14:$C$61,3,FALSE)</f>
        <v>0</v>
      </c>
      <c r="R698" s="410" t="e">
        <f>IF(O698&gt;0,O698*K698/U698,0)*VLOOKUP(B698,'2-Kosten per locatie'!$A$14:$C$61,3,FALSE)</f>
        <v>#DIV/0!</v>
      </c>
      <c r="S698" s="411">
        <f>IF(M698="nio",0,IF(M698&gt;0,VLOOKUP(I698,'3-Productie normen'!A:P,VLOOKUP(M698,'3-Productie normen'!$B$38:$C$48,2,FALSE),FALSE)))</f>
        <v>0</v>
      </c>
      <c r="T698" s="411">
        <f t="shared" si="53"/>
        <v>0</v>
      </c>
      <c r="U698" s="411">
        <f t="shared" si="56"/>
        <v>0</v>
      </c>
      <c r="V698" s="412"/>
      <c r="X698" s="413">
        <f t="shared" si="54"/>
        <v>10561.599999999999</v>
      </c>
    </row>
    <row r="699" spans="1:24" ht="14.1" customHeight="1">
      <c r="A699" s="70">
        <f t="shared" si="55"/>
        <v>699</v>
      </c>
      <c r="B699" s="399" t="s">
        <v>77</v>
      </c>
      <c r="C699" s="399" t="s">
        <v>574</v>
      </c>
      <c r="D699" s="354" t="s">
        <v>165</v>
      </c>
      <c r="E699" s="404" t="s">
        <v>520</v>
      </c>
      <c r="F699" s="404" t="s">
        <v>591</v>
      </c>
      <c r="G699" s="422">
        <v>9122</v>
      </c>
      <c r="H699" s="399" t="s">
        <v>622</v>
      </c>
      <c r="I699" s="399" t="s">
        <v>106</v>
      </c>
      <c r="J699" s="399" t="s">
        <v>612</v>
      </c>
      <c r="K699" s="414">
        <v>1.5</v>
      </c>
      <c r="L699" s="408">
        <f t="shared" si="57"/>
        <v>322</v>
      </c>
      <c r="M699" s="409">
        <v>230</v>
      </c>
      <c r="N699" s="306"/>
      <c r="O699" s="409">
        <v>92</v>
      </c>
      <c r="P699" s="410" t="e">
        <f>IF(M699="nio",0,IF(M699&gt;0,M699*K699/S699,0))*VLOOKUP(B699,'2-Kosten per locatie'!$A$14:$C$61,3,FALSE)</f>
        <v>#DIV/0!</v>
      </c>
      <c r="Q699" s="410">
        <f>IF(N699&gt;0,N699*K699/T699,0)*VLOOKUP(B699,'2-Kosten per locatie'!$A$14:$C$61,3,FALSE)</f>
        <v>0</v>
      </c>
      <c r="R699" s="410" t="e">
        <f>IF(O699&gt;0,O699*K699/U699,0)*VLOOKUP(B699,'2-Kosten per locatie'!$A$14:$C$61,3,FALSE)</f>
        <v>#DIV/0!</v>
      </c>
      <c r="S699" s="411">
        <f>IF(M699="nio",0,IF(M699&gt;0,VLOOKUP(I699,'3-Productie normen'!A:P,VLOOKUP(M699,'3-Productie normen'!$B$38:$C$48,2,FALSE),FALSE)))</f>
        <v>0</v>
      </c>
      <c r="T699" s="411">
        <f t="shared" si="53"/>
        <v>0</v>
      </c>
      <c r="U699" s="411">
        <f t="shared" si="56"/>
        <v>0</v>
      </c>
      <c r="V699" s="412"/>
      <c r="X699" s="413">
        <f t="shared" si="54"/>
        <v>483</v>
      </c>
    </row>
    <row r="700" spans="1:24" ht="14.1" customHeight="1">
      <c r="A700" s="70">
        <f t="shared" si="55"/>
        <v>700</v>
      </c>
      <c r="B700" s="399" t="s">
        <v>77</v>
      </c>
      <c r="C700" s="399" t="s">
        <v>574</v>
      </c>
      <c r="D700" s="354" t="s">
        <v>165</v>
      </c>
      <c r="E700" s="404" t="s">
        <v>520</v>
      </c>
      <c r="F700" s="404" t="s">
        <v>591</v>
      </c>
      <c r="G700" s="422">
        <v>9123</v>
      </c>
      <c r="H700" s="399" t="s">
        <v>623</v>
      </c>
      <c r="I700" s="399" t="s">
        <v>119</v>
      </c>
      <c r="J700" s="399" t="s">
        <v>612</v>
      </c>
      <c r="K700" s="414">
        <v>1.7</v>
      </c>
      <c r="L700" s="408">
        <f t="shared" si="57"/>
        <v>322</v>
      </c>
      <c r="M700" s="409">
        <v>230</v>
      </c>
      <c r="N700" s="306"/>
      <c r="O700" s="409">
        <v>92</v>
      </c>
      <c r="P700" s="410" t="e">
        <f>IF(M700="nio",0,IF(M700&gt;0,M700*K700/S700,0))*VLOOKUP(B700,'2-Kosten per locatie'!$A$14:$C$61,3,FALSE)</f>
        <v>#DIV/0!</v>
      </c>
      <c r="Q700" s="410">
        <f>IF(N700&gt;0,N700*K700/T700,0)*VLOOKUP(B700,'2-Kosten per locatie'!$A$14:$C$61,3,FALSE)</f>
        <v>0</v>
      </c>
      <c r="R700" s="410" t="e">
        <f>IF(O700&gt;0,O700*K700/U700,0)*VLOOKUP(B700,'2-Kosten per locatie'!$A$14:$C$61,3,FALSE)</f>
        <v>#DIV/0!</v>
      </c>
      <c r="S700" s="411">
        <f>IF(M700="nio",0,IF(M700&gt;0,VLOOKUP(I700,'3-Productie normen'!A:P,VLOOKUP(M700,'3-Productie normen'!$B$38:$C$48,2,FALSE),FALSE)))</f>
        <v>0</v>
      </c>
      <c r="T700" s="411">
        <f t="shared" si="53"/>
        <v>0</v>
      </c>
      <c r="U700" s="411">
        <f t="shared" si="56"/>
        <v>0</v>
      </c>
      <c r="V700" s="412"/>
      <c r="X700" s="413">
        <f t="shared" si="54"/>
        <v>547.4</v>
      </c>
    </row>
    <row r="701" spans="1:24" ht="14.1" customHeight="1">
      <c r="A701" s="70">
        <f t="shared" si="55"/>
        <v>701</v>
      </c>
      <c r="B701" s="399" t="s">
        <v>77</v>
      </c>
      <c r="C701" s="399" t="s">
        <v>574</v>
      </c>
      <c r="D701" s="354" t="s">
        <v>165</v>
      </c>
      <c r="E701" s="404" t="s">
        <v>520</v>
      </c>
      <c r="F701" s="404" t="s">
        <v>591</v>
      </c>
      <c r="G701" s="422">
        <v>9124</v>
      </c>
      <c r="H701" s="399" t="s">
        <v>624</v>
      </c>
      <c r="I701" s="399" t="s">
        <v>111</v>
      </c>
      <c r="J701" s="399" t="s">
        <v>612</v>
      </c>
      <c r="K701" s="414">
        <v>32.9</v>
      </c>
      <c r="L701" s="408">
        <f t="shared" si="57"/>
        <v>322</v>
      </c>
      <c r="M701" s="409">
        <v>230</v>
      </c>
      <c r="N701" s="306"/>
      <c r="O701" s="409">
        <v>92</v>
      </c>
      <c r="P701" s="410" t="e">
        <f>IF(M701="nio",0,IF(M701&gt;0,M701*K701/S701,0))*VLOOKUP(B701,'2-Kosten per locatie'!$A$14:$C$61,3,FALSE)</f>
        <v>#DIV/0!</v>
      </c>
      <c r="Q701" s="410">
        <f>IF(N701&gt;0,N701*K701/T701,0)*VLOOKUP(B701,'2-Kosten per locatie'!$A$14:$C$61,3,FALSE)</f>
        <v>0</v>
      </c>
      <c r="R701" s="410" t="e">
        <f>IF(O701&gt;0,O701*K701/U701,0)*VLOOKUP(B701,'2-Kosten per locatie'!$A$14:$C$61,3,FALSE)</f>
        <v>#DIV/0!</v>
      </c>
      <c r="S701" s="411">
        <f>IF(M701="nio",0,IF(M701&gt;0,VLOOKUP(I701,'3-Productie normen'!A:P,VLOOKUP(M701,'3-Productie normen'!$B$38:$C$48,2,FALSE),FALSE)))</f>
        <v>0</v>
      </c>
      <c r="T701" s="411">
        <f t="shared" si="53"/>
        <v>0</v>
      </c>
      <c r="U701" s="411">
        <f t="shared" si="56"/>
        <v>0</v>
      </c>
      <c r="V701" s="412"/>
      <c r="X701" s="413">
        <f t="shared" si="54"/>
        <v>10593.8</v>
      </c>
    </row>
    <row r="702" spans="1:24" ht="14.1" customHeight="1">
      <c r="A702" s="70">
        <f t="shared" si="55"/>
        <v>702</v>
      </c>
      <c r="B702" s="399" t="s">
        <v>77</v>
      </c>
      <c r="C702" s="399" t="s">
        <v>574</v>
      </c>
      <c r="D702" s="354" t="s">
        <v>165</v>
      </c>
      <c r="E702" s="404" t="s">
        <v>520</v>
      </c>
      <c r="F702" s="404" t="s">
        <v>591</v>
      </c>
      <c r="G702" s="422">
        <v>9125</v>
      </c>
      <c r="H702" s="399" t="s">
        <v>625</v>
      </c>
      <c r="I702" s="399" t="s">
        <v>106</v>
      </c>
      <c r="J702" s="399" t="s">
        <v>612</v>
      </c>
      <c r="K702" s="414">
        <v>1.5</v>
      </c>
      <c r="L702" s="408">
        <f t="shared" si="57"/>
        <v>322</v>
      </c>
      <c r="M702" s="409">
        <v>230</v>
      </c>
      <c r="N702" s="306"/>
      <c r="O702" s="409">
        <v>92</v>
      </c>
      <c r="P702" s="410" t="e">
        <f>IF(M702="nio",0,IF(M702&gt;0,M702*K702/S702,0))*VLOOKUP(B702,'2-Kosten per locatie'!$A$14:$C$61,3,FALSE)</f>
        <v>#DIV/0!</v>
      </c>
      <c r="Q702" s="410">
        <f>IF(N702&gt;0,N702*K702/T702,0)*VLOOKUP(B702,'2-Kosten per locatie'!$A$14:$C$61,3,FALSE)</f>
        <v>0</v>
      </c>
      <c r="R702" s="410" t="e">
        <f>IF(O702&gt;0,O702*K702/U702,0)*VLOOKUP(B702,'2-Kosten per locatie'!$A$14:$C$61,3,FALSE)</f>
        <v>#DIV/0!</v>
      </c>
      <c r="S702" s="411">
        <f>IF(M702="nio",0,IF(M702&gt;0,VLOOKUP(I702,'3-Productie normen'!A:P,VLOOKUP(M702,'3-Productie normen'!$B$38:$C$48,2,FALSE),FALSE)))</f>
        <v>0</v>
      </c>
      <c r="T702" s="411">
        <f t="shared" si="53"/>
        <v>0</v>
      </c>
      <c r="U702" s="411">
        <f t="shared" si="56"/>
        <v>0</v>
      </c>
      <c r="V702" s="412"/>
      <c r="X702" s="413">
        <f t="shared" si="54"/>
        <v>483</v>
      </c>
    </row>
    <row r="703" spans="1:24" ht="14.1" customHeight="1">
      <c r="A703" s="70">
        <f t="shared" si="55"/>
        <v>703</v>
      </c>
      <c r="B703" s="399" t="s">
        <v>77</v>
      </c>
      <c r="C703" s="399" t="s">
        <v>574</v>
      </c>
      <c r="D703" s="354" t="s">
        <v>165</v>
      </c>
      <c r="E703" s="404" t="s">
        <v>520</v>
      </c>
      <c r="F703" s="404" t="s">
        <v>591</v>
      </c>
      <c r="G703" s="422">
        <v>9126</v>
      </c>
      <c r="H703" s="399" t="s">
        <v>626</v>
      </c>
      <c r="I703" s="399" t="s">
        <v>119</v>
      </c>
      <c r="J703" s="399" t="s">
        <v>612</v>
      </c>
      <c r="K703" s="414">
        <v>1.6</v>
      </c>
      <c r="L703" s="408">
        <f t="shared" si="57"/>
        <v>322</v>
      </c>
      <c r="M703" s="409">
        <v>230</v>
      </c>
      <c r="N703" s="306"/>
      <c r="O703" s="409">
        <v>92</v>
      </c>
      <c r="P703" s="410" t="e">
        <f>IF(M703="nio",0,IF(M703&gt;0,M703*K703/S703,0))*VLOOKUP(B703,'2-Kosten per locatie'!$A$14:$C$61,3,FALSE)</f>
        <v>#DIV/0!</v>
      </c>
      <c r="Q703" s="410">
        <f>IF(N703&gt;0,N703*K703/T703,0)*VLOOKUP(B703,'2-Kosten per locatie'!$A$14:$C$61,3,FALSE)</f>
        <v>0</v>
      </c>
      <c r="R703" s="410" t="e">
        <f>IF(O703&gt;0,O703*K703/U703,0)*VLOOKUP(B703,'2-Kosten per locatie'!$A$14:$C$61,3,FALSE)</f>
        <v>#DIV/0!</v>
      </c>
      <c r="S703" s="411">
        <f>IF(M703="nio",0,IF(M703&gt;0,VLOOKUP(I703,'3-Productie normen'!A:P,VLOOKUP(M703,'3-Productie normen'!$B$38:$C$48,2,FALSE),FALSE)))</f>
        <v>0</v>
      </c>
      <c r="T703" s="411">
        <f t="shared" si="53"/>
        <v>0</v>
      </c>
      <c r="U703" s="411">
        <f t="shared" si="56"/>
        <v>0</v>
      </c>
      <c r="V703" s="412"/>
      <c r="X703" s="413">
        <f t="shared" si="54"/>
        <v>515.20000000000005</v>
      </c>
    </row>
    <row r="704" spans="1:24" ht="14.1" customHeight="1">
      <c r="A704" s="70">
        <f t="shared" si="55"/>
        <v>704</v>
      </c>
      <c r="B704" s="399" t="s">
        <v>77</v>
      </c>
      <c r="C704" s="399" t="s">
        <v>574</v>
      </c>
      <c r="D704" s="354" t="s">
        <v>165</v>
      </c>
      <c r="E704" s="404" t="s">
        <v>520</v>
      </c>
      <c r="F704" s="404" t="s">
        <v>591</v>
      </c>
      <c r="G704" s="422">
        <v>9127</v>
      </c>
      <c r="H704" s="399" t="s">
        <v>627</v>
      </c>
      <c r="I704" s="399" t="s">
        <v>111</v>
      </c>
      <c r="J704" s="399" t="s">
        <v>612</v>
      </c>
      <c r="K704" s="414">
        <v>32.799999999999997</v>
      </c>
      <c r="L704" s="408">
        <f t="shared" si="57"/>
        <v>322</v>
      </c>
      <c r="M704" s="409">
        <v>230</v>
      </c>
      <c r="N704" s="306"/>
      <c r="O704" s="409">
        <v>92</v>
      </c>
      <c r="P704" s="410" t="e">
        <f>IF(M704="nio",0,IF(M704&gt;0,M704*K704/S704,0))*VLOOKUP(B704,'2-Kosten per locatie'!$A$14:$C$61,3,FALSE)</f>
        <v>#DIV/0!</v>
      </c>
      <c r="Q704" s="410">
        <f>IF(N704&gt;0,N704*K704/T704,0)*VLOOKUP(B704,'2-Kosten per locatie'!$A$14:$C$61,3,FALSE)</f>
        <v>0</v>
      </c>
      <c r="R704" s="410" t="e">
        <f>IF(O704&gt;0,O704*K704/U704,0)*VLOOKUP(B704,'2-Kosten per locatie'!$A$14:$C$61,3,FALSE)</f>
        <v>#DIV/0!</v>
      </c>
      <c r="S704" s="411">
        <f>IF(M704="nio",0,IF(M704&gt;0,VLOOKUP(I704,'3-Productie normen'!A:P,VLOOKUP(M704,'3-Productie normen'!$B$38:$C$48,2,FALSE),FALSE)))</f>
        <v>0</v>
      </c>
      <c r="T704" s="411">
        <f t="shared" si="53"/>
        <v>0</v>
      </c>
      <c r="U704" s="411">
        <f t="shared" si="56"/>
        <v>0</v>
      </c>
      <c r="V704" s="412"/>
      <c r="X704" s="413">
        <f t="shared" si="54"/>
        <v>10561.599999999999</v>
      </c>
    </row>
    <row r="705" spans="1:24" ht="14.1" customHeight="1">
      <c r="A705" s="70">
        <f t="shared" si="55"/>
        <v>705</v>
      </c>
      <c r="B705" s="399" t="s">
        <v>77</v>
      </c>
      <c r="C705" s="399" t="s">
        <v>574</v>
      </c>
      <c r="D705" s="354" t="s">
        <v>165</v>
      </c>
      <c r="E705" s="404" t="s">
        <v>520</v>
      </c>
      <c r="F705" s="404" t="s">
        <v>591</v>
      </c>
      <c r="G705" s="422">
        <v>9128</v>
      </c>
      <c r="H705" s="399" t="s">
        <v>628</v>
      </c>
      <c r="I705" s="399" t="s">
        <v>106</v>
      </c>
      <c r="J705" s="399" t="s">
        <v>612</v>
      </c>
      <c r="K705" s="414">
        <v>1.5</v>
      </c>
      <c r="L705" s="408">
        <f t="shared" si="57"/>
        <v>322</v>
      </c>
      <c r="M705" s="409">
        <v>230</v>
      </c>
      <c r="N705" s="306"/>
      <c r="O705" s="409">
        <v>92</v>
      </c>
      <c r="P705" s="410" t="e">
        <f>IF(M705="nio",0,IF(M705&gt;0,M705*K705/S705,0))*VLOOKUP(B705,'2-Kosten per locatie'!$A$14:$C$61,3,FALSE)</f>
        <v>#DIV/0!</v>
      </c>
      <c r="Q705" s="410">
        <f>IF(N705&gt;0,N705*K705/T705,0)*VLOOKUP(B705,'2-Kosten per locatie'!$A$14:$C$61,3,FALSE)</f>
        <v>0</v>
      </c>
      <c r="R705" s="410" t="e">
        <f>IF(O705&gt;0,O705*K705/U705,0)*VLOOKUP(B705,'2-Kosten per locatie'!$A$14:$C$61,3,FALSE)</f>
        <v>#DIV/0!</v>
      </c>
      <c r="S705" s="411">
        <f>IF(M705="nio",0,IF(M705&gt;0,VLOOKUP(I705,'3-Productie normen'!A:P,VLOOKUP(M705,'3-Productie normen'!$B$38:$C$48,2,FALSE),FALSE)))</f>
        <v>0</v>
      </c>
      <c r="T705" s="411">
        <f t="shared" si="53"/>
        <v>0</v>
      </c>
      <c r="U705" s="411">
        <f t="shared" si="56"/>
        <v>0</v>
      </c>
      <c r="V705" s="412"/>
      <c r="X705" s="413">
        <f t="shared" si="54"/>
        <v>483</v>
      </c>
    </row>
    <row r="706" spans="1:24" ht="14.1" customHeight="1">
      <c r="A706" s="70">
        <f t="shared" si="55"/>
        <v>706</v>
      </c>
      <c r="B706" s="399" t="s">
        <v>77</v>
      </c>
      <c r="C706" s="399" t="s">
        <v>574</v>
      </c>
      <c r="D706" s="354" t="s">
        <v>165</v>
      </c>
      <c r="E706" s="404" t="s">
        <v>520</v>
      </c>
      <c r="F706" s="404" t="s">
        <v>591</v>
      </c>
      <c r="G706" s="422">
        <v>9129</v>
      </c>
      <c r="H706" s="399" t="s">
        <v>629</v>
      </c>
      <c r="I706" s="399" t="s">
        <v>119</v>
      </c>
      <c r="J706" s="399" t="s">
        <v>612</v>
      </c>
      <c r="K706" s="414">
        <v>1.7</v>
      </c>
      <c r="L706" s="408">
        <f t="shared" si="57"/>
        <v>322</v>
      </c>
      <c r="M706" s="409">
        <v>230</v>
      </c>
      <c r="N706" s="306"/>
      <c r="O706" s="409">
        <v>92</v>
      </c>
      <c r="P706" s="410" t="e">
        <f>IF(M706="nio",0,IF(M706&gt;0,M706*K706/S706,0))*VLOOKUP(B706,'2-Kosten per locatie'!$A$14:$C$61,3,FALSE)</f>
        <v>#DIV/0!</v>
      </c>
      <c r="Q706" s="410">
        <f>IF(N706&gt;0,N706*K706/T706,0)*VLOOKUP(B706,'2-Kosten per locatie'!$A$14:$C$61,3,FALSE)</f>
        <v>0</v>
      </c>
      <c r="R706" s="410" t="e">
        <f>IF(O706&gt;0,O706*K706/U706,0)*VLOOKUP(B706,'2-Kosten per locatie'!$A$14:$C$61,3,FALSE)</f>
        <v>#DIV/0!</v>
      </c>
      <c r="S706" s="411">
        <f>IF(M706="nio",0,IF(M706&gt;0,VLOOKUP(I706,'3-Productie normen'!A:P,VLOOKUP(M706,'3-Productie normen'!$B$38:$C$48,2,FALSE),FALSE)))</f>
        <v>0</v>
      </c>
      <c r="T706" s="411">
        <f t="shared" si="53"/>
        <v>0</v>
      </c>
      <c r="U706" s="411">
        <f t="shared" si="56"/>
        <v>0</v>
      </c>
      <c r="V706" s="412"/>
      <c r="X706" s="413">
        <f t="shared" si="54"/>
        <v>547.4</v>
      </c>
    </row>
    <row r="707" spans="1:24" ht="14.1" customHeight="1">
      <c r="A707" s="70">
        <f t="shared" si="55"/>
        <v>707</v>
      </c>
      <c r="B707" s="399" t="s">
        <v>77</v>
      </c>
      <c r="C707" s="399" t="s">
        <v>574</v>
      </c>
      <c r="D707" s="354" t="s">
        <v>165</v>
      </c>
      <c r="E707" s="404" t="s">
        <v>520</v>
      </c>
      <c r="F707" s="404" t="s">
        <v>591</v>
      </c>
      <c r="G707" s="422">
        <v>9131</v>
      </c>
      <c r="H707" s="399" t="s">
        <v>630</v>
      </c>
      <c r="I707" s="399" t="s">
        <v>124</v>
      </c>
      <c r="J707" s="399" t="s">
        <v>579</v>
      </c>
      <c r="K707" s="414">
        <v>7.2</v>
      </c>
      <c r="L707" s="408">
        <f t="shared" si="57"/>
        <v>0</v>
      </c>
      <c r="M707" s="409" t="s">
        <v>242</v>
      </c>
      <c r="N707" s="306"/>
      <c r="O707" s="409"/>
      <c r="P707" s="410">
        <f>IF(M707="nio",0,IF(M707&gt;0,M707*K707/S707,0))*VLOOKUP(B707,'2-Kosten per locatie'!$A$14:$C$61,3,FALSE)</f>
        <v>0</v>
      </c>
      <c r="Q707" s="410">
        <f>IF(N707&gt;0,N707*K707/T707,0)*VLOOKUP(B707,'2-Kosten per locatie'!$A$14:$C$61,3,FALSE)</f>
        <v>0</v>
      </c>
      <c r="R707" s="410">
        <f>IF(O707&gt;0,O707*K707/U707,0)*VLOOKUP(B707,'2-Kosten per locatie'!$A$14:$C$61,3,FALSE)</f>
        <v>0</v>
      </c>
      <c r="S707" s="411">
        <f>IF(M707="nio",0,IF(M707&gt;0,VLOOKUP(I707,'3-Productie normen'!A:P,VLOOKUP(M707,'3-Productie normen'!$B$38:$C$48,2,FALSE),FALSE)))</f>
        <v>0</v>
      </c>
      <c r="T707" s="411">
        <f t="shared" si="53"/>
        <v>0</v>
      </c>
      <c r="U707" s="411">
        <f t="shared" si="56"/>
        <v>0</v>
      </c>
      <c r="V707" s="412"/>
      <c r="X707" s="413">
        <f t="shared" si="54"/>
        <v>0</v>
      </c>
    </row>
    <row r="708" spans="1:24" ht="14.1" customHeight="1">
      <c r="A708" s="70">
        <f t="shared" si="55"/>
        <v>708</v>
      </c>
      <c r="B708" s="399" t="s">
        <v>77</v>
      </c>
      <c r="C708" s="399" t="s">
        <v>574</v>
      </c>
      <c r="D708" s="354" t="s">
        <v>165</v>
      </c>
      <c r="E708" s="404" t="s">
        <v>520</v>
      </c>
      <c r="F708" s="404" t="s">
        <v>591</v>
      </c>
      <c r="G708" s="422">
        <v>9132</v>
      </c>
      <c r="H708" s="399" t="s">
        <v>631</v>
      </c>
      <c r="I708" s="399" t="s">
        <v>124</v>
      </c>
      <c r="J708" s="399" t="s">
        <v>579</v>
      </c>
      <c r="K708" s="414">
        <v>5.3</v>
      </c>
      <c r="L708" s="408">
        <f t="shared" si="57"/>
        <v>0</v>
      </c>
      <c r="M708" s="409" t="s">
        <v>242</v>
      </c>
      <c r="N708" s="306"/>
      <c r="O708" s="409"/>
      <c r="P708" s="410">
        <f>IF(M708="nio",0,IF(M708&gt;0,M708*K708/S708,0))*VLOOKUP(B708,'2-Kosten per locatie'!$A$14:$C$61,3,FALSE)</f>
        <v>0</v>
      </c>
      <c r="Q708" s="410">
        <f>IF(N708&gt;0,N708*K708/T708,0)*VLOOKUP(B708,'2-Kosten per locatie'!$A$14:$C$61,3,FALSE)</f>
        <v>0</v>
      </c>
      <c r="R708" s="410">
        <f>IF(O708&gt;0,O708*K708/U708,0)*VLOOKUP(B708,'2-Kosten per locatie'!$A$14:$C$61,3,FALSE)</f>
        <v>0</v>
      </c>
      <c r="S708" s="411">
        <f>IF(M708="nio",0,IF(M708&gt;0,VLOOKUP(I708,'3-Productie normen'!A:P,VLOOKUP(M708,'3-Productie normen'!$B$38:$C$48,2,FALSE),FALSE)))</f>
        <v>0</v>
      </c>
      <c r="T708" s="411">
        <f t="shared" si="53"/>
        <v>0</v>
      </c>
      <c r="U708" s="411">
        <f t="shared" si="56"/>
        <v>0</v>
      </c>
      <c r="V708" s="412"/>
      <c r="X708" s="413">
        <f t="shared" si="54"/>
        <v>0</v>
      </c>
    </row>
    <row r="709" spans="1:24" ht="14.1" customHeight="1">
      <c r="A709" s="70">
        <f t="shared" si="55"/>
        <v>709</v>
      </c>
      <c r="B709" s="399" t="s">
        <v>77</v>
      </c>
      <c r="C709" s="399" t="s">
        <v>574</v>
      </c>
      <c r="D709" s="354" t="s">
        <v>165</v>
      </c>
      <c r="E709" s="404" t="s">
        <v>520</v>
      </c>
      <c r="F709" s="404" t="s">
        <v>591</v>
      </c>
      <c r="G709" s="422">
        <v>9133</v>
      </c>
      <c r="H709" s="399" t="s">
        <v>632</v>
      </c>
      <c r="I709" s="399" t="s">
        <v>114</v>
      </c>
      <c r="J709" s="399" t="s">
        <v>579</v>
      </c>
      <c r="K709" s="414">
        <v>561</v>
      </c>
      <c r="L709" s="408">
        <f t="shared" si="57"/>
        <v>322</v>
      </c>
      <c r="M709" s="409">
        <v>230</v>
      </c>
      <c r="N709" s="306"/>
      <c r="O709" s="409">
        <v>92</v>
      </c>
      <c r="P709" s="410" t="e">
        <f>IF(M709="nio",0,IF(M709&gt;0,M709*K709/S709,0))*VLOOKUP(B709,'2-Kosten per locatie'!$A$14:$C$61,3,FALSE)</f>
        <v>#DIV/0!</v>
      </c>
      <c r="Q709" s="410">
        <f>IF(N709&gt;0,N709*K709/T709,0)*VLOOKUP(B709,'2-Kosten per locatie'!$A$14:$C$61,3,FALSE)</f>
        <v>0</v>
      </c>
      <c r="R709" s="410" t="e">
        <f>IF(O709&gt;0,O709*K709/U709,0)*VLOOKUP(B709,'2-Kosten per locatie'!$A$14:$C$61,3,FALSE)</f>
        <v>#DIV/0!</v>
      </c>
      <c r="S709" s="411">
        <f>IF(M709="nio",0,IF(M709&gt;0,VLOOKUP(I709,'3-Productie normen'!A:P,VLOOKUP(M709,'3-Productie normen'!$B$38:$C$48,2,FALSE),FALSE)))</f>
        <v>0</v>
      </c>
      <c r="T709" s="411">
        <f t="shared" si="53"/>
        <v>0</v>
      </c>
      <c r="U709" s="411">
        <f t="shared" si="56"/>
        <v>0</v>
      </c>
      <c r="V709" s="412"/>
      <c r="X709" s="413">
        <f t="shared" si="54"/>
        <v>180642</v>
      </c>
    </row>
    <row r="710" spans="1:24" ht="14.1" customHeight="1">
      <c r="A710" s="70">
        <f t="shared" si="55"/>
        <v>710</v>
      </c>
      <c r="B710" s="399" t="s">
        <v>77</v>
      </c>
      <c r="C710" s="399" t="s">
        <v>574</v>
      </c>
      <c r="D710" s="354" t="s">
        <v>165</v>
      </c>
      <c r="E710" s="404" t="s">
        <v>520</v>
      </c>
      <c r="F710" s="404" t="s">
        <v>591</v>
      </c>
      <c r="G710" s="422">
        <v>9134</v>
      </c>
      <c r="H710" s="399" t="s">
        <v>633</v>
      </c>
      <c r="I710" s="399" t="s">
        <v>118</v>
      </c>
      <c r="J710" s="399" t="s">
        <v>604</v>
      </c>
      <c r="K710" s="414">
        <v>9.1</v>
      </c>
      <c r="L710" s="408">
        <f t="shared" si="57"/>
        <v>46</v>
      </c>
      <c r="M710" s="409">
        <v>46</v>
      </c>
      <c r="N710" s="306"/>
      <c r="O710" s="409"/>
      <c r="P710" s="410" t="e">
        <f>IF(M710="nio",0,IF(M710&gt;0,M710*K710/S710,0))*VLOOKUP(B710,'2-Kosten per locatie'!$A$14:$C$61,3,FALSE)</f>
        <v>#DIV/0!</v>
      </c>
      <c r="Q710" s="410">
        <f>IF(N710&gt;0,N710*K710/T710,0)*VLOOKUP(B710,'2-Kosten per locatie'!$A$14:$C$61,3,FALSE)</f>
        <v>0</v>
      </c>
      <c r="R710" s="410">
        <f>IF(O710&gt;0,O710*K710/U710,0)*VLOOKUP(B710,'2-Kosten per locatie'!$A$14:$C$61,3,FALSE)</f>
        <v>0</v>
      </c>
      <c r="S710" s="411">
        <f>IF(M710="nio",0,IF(M710&gt;0,VLOOKUP(I710,'3-Productie normen'!A:P,VLOOKUP(M710,'3-Productie normen'!$B$38:$C$48,2,FALSE),FALSE)))</f>
        <v>0</v>
      </c>
      <c r="T710" s="411">
        <f t="shared" si="53"/>
        <v>0</v>
      </c>
      <c r="U710" s="411">
        <f t="shared" si="56"/>
        <v>0</v>
      </c>
      <c r="V710" s="412"/>
      <c r="X710" s="413">
        <f t="shared" si="54"/>
        <v>418.59999999999997</v>
      </c>
    </row>
    <row r="711" spans="1:24" ht="14.1" customHeight="1">
      <c r="A711" s="70">
        <f t="shared" si="55"/>
        <v>711</v>
      </c>
      <c r="B711" s="399" t="s">
        <v>77</v>
      </c>
      <c r="C711" s="399" t="s">
        <v>574</v>
      </c>
      <c r="D711" s="354" t="s">
        <v>165</v>
      </c>
      <c r="E711" s="404" t="s">
        <v>520</v>
      </c>
      <c r="F711" s="404" t="s">
        <v>591</v>
      </c>
      <c r="G711" s="422">
        <v>9135</v>
      </c>
      <c r="H711" s="399" t="s">
        <v>634</v>
      </c>
      <c r="I711" s="399" t="s">
        <v>114</v>
      </c>
      <c r="J711" s="399" t="s">
        <v>579</v>
      </c>
      <c r="K711" s="414">
        <v>479.9</v>
      </c>
      <c r="L711" s="408">
        <f t="shared" si="57"/>
        <v>322</v>
      </c>
      <c r="M711" s="409">
        <v>230</v>
      </c>
      <c r="N711" s="306"/>
      <c r="O711" s="409">
        <v>92</v>
      </c>
      <c r="P711" s="410" t="e">
        <f>IF(M711="nio",0,IF(M711&gt;0,M711*K711/S711,0))*VLOOKUP(B711,'2-Kosten per locatie'!$A$14:$C$61,3,FALSE)</f>
        <v>#DIV/0!</v>
      </c>
      <c r="Q711" s="410">
        <f>IF(N711&gt;0,N711*K711/T711,0)*VLOOKUP(B711,'2-Kosten per locatie'!$A$14:$C$61,3,FALSE)</f>
        <v>0</v>
      </c>
      <c r="R711" s="410" t="e">
        <f>IF(O711&gt;0,O711*K711/U711,0)*VLOOKUP(B711,'2-Kosten per locatie'!$A$14:$C$61,3,FALSE)</f>
        <v>#DIV/0!</v>
      </c>
      <c r="S711" s="411">
        <f>IF(M711="nio",0,IF(M711&gt;0,VLOOKUP(I711,'3-Productie normen'!A:P,VLOOKUP(M711,'3-Productie normen'!$B$38:$C$48,2,FALSE),FALSE)))</f>
        <v>0</v>
      </c>
      <c r="T711" s="411">
        <f t="shared" si="53"/>
        <v>0</v>
      </c>
      <c r="U711" s="411">
        <f t="shared" si="56"/>
        <v>0</v>
      </c>
      <c r="V711" s="412"/>
      <c r="X711" s="413">
        <f t="shared" si="54"/>
        <v>154527.79999999999</v>
      </c>
    </row>
    <row r="712" spans="1:24" ht="14.1" customHeight="1">
      <c r="A712" s="70">
        <f t="shared" si="55"/>
        <v>712</v>
      </c>
      <c r="B712" s="399" t="s">
        <v>77</v>
      </c>
      <c r="C712" s="399" t="s">
        <v>574</v>
      </c>
      <c r="D712" s="354" t="s">
        <v>165</v>
      </c>
      <c r="E712" s="404" t="s">
        <v>520</v>
      </c>
      <c r="F712" s="404" t="s">
        <v>591</v>
      </c>
      <c r="G712" s="422">
        <v>9136</v>
      </c>
      <c r="H712" s="399" t="s">
        <v>635</v>
      </c>
      <c r="I712" s="399" t="s">
        <v>123</v>
      </c>
      <c r="J712" s="399" t="s">
        <v>593</v>
      </c>
      <c r="K712" s="414">
        <v>14.7</v>
      </c>
      <c r="L712" s="408">
        <f t="shared" si="57"/>
        <v>46</v>
      </c>
      <c r="M712" s="409">
        <v>46</v>
      </c>
      <c r="N712" s="306"/>
      <c r="O712" s="409"/>
      <c r="P712" s="410" t="e">
        <f>IF(M712="nio",0,IF(M712&gt;0,M712*K712/S712,0))*VLOOKUP(B712,'2-Kosten per locatie'!$A$14:$C$61,3,FALSE)</f>
        <v>#DIV/0!</v>
      </c>
      <c r="Q712" s="410">
        <f>IF(N712&gt;0,N712*K712/T712,0)*VLOOKUP(B712,'2-Kosten per locatie'!$A$14:$C$61,3,FALSE)</f>
        <v>0</v>
      </c>
      <c r="R712" s="410">
        <f>IF(O712&gt;0,O712*K712/U712,0)*VLOOKUP(B712,'2-Kosten per locatie'!$A$14:$C$61,3,FALSE)</f>
        <v>0</v>
      </c>
      <c r="S712" s="411">
        <f>IF(M712="nio",0,IF(M712&gt;0,VLOOKUP(I712,'3-Productie normen'!A:P,VLOOKUP(M712,'3-Productie normen'!$B$38:$C$48,2,FALSE),FALSE)))</f>
        <v>0</v>
      </c>
      <c r="T712" s="411">
        <f t="shared" si="53"/>
        <v>0</v>
      </c>
      <c r="U712" s="411">
        <f t="shared" si="56"/>
        <v>0</v>
      </c>
      <c r="V712" s="412"/>
      <c r="X712" s="413">
        <f t="shared" si="54"/>
        <v>676.19999999999993</v>
      </c>
    </row>
    <row r="713" spans="1:24" ht="14.1" customHeight="1">
      <c r="A713" s="70">
        <f t="shared" si="55"/>
        <v>713</v>
      </c>
      <c r="B713" s="399" t="s">
        <v>77</v>
      </c>
      <c r="C713" s="399" t="s">
        <v>574</v>
      </c>
      <c r="D713" s="354" t="s">
        <v>165</v>
      </c>
      <c r="E713" s="404" t="s">
        <v>520</v>
      </c>
      <c r="F713" s="404" t="s">
        <v>591</v>
      </c>
      <c r="G713" s="422">
        <v>9137</v>
      </c>
      <c r="H713" s="399" t="s">
        <v>636</v>
      </c>
      <c r="I713" s="399" t="s">
        <v>114</v>
      </c>
      <c r="J713" s="399" t="s">
        <v>593</v>
      </c>
      <c r="K713" s="414">
        <v>984.8</v>
      </c>
      <c r="L713" s="408">
        <f t="shared" si="57"/>
        <v>322</v>
      </c>
      <c r="M713" s="409">
        <v>230</v>
      </c>
      <c r="N713" s="306"/>
      <c r="O713" s="409">
        <v>92</v>
      </c>
      <c r="P713" s="410" t="e">
        <f>IF(M713="nio",0,IF(M713&gt;0,M713*K713/S713,0))*VLOOKUP(B713,'2-Kosten per locatie'!$A$14:$C$61,3,FALSE)</f>
        <v>#DIV/0!</v>
      </c>
      <c r="Q713" s="410">
        <f>IF(N713&gt;0,N713*K713/T713,0)*VLOOKUP(B713,'2-Kosten per locatie'!$A$14:$C$61,3,FALSE)</f>
        <v>0</v>
      </c>
      <c r="R713" s="410" t="e">
        <f>IF(O713&gt;0,O713*K713/U713,0)*VLOOKUP(B713,'2-Kosten per locatie'!$A$14:$C$61,3,FALSE)</f>
        <v>#DIV/0!</v>
      </c>
      <c r="S713" s="411">
        <f>IF(M713="nio",0,IF(M713&gt;0,VLOOKUP(I713,'3-Productie normen'!A:P,VLOOKUP(M713,'3-Productie normen'!$B$38:$C$48,2,FALSE),FALSE)))</f>
        <v>0</v>
      </c>
      <c r="T713" s="411">
        <f t="shared" si="53"/>
        <v>0</v>
      </c>
      <c r="U713" s="411">
        <f t="shared" si="56"/>
        <v>0</v>
      </c>
      <c r="V713" s="412"/>
      <c r="X713" s="413">
        <f t="shared" si="54"/>
        <v>317105.59999999998</v>
      </c>
    </row>
    <row r="714" spans="1:24" ht="14.1" customHeight="1">
      <c r="A714" s="70">
        <f t="shared" si="55"/>
        <v>714</v>
      </c>
      <c r="B714" s="399" t="s">
        <v>77</v>
      </c>
      <c r="C714" s="399" t="s">
        <v>574</v>
      </c>
      <c r="D714" s="354" t="s">
        <v>165</v>
      </c>
      <c r="E714" s="404" t="s">
        <v>520</v>
      </c>
      <c r="F714" s="404" t="s">
        <v>591</v>
      </c>
      <c r="G714" s="422">
        <v>9138</v>
      </c>
      <c r="H714" s="399" t="s">
        <v>637</v>
      </c>
      <c r="I714" s="399" t="s">
        <v>123</v>
      </c>
      <c r="J714" s="399" t="s">
        <v>593</v>
      </c>
      <c r="K714" s="414">
        <v>12.8</v>
      </c>
      <c r="L714" s="408">
        <f t="shared" si="57"/>
        <v>46</v>
      </c>
      <c r="M714" s="409">
        <v>46</v>
      </c>
      <c r="N714" s="306"/>
      <c r="O714" s="409"/>
      <c r="P714" s="410" t="e">
        <f>IF(M714="nio",0,IF(M714&gt;0,M714*K714/S714,0))*VLOOKUP(B714,'2-Kosten per locatie'!$A$14:$C$61,3,FALSE)</f>
        <v>#DIV/0!</v>
      </c>
      <c r="Q714" s="410">
        <f>IF(N714&gt;0,N714*K714/T714,0)*VLOOKUP(B714,'2-Kosten per locatie'!$A$14:$C$61,3,FALSE)</f>
        <v>0</v>
      </c>
      <c r="R714" s="410">
        <f>IF(O714&gt;0,O714*K714/U714,0)*VLOOKUP(B714,'2-Kosten per locatie'!$A$14:$C$61,3,FALSE)</f>
        <v>0</v>
      </c>
      <c r="S714" s="411">
        <f>IF(M714="nio",0,IF(M714&gt;0,VLOOKUP(I714,'3-Productie normen'!A:P,VLOOKUP(M714,'3-Productie normen'!$B$38:$C$48,2,FALSE),FALSE)))</f>
        <v>0</v>
      </c>
      <c r="T714" s="411">
        <f t="shared" ref="T714:T777" si="58">IF(N714&gt;0,S714*$T$8,0)</f>
        <v>0</v>
      </c>
      <c r="U714" s="411">
        <f t="shared" si="56"/>
        <v>0</v>
      </c>
      <c r="V714" s="412"/>
      <c r="X714" s="413">
        <f t="shared" ref="X714:X777" si="59">L714*K714</f>
        <v>588.80000000000007</v>
      </c>
    </row>
    <row r="715" spans="1:24" ht="14.1" customHeight="1">
      <c r="A715" s="70">
        <f t="shared" ref="A715:A778" si="60">A714+1</f>
        <v>715</v>
      </c>
      <c r="B715" s="399" t="s">
        <v>77</v>
      </c>
      <c r="C715" s="399" t="s">
        <v>574</v>
      </c>
      <c r="D715" s="354" t="s">
        <v>165</v>
      </c>
      <c r="E715" s="404" t="s">
        <v>520</v>
      </c>
      <c r="F715" s="404" t="s">
        <v>591</v>
      </c>
      <c r="G715" s="422">
        <v>9139</v>
      </c>
      <c r="H715" s="399" t="s">
        <v>638</v>
      </c>
      <c r="I715" s="399" t="s">
        <v>123</v>
      </c>
      <c r="J715" s="399" t="s">
        <v>593</v>
      </c>
      <c r="K715" s="414">
        <v>11.5</v>
      </c>
      <c r="L715" s="408">
        <f t="shared" si="57"/>
        <v>46</v>
      </c>
      <c r="M715" s="409">
        <v>46</v>
      </c>
      <c r="N715" s="306"/>
      <c r="O715" s="409"/>
      <c r="P715" s="410" t="e">
        <f>IF(M715="nio",0,IF(M715&gt;0,M715*K715/S715,0))*VLOOKUP(B715,'2-Kosten per locatie'!$A$14:$C$61,3,FALSE)</f>
        <v>#DIV/0!</v>
      </c>
      <c r="Q715" s="410">
        <f>IF(N715&gt;0,N715*K715/T715,0)*VLOOKUP(B715,'2-Kosten per locatie'!$A$14:$C$61,3,FALSE)</f>
        <v>0</v>
      </c>
      <c r="R715" s="410">
        <f>IF(O715&gt;0,O715*K715/U715,0)*VLOOKUP(B715,'2-Kosten per locatie'!$A$14:$C$61,3,FALSE)</f>
        <v>0</v>
      </c>
      <c r="S715" s="411">
        <f>IF(M715="nio",0,IF(M715&gt;0,VLOOKUP(I715,'3-Productie normen'!A:P,VLOOKUP(M715,'3-Productie normen'!$B$38:$C$48,2,FALSE),FALSE)))</f>
        <v>0</v>
      </c>
      <c r="T715" s="411">
        <f t="shared" si="58"/>
        <v>0</v>
      </c>
      <c r="U715" s="411">
        <f t="shared" si="56"/>
        <v>0</v>
      </c>
      <c r="V715" s="412"/>
      <c r="X715" s="413">
        <f t="shared" si="59"/>
        <v>529</v>
      </c>
    </row>
    <row r="716" spans="1:24" ht="14.1" customHeight="1">
      <c r="A716" s="70">
        <f t="shared" si="60"/>
        <v>716</v>
      </c>
      <c r="B716" s="399" t="s">
        <v>77</v>
      </c>
      <c r="C716" s="399" t="s">
        <v>574</v>
      </c>
      <c r="D716" s="354" t="s">
        <v>165</v>
      </c>
      <c r="E716" s="404" t="s">
        <v>520</v>
      </c>
      <c r="F716" s="404" t="s">
        <v>591</v>
      </c>
      <c r="G716" s="422">
        <v>9140</v>
      </c>
      <c r="H716" s="399" t="s">
        <v>639</v>
      </c>
      <c r="I716" s="399" t="s">
        <v>106</v>
      </c>
      <c r="J716" s="399" t="s">
        <v>612</v>
      </c>
      <c r="K716" s="414">
        <v>1.5</v>
      </c>
      <c r="L716" s="408">
        <f t="shared" si="57"/>
        <v>322</v>
      </c>
      <c r="M716" s="409">
        <v>230</v>
      </c>
      <c r="N716" s="306"/>
      <c r="O716" s="409">
        <v>92</v>
      </c>
      <c r="P716" s="410" t="e">
        <f>IF(M716="nio",0,IF(M716&gt;0,M716*K716/S716,0))*VLOOKUP(B716,'2-Kosten per locatie'!$A$14:$C$61,3,FALSE)</f>
        <v>#DIV/0!</v>
      </c>
      <c r="Q716" s="410">
        <f>IF(N716&gt;0,N716*K716/T716,0)*VLOOKUP(B716,'2-Kosten per locatie'!$A$14:$C$61,3,FALSE)</f>
        <v>0</v>
      </c>
      <c r="R716" s="410" t="e">
        <f>IF(O716&gt;0,O716*K716/U716,0)*VLOOKUP(B716,'2-Kosten per locatie'!$A$14:$C$61,3,FALSE)</f>
        <v>#DIV/0!</v>
      </c>
      <c r="S716" s="411">
        <f>IF(M716="nio",0,IF(M716&gt;0,VLOOKUP(I716,'3-Productie normen'!A:P,VLOOKUP(M716,'3-Productie normen'!$B$38:$C$48,2,FALSE),FALSE)))</f>
        <v>0</v>
      </c>
      <c r="T716" s="411">
        <f t="shared" si="58"/>
        <v>0</v>
      </c>
      <c r="U716" s="411">
        <f t="shared" si="56"/>
        <v>0</v>
      </c>
      <c r="V716" s="412"/>
      <c r="X716" s="413">
        <f t="shared" si="59"/>
        <v>483</v>
      </c>
    </row>
    <row r="717" spans="1:24" ht="14.1" customHeight="1">
      <c r="A717" s="70">
        <f t="shared" si="60"/>
        <v>717</v>
      </c>
      <c r="B717" s="399" t="s">
        <v>77</v>
      </c>
      <c r="C717" s="399" t="s">
        <v>574</v>
      </c>
      <c r="D717" s="354" t="s">
        <v>165</v>
      </c>
      <c r="E717" s="404" t="s">
        <v>520</v>
      </c>
      <c r="F717" s="404" t="s">
        <v>591</v>
      </c>
      <c r="G717" s="422">
        <v>9141</v>
      </c>
      <c r="H717" s="399" t="s">
        <v>640</v>
      </c>
      <c r="I717" s="399" t="s">
        <v>106</v>
      </c>
      <c r="J717" s="399" t="s">
        <v>612</v>
      </c>
      <c r="K717" s="414">
        <v>2.1</v>
      </c>
      <c r="L717" s="408">
        <f t="shared" si="57"/>
        <v>322</v>
      </c>
      <c r="M717" s="409">
        <v>230</v>
      </c>
      <c r="N717" s="306"/>
      <c r="O717" s="409">
        <v>92</v>
      </c>
      <c r="P717" s="410" t="e">
        <f>IF(M717="nio",0,IF(M717&gt;0,M717*K717/S717,0))*VLOOKUP(B717,'2-Kosten per locatie'!$A$14:$C$61,3,FALSE)</f>
        <v>#DIV/0!</v>
      </c>
      <c r="Q717" s="410">
        <f>IF(N717&gt;0,N717*K717/T717,0)*VLOOKUP(B717,'2-Kosten per locatie'!$A$14:$C$61,3,FALSE)</f>
        <v>0</v>
      </c>
      <c r="R717" s="410" t="e">
        <f>IF(O717&gt;0,O717*K717/U717,0)*VLOOKUP(B717,'2-Kosten per locatie'!$A$14:$C$61,3,FALSE)</f>
        <v>#DIV/0!</v>
      </c>
      <c r="S717" s="411">
        <f>IF(M717="nio",0,IF(M717&gt;0,VLOOKUP(I717,'3-Productie normen'!A:P,VLOOKUP(M717,'3-Productie normen'!$B$38:$C$48,2,FALSE),FALSE)))</f>
        <v>0</v>
      </c>
      <c r="T717" s="411">
        <f t="shared" si="58"/>
        <v>0</v>
      </c>
      <c r="U717" s="411">
        <f t="shared" si="56"/>
        <v>0</v>
      </c>
      <c r="V717" s="412"/>
      <c r="X717" s="413">
        <f t="shared" si="59"/>
        <v>676.2</v>
      </c>
    </row>
    <row r="718" spans="1:24" ht="14.1" customHeight="1">
      <c r="A718" s="70">
        <f t="shared" si="60"/>
        <v>718</v>
      </c>
      <c r="B718" s="399" t="s">
        <v>77</v>
      </c>
      <c r="C718" s="399" t="s">
        <v>574</v>
      </c>
      <c r="D718" s="354" t="s">
        <v>165</v>
      </c>
      <c r="E718" s="404" t="s">
        <v>520</v>
      </c>
      <c r="F718" s="404" t="s">
        <v>591</v>
      </c>
      <c r="G718" s="422">
        <v>9142</v>
      </c>
      <c r="H718" s="399" t="s">
        <v>641</v>
      </c>
      <c r="I718" s="399" t="s">
        <v>106</v>
      </c>
      <c r="J718" s="399" t="s">
        <v>612</v>
      </c>
      <c r="K718" s="414">
        <v>1.5</v>
      </c>
      <c r="L718" s="408">
        <f t="shared" si="57"/>
        <v>322</v>
      </c>
      <c r="M718" s="409">
        <v>230</v>
      </c>
      <c r="N718" s="306"/>
      <c r="O718" s="409">
        <v>92</v>
      </c>
      <c r="P718" s="410" t="e">
        <f>IF(M718="nio",0,IF(M718&gt;0,M718*K718/S718,0))*VLOOKUP(B718,'2-Kosten per locatie'!$A$14:$C$61,3,FALSE)</f>
        <v>#DIV/0!</v>
      </c>
      <c r="Q718" s="410">
        <f>IF(N718&gt;0,N718*K718/T718,0)*VLOOKUP(B718,'2-Kosten per locatie'!$A$14:$C$61,3,FALSE)</f>
        <v>0</v>
      </c>
      <c r="R718" s="410" t="e">
        <f>IF(O718&gt;0,O718*K718/U718,0)*VLOOKUP(B718,'2-Kosten per locatie'!$A$14:$C$61,3,FALSE)</f>
        <v>#DIV/0!</v>
      </c>
      <c r="S718" s="411">
        <f>IF(M718="nio",0,IF(M718&gt;0,VLOOKUP(I718,'3-Productie normen'!A:P,VLOOKUP(M718,'3-Productie normen'!$B$38:$C$48,2,FALSE),FALSE)))</f>
        <v>0</v>
      </c>
      <c r="T718" s="411">
        <f t="shared" si="58"/>
        <v>0</v>
      </c>
      <c r="U718" s="411">
        <f t="shared" ref="U718:U781" si="61">IF(OR(O718&gt;0),S718*$U$8,0)</f>
        <v>0</v>
      </c>
      <c r="V718" s="412"/>
      <c r="X718" s="413">
        <f t="shared" si="59"/>
        <v>483</v>
      </c>
    </row>
    <row r="719" spans="1:24" ht="14.1" customHeight="1">
      <c r="A719" s="70">
        <f t="shared" si="60"/>
        <v>719</v>
      </c>
      <c r="B719" s="399" t="s">
        <v>77</v>
      </c>
      <c r="C719" s="399" t="s">
        <v>574</v>
      </c>
      <c r="D719" s="354" t="s">
        <v>165</v>
      </c>
      <c r="E719" s="404" t="s">
        <v>520</v>
      </c>
      <c r="F719" s="404" t="s">
        <v>591</v>
      </c>
      <c r="G719" s="422">
        <v>9143</v>
      </c>
      <c r="H719" s="399" t="s">
        <v>642</v>
      </c>
      <c r="I719" s="399" t="s">
        <v>106</v>
      </c>
      <c r="J719" s="399" t="s">
        <v>612</v>
      </c>
      <c r="K719" s="414">
        <v>2.2000000000000002</v>
      </c>
      <c r="L719" s="408">
        <f t="shared" si="57"/>
        <v>322</v>
      </c>
      <c r="M719" s="409">
        <v>230</v>
      </c>
      <c r="N719" s="306"/>
      <c r="O719" s="409">
        <v>92</v>
      </c>
      <c r="P719" s="410" t="e">
        <f>IF(M719="nio",0,IF(M719&gt;0,M719*K719/S719,0))*VLOOKUP(B719,'2-Kosten per locatie'!$A$14:$C$61,3,FALSE)</f>
        <v>#DIV/0!</v>
      </c>
      <c r="Q719" s="410">
        <f>IF(N719&gt;0,N719*K719/T719,0)*VLOOKUP(B719,'2-Kosten per locatie'!$A$14:$C$61,3,FALSE)</f>
        <v>0</v>
      </c>
      <c r="R719" s="410" t="e">
        <f>IF(O719&gt;0,O719*K719/U719,0)*VLOOKUP(B719,'2-Kosten per locatie'!$A$14:$C$61,3,FALSE)</f>
        <v>#DIV/0!</v>
      </c>
      <c r="S719" s="411">
        <f>IF(M719="nio",0,IF(M719&gt;0,VLOOKUP(I719,'3-Productie normen'!A:P,VLOOKUP(M719,'3-Productie normen'!$B$38:$C$48,2,FALSE),FALSE)))</f>
        <v>0</v>
      </c>
      <c r="T719" s="411">
        <f t="shared" si="58"/>
        <v>0</v>
      </c>
      <c r="U719" s="411">
        <f t="shared" si="61"/>
        <v>0</v>
      </c>
      <c r="V719" s="412"/>
      <c r="X719" s="413">
        <f t="shared" si="59"/>
        <v>708.40000000000009</v>
      </c>
    </row>
    <row r="720" spans="1:24" ht="14.1" customHeight="1">
      <c r="A720" s="70">
        <f t="shared" si="60"/>
        <v>720</v>
      </c>
      <c r="B720" s="399" t="s">
        <v>77</v>
      </c>
      <c r="C720" s="399" t="s">
        <v>574</v>
      </c>
      <c r="D720" s="354" t="s">
        <v>165</v>
      </c>
      <c r="E720" s="404" t="s">
        <v>520</v>
      </c>
      <c r="F720" s="404" t="s">
        <v>591</v>
      </c>
      <c r="G720" s="422">
        <v>9144</v>
      </c>
      <c r="H720" s="399" t="s">
        <v>643</v>
      </c>
      <c r="I720" s="399" t="s">
        <v>106</v>
      </c>
      <c r="J720" s="399" t="s">
        <v>612</v>
      </c>
      <c r="K720" s="414">
        <v>1.5</v>
      </c>
      <c r="L720" s="408">
        <f t="shared" si="57"/>
        <v>322</v>
      </c>
      <c r="M720" s="409">
        <v>230</v>
      </c>
      <c r="N720" s="306"/>
      <c r="O720" s="409">
        <v>92</v>
      </c>
      <c r="P720" s="410" t="e">
        <f>IF(M720="nio",0,IF(M720&gt;0,M720*K720/S720,0))*VLOOKUP(B720,'2-Kosten per locatie'!$A$14:$C$61,3,FALSE)</f>
        <v>#DIV/0!</v>
      </c>
      <c r="Q720" s="410">
        <f>IF(N720&gt;0,N720*K720/T720,0)*VLOOKUP(B720,'2-Kosten per locatie'!$A$14:$C$61,3,FALSE)</f>
        <v>0</v>
      </c>
      <c r="R720" s="410" t="e">
        <f>IF(O720&gt;0,O720*K720/U720,0)*VLOOKUP(B720,'2-Kosten per locatie'!$A$14:$C$61,3,FALSE)</f>
        <v>#DIV/0!</v>
      </c>
      <c r="S720" s="411">
        <f>IF(M720="nio",0,IF(M720&gt;0,VLOOKUP(I720,'3-Productie normen'!A:P,VLOOKUP(M720,'3-Productie normen'!$B$38:$C$48,2,FALSE),FALSE)))</f>
        <v>0</v>
      </c>
      <c r="T720" s="411">
        <f t="shared" si="58"/>
        <v>0</v>
      </c>
      <c r="U720" s="411">
        <f t="shared" si="61"/>
        <v>0</v>
      </c>
      <c r="V720" s="412"/>
      <c r="X720" s="413">
        <f t="shared" si="59"/>
        <v>483</v>
      </c>
    </row>
    <row r="721" spans="1:24" ht="14.1" customHeight="1">
      <c r="A721" s="70">
        <f t="shared" si="60"/>
        <v>721</v>
      </c>
      <c r="B721" s="399" t="s">
        <v>77</v>
      </c>
      <c r="C721" s="399" t="s">
        <v>574</v>
      </c>
      <c r="D721" s="354" t="s">
        <v>165</v>
      </c>
      <c r="E721" s="404" t="s">
        <v>520</v>
      </c>
      <c r="F721" s="404" t="s">
        <v>591</v>
      </c>
      <c r="G721" s="422">
        <v>9145</v>
      </c>
      <c r="H721" s="399" t="s">
        <v>644</v>
      </c>
      <c r="I721" s="399" t="s">
        <v>106</v>
      </c>
      <c r="J721" s="399" t="s">
        <v>612</v>
      </c>
      <c r="K721" s="414">
        <v>1.9</v>
      </c>
      <c r="L721" s="408">
        <f t="shared" si="57"/>
        <v>322</v>
      </c>
      <c r="M721" s="409">
        <v>230</v>
      </c>
      <c r="N721" s="306"/>
      <c r="O721" s="409">
        <v>92</v>
      </c>
      <c r="P721" s="410" t="e">
        <f>IF(M721="nio",0,IF(M721&gt;0,M721*K721/S721,0))*VLOOKUP(B721,'2-Kosten per locatie'!$A$14:$C$61,3,FALSE)</f>
        <v>#DIV/0!</v>
      </c>
      <c r="Q721" s="410">
        <f>IF(N721&gt;0,N721*K721/T721,0)*VLOOKUP(B721,'2-Kosten per locatie'!$A$14:$C$61,3,FALSE)</f>
        <v>0</v>
      </c>
      <c r="R721" s="410" t="e">
        <f>IF(O721&gt;0,O721*K721/U721,0)*VLOOKUP(B721,'2-Kosten per locatie'!$A$14:$C$61,3,FALSE)</f>
        <v>#DIV/0!</v>
      </c>
      <c r="S721" s="411">
        <f>IF(M721="nio",0,IF(M721&gt;0,VLOOKUP(I721,'3-Productie normen'!A:P,VLOOKUP(M721,'3-Productie normen'!$B$38:$C$48,2,FALSE),FALSE)))</f>
        <v>0</v>
      </c>
      <c r="T721" s="411">
        <f t="shared" si="58"/>
        <v>0</v>
      </c>
      <c r="U721" s="411">
        <f t="shared" si="61"/>
        <v>0</v>
      </c>
      <c r="V721" s="412"/>
      <c r="X721" s="413">
        <f t="shared" si="59"/>
        <v>611.79999999999995</v>
      </c>
    </row>
    <row r="722" spans="1:24" ht="14.1" customHeight="1">
      <c r="A722" s="70">
        <f t="shared" si="60"/>
        <v>722</v>
      </c>
      <c r="B722" s="399" t="s">
        <v>77</v>
      </c>
      <c r="C722" s="399" t="s">
        <v>574</v>
      </c>
      <c r="D722" s="354" t="s">
        <v>165</v>
      </c>
      <c r="E722" s="404" t="s">
        <v>520</v>
      </c>
      <c r="F722" s="404" t="s">
        <v>591</v>
      </c>
      <c r="G722" s="422">
        <v>9146</v>
      </c>
      <c r="H722" s="399" t="s">
        <v>599</v>
      </c>
      <c r="I722" s="399" t="s">
        <v>106</v>
      </c>
      <c r="J722" s="399" t="s">
        <v>612</v>
      </c>
      <c r="K722" s="414">
        <v>5.7</v>
      </c>
      <c r="L722" s="408">
        <f t="shared" si="57"/>
        <v>322</v>
      </c>
      <c r="M722" s="409">
        <v>230</v>
      </c>
      <c r="N722" s="306"/>
      <c r="O722" s="409">
        <v>92</v>
      </c>
      <c r="P722" s="410" t="e">
        <f>IF(M722="nio",0,IF(M722&gt;0,M722*K722/S722,0))*VLOOKUP(B722,'2-Kosten per locatie'!$A$14:$C$61,3,FALSE)</f>
        <v>#DIV/0!</v>
      </c>
      <c r="Q722" s="410">
        <f>IF(N722&gt;0,N722*K722/T722,0)*VLOOKUP(B722,'2-Kosten per locatie'!$A$14:$C$61,3,FALSE)</f>
        <v>0</v>
      </c>
      <c r="R722" s="410" t="e">
        <f>IF(O722&gt;0,O722*K722/U722,0)*VLOOKUP(B722,'2-Kosten per locatie'!$A$14:$C$61,3,FALSE)</f>
        <v>#DIV/0!</v>
      </c>
      <c r="S722" s="411">
        <f>IF(M722="nio",0,IF(M722&gt;0,VLOOKUP(I722,'3-Productie normen'!A:P,VLOOKUP(M722,'3-Productie normen'!$B$38:$C$48,2,FALSE),FALSE)))</f>
        <v>0</v>
      </c>
      <c r="T722" s="411">
        <f t="shared" si="58"/>
        <v>0</v>
      </c>
      <c r="U722" s="411">
        <f t="shared" si="61"/>
        <v>0</v>
      </c>
      <c r="V722" s="412"/>
      <c r="X722" s="413">
        <f t="shared" si="59"/>
        <v>1835.4</v>
      </c>
    </row>
    <row r="723" spans="1:24" ht="14.1" customHeight="1">
      <c r="A723" s="70">
        <f t="shared" si="60"/>
        <v>723</v>
      </c>
      <c r="B723" s="399" t="s">
        <v>77</v>
      </c>
      <c r="C723" s="399" t="s">
        <v>574</v>
      </c>
      <c r="D723" s="354" t="s">
        <v>165</v>
      </c>
      <c r="E723" s="404" t="s">
        <v>520</v>
      </c>
      <c r="F723" s="404" t="s">
        <v>591</v>
      </c>
      <c r="G723" s="422">
        <v>9224</v>
      </c>
      <c r="H723" s="399" t="s">
        <v>645</v>
      </c>
      <c r="I723" s="399" t="s">
        <v>124</v>
      </c>
      <c r="J723" s="399" t="s">
        <v>604</v>
      </c>
      <c r="K723" s="414">
        <v>8.1999999999999993</v>
      </c>
      <c r="L723" s="408">
        <f t="shared" si="57"/>
        <v>0</v>
      </c>
      <c r="M723" s="409" t="s">
        <v>242</v>
      </c>
      <c r="N723" s="306"/>
      <c r="O723" s="409"/>
      <c r="P723" s="410">
        <f>IF(M723="nio",0,IF(M723&gt;0,M723*K723/S723,0))*VLOOKUP(B723,'2-Kosten per locatie'!$A$14:$C$61,3,FALSE)</f>
        <v>0</v>
      </c>
      <c r="Q723" s="410">
        <f>IF(N723&gt;0,N723*K723/T723,0)*VLOOKUP(B723,'2-Kosten per locatie'!$A$14:$C$61,3,FALSE)</f>
        <v>0</v>
      </c>
      <c r="R723" s="410">
        <f>IF(O723&gt;0,O723*K723/U723,0)*VLOOKUP(B723,'2-Kosten per locatie'!$A$14:$C$61,3,FALSE)</f>
        <v>0</v>
      </c>
      <c r="S723" s="411">
        <f>IF(M723="nio",0,IF(M723&gt;0,VLOOKUP(I723,'3-Productie normen'!A:P,VLOOKUP(M723,'3-Productie normen'!$B$38:$C$48,2,FALSE),FALSE)))</f>
        <v>0</v>
      </c>
      <c r="T723" s="411">
        <f t="shared" si="58"/>
        <v>0</v>
      </c>
      <c r="U723" s="411">
        <f t="shared" si="61"/>
        <v>0</v>
      </c>
      <c r="V723" s="412"/>
      <c r="X723" s="413">
        <f t="shared" si="59"/>
        <v>0</v>
      </c>
    </row>
    <row r="724" spans="1:24" ht="14.1" customHeight="1">
      <c r="A724" s="70">
        <f t="shared" si="60"/>
        <v>724</v>
      </c>
      <c r="B724" s="399" t="s">
        <v>77</v>
      </c>
      <c r="C724" s="399" t="s">
        <v>574</v>
      </c>
      <c r="D724" s="354" t="s">
        <v>165</v>
      </c>
      <c r="E724" s="404" t="s">
        <v>520</v>
      </c>
      <c r="F724" s="404" t="s">
        <v>646</v>
      </c>
      <c r="G724" s="422">
        <v>9201</v>
      </c>
      <c r="H724" s="399" t="s">
        <v>647</v>
      </c>
      <c r="I724" s="399" t="s">
        <v>122</v>
      </c>
      <c r="J724" s="399" t="s">
        <v>604</v>
      </c>
      <c r="K724" s="414">
        <v>169.6</v>
      </c>
      <c r="L724" s="408">
        <f t="shared" si="57"/>
        <v>322</v>
      </c>
      <c r="M724" s="409">
        <v>230</v>
      </c>
      <c r="N724" s="306"/>
      <c r="O724" s="409">
        <v>92</v>
      </c>
      <c r="P724" s="410" t="e">
        <f>IF(M724="nio",0,IF(M724&gt;0,M724*K724/S724,0))*VLOOKUP(B724,'2-Kosten per locatie'!$A$14:$C$61,3,FALSE)</f>
        <v>#DIV/0!</v>
      </c>
      <c r="Q724" s="410">
        <f>IF(N724&gt;0,N724*K724/T724,0)*VLOOKUP(B724,'2-Kosten per locatie'!$A$14:$C$61,3,FALSE)</f>
        <v>0</v>
      </c>
      <c r="R724" s="410" t="e">
        <f>IF(O724&gt;0,O724*K724/U724,0)*VLOOKUP(B724,'2-Kosten per locatie'!$A$14:$C$61,3,FALSE)</f>
        <v>#DIV/0!</v>
      </c>
      <c r="S724" s="411">
        <f>IF(M724="nio",0,IF(M724&gt;0,VLOOKUP(I724,'3-Productie normen'!A:P,VLOOKUP(M724,'3-Productie normen'!$B$38:$C$48,2,FALSE),FALSE)))</f>
        <v>0</v>
      </c>
      <c r="T724" s="411">
        <f t="shared" si="58"/>
        <v>0</v>
      </c>
      <c r="U724" s="411">
        <f t="shared" si="61"/>
        <v>0</v>
      </c>
      <c r="V724" s="412"/>
      <c r="X724" s="413">
        <f t="shared" si="59"/>
        <v>54611.199999999997</v>
      </c>
    </row>
    <row r="725" spans="1:24" ht="14.1" customHeight="1">
      <c r="A725" s="70">
        <f t="shared" si="60"/>
        <v>725</v>
      </c>
      <c r="B725" s="399" t="s">
        <v>77</v>
      </c>
      <c r="C725" s="399" t="s">
        <v>574</v>
      </c>
      <c r="D725" s="354" t="s">
        <v>165</v>
      </c>
      <c r="E725" s="404" t="s">
        <v>520</v>
      </c>
      <c r="F725" s="404" t="s">
        <v>646</v>
      </c>
      <c r="G725" s="422" t="s">
        <v>648</v>
      </c>
      <c r="H725" s="399" t="s">
        <v>649</v>
      </c>
      <c r="I725" s="399" t="s">
        <v>124</v>
      </c>
      <c r="J725" s="399" t="s">
        <v>604</v>
      </c>
      <c r="K725" s="414">
        <v>82.5</v>
      </c>
      <c r="L725" s="408">
        <f t="shared" si="57"/>
        <v>0</v>
      </c>
      <c r="M725" s="409" t="s">
        <v>242</v>
      </c>
      <c r="N725" s="306"/>
      <c r="O725" s="409"/>
      <c r="P725" s="410">
        <f>IF(M725="nio",0,IF(M725&gt;0,M725*K725/S725,0))*VLOOKUP(B725,'2-Kosten per locatie'!$A$14:$C$61,3,FALSE)</f>
        <v>0</v>
      </c>
      <c r="Q725" s="410">
        <f>IF(N725&gt;0,N725*K725/T725,0)*VLOOKUP(B725,'2-Kosten per locatie'!$A$14:$C$61,3,FALSE)</f>
        <v>0</v>
      </c>
      <c r="R725" s="410">
        <f>IF(O725&gt;0,O725*K725/U725,0)*VLOOKUP(B725,'2-Kosten per locatie'!$A$14:$C$61,3,FALSE)</f>
        <v>0</v>
      </c>
      <c r="S725" s="411">
        <f>IF(M725="nio",0,IF(M725&gt;0,VLOOKUP(I725,'3-Productie normen'!A:P,VLOOKUP(M725,'3-Productie normen'!$B$38:$C$48,2,FALSE),FALSE)))</f>
        <v>0</v>
      </c>
      <c r="T725" s="411">
        <f t="shared" si="58"/>
        <v>0</v>
      </c>
      <c r="U725" s="411">
        <f t="shared" si="61"/>
        <v>0</v>
      </c>
      <c r="V725" s="412"/>
      <c r="X725" s="413">
        <f t="shared" si="59"/>
        <v>0</v>
      </c>
    </row>
    <row r="726" spans="1:24" ht="14.1" customHeight="1">
      <c r="A726" s="70">
        <f t="shared" si="60"/>
        <v>726</v>
      </c>
      <c r="B726" s="399" t="s">
        <v>77</v>
      </c>
      <c r="C726" s="399" t="s">
        <v>574</v>
      </c>
      <c r="D726" s="354" t="s">
        <v>165</v>
      </c>
      <c r="E726" s="404" t="s">
        <v>520</v>
      </c>
      <c r="F726" s="404" t="s">
        <v>646</v>
      </c>
      <c r="G726" s="422">
        <v>9202</v>
      </c>
      <c r="H726" s="399" t="s">
        <v>650</v>
      </c>
      <c r="I726" s="399" t="s">
        <v>108</v>
      </c>
      <c r="J726" s="399" t="s">
        <v>604</v>
      </c>
      <c r="K726" s="414">
        <v>20.7</v>
      </c>
      <c r="L726" s="408">
        <f t="shared" si="57"/>
        <v>322</v>
      </c>
      <c r="M726" s="409">
        <v>230</v>
      </c>
      <c r="N726" s="306"/>
      <c r="O726" s="409">
        <v>92</v>
      </c>
      <c r="P726" s="410" t="e">
        <f>IF(M726="nio",0,IF(M726&gt;0,M726*K726/S726,0))*VLOOKUP(B726,'2-Kosten per locatie'!$A$14:$C$61,3,FALSE)</f>
        <v>#DIV/0!</v>
      </c>
      <c r="Q726" s="410">
        <f>IF(N726&gt;0,N726*K726/T726,0)*VLOOKUP(B726,'2-Kosten per locatie'!$A$14:$C$61,3,FALSE)</f>
        <v>0</v>
      </c>
      <c r="R726" s="410" t="e">
        <f>IF(O726&gt;0,O726*K726/U726,0)*VLOOKUP(B726,'2-Kosten per locatie'!$A$14:$C$61,3,FALSE)</f>
        <v>#DIV/0!</v>
      </c>
      <c r="S726" s="411">
        <f>IF(M726="nio",0,IF(M726&gt;0,VLOOKUP(I726,'3-Productie normen'!A:P,VLOOKUP(M726,'3-Productie normen'!$B$38:$C$48,2,FALSE),FALSE)))</f>
        <v>0</v>
      </c>
      <c r="T726" s="411">
        <f t="shared" si="58"/>
        <v>0</v>
      </c>
      <c r="U726" s="411">
        <f t="shared" si="61"/>
        <v>0</v>
      </c>
      <c r="V726" s="412"/>
      <c r="X726" s="413">
        <f t="shared" si="59"/>
        <v>6665.4</v>
      </c>
    </row>
    <row r="727" spans="1:24" ht="14.1" customHeight="1">
      <c r="A727" s="70">
        <f t="shared" si="60"/>
        <v>727</v>
      </c>
      <c r="B727" s="399" t="s">
        <v>77</v>
      </c>
      <c r="C727" s="399" t="s">
        <v>574</v>
      </c>
      <c r="D727" s="354" t="s">
        <v>165</v>
      </c>
      <c r="E727" s="404" t="s">
        <v>520</v>
      </c>
      <c r="F727" s="404" t="s">
        <v>646</v>
      </c>
      <c r="G727" s="422">
        <v>9203</v>
      </c>
      <c r="H727" s="399" t="s">
        <v>651</v>
      </c>
      <c r="I727" s="399" t="s">
        <v>108</v>
      </c>
      <c r="J727" s="399" t="s">
        <v>604</v>
      </c>
      <c r="K727" s="414">
        <v>27.7</v>
      </c>
      <c r="L727" s="408">
        <f t="shared" si="57"/>
        <v>322</v>
      </c>
      <c r="M727" s="409">
        <v>230</v>
      </c>
      <c r="N727" s="306"/>
      <c r="O727" s="409">
        <v>92</v>
      </c>
      <c r="P727" s="410" t="e">
        <f>IF(M727="nio",0,IF(M727&gt;0,M727*K727/S727,0))*VLOOKUP(B727,'2-Kosten per locatie'!$A$14:$C$61,3,FALSE)</f>
        <v>#DIV/0!</v>
      </c>
      <c r="Q727" s="410">
        <f>IF(N727&gt;0,N727*K727/T727,0)*VLOOKUP(B727,'2-Kosten per locatie'!$A$14:$C$61,3,FALSE)</f>
        <v>0</v>
      </c>
      <c r="R727" s="410" t="e">
        <f>IF(O727&gt;0,O727*K727/U727,0)*VLOOKUP(B727,'2-Kosten per locatie'!$A$14:$C$61,3,FALSE)</f>
        <v>#DIV/0!</v>
      </c>
      <c r="S727" s="411">
        <f>IF(M727="nio",0,IF(M727&gt;0,VLOOKUP(I727,'3-Productie normen'!A:P,VLOOKUP(M727,'3-Productie normen'!$B$38:$C$48,2,FALSE),FALSE)))</f>
        <v>0</v>
      </c>
      <c r="T727" s="411">
        <f t="shared" si="58"/>
        <v>0</v>
      </c>
      <c r="U727" s="411">
        <f t="shared" si="61"/>
        <v>0</v>
      </c>
      <c r="V727" s="412"/>
      <c r="X727" s="413">
        <f t="shared" si="59"/>
        <v>8919.4</v>
      </c>
    </row>
    <row r="728" spans="1:24" ht="14.1" customHeight="1">
      <c r="A728" s="70">
        <f t="shared" si="60"/>
        <v>728</v>
      </c>
      <c r="B728" s="399" t="s">
        <v>77</v>
      </c>
      <c r="C728" s="399" t="s">
        <v>574</v>
      </c>
      <c r="D728" s="354" t="s">
        <v>165</v>
      </c>
      <c r="E728" s="404" t="s">
        <v>520</v>
      </c>
      <c r="F728" s="404" t="s">
        <v>646</v>
      </c>
      <c r="G728" s="422">
        <v>9208</v>
      </c>
      <c r="H728" s="399" t="s">
        <v>652</v>
      </c>
      <c r="I728" s="399" t="s">
        <v>124</v>
      </c>
      <c r="J728" s="399" t="s">
        <v>612</v>
      </c>
      <c r="K728" s="414">
        <v>7.5</v>
      </c>
      <c r="L728" s="408">
        <f t="shared" si="57"/>
        <v>0</v>
      </c>
      <c r="M728" s="409" t="s">
        <v>242</v>
      </c>
      <c r="N728" s="306"/>
      <c r="O728" s="409"/>
      <c r="P728" s="410">
        <f>IF(M728="nio",0,IF(M728&gt;0,M728*K728/S728,0))*VLOOKUP(B728,'2-Kosten per locatie'!$A$14:$C$61,3,FALSE)</f>
        <v>0</v>
      </c>
      <c r="Q728" s="410">
        <f>IF(N728&gt;0,N728*K728/T728,0)*VLOOKUP(B728,'2-Kosten per locatie'!$A$14:$C$61,3,FALSE)</f>
        <v>0</v>
      </c>
      <c r="R728" s="410">
        <f>IF(O728&gt;0,O728*K728/U728,0)*VLOOKUP(B728,'2-Kosten per locatie'!$A$14:$C$61,3,FALSE)</f>
        <v>0</v>
      </c>
      <c r="S728" s="411">
        <f>IF(M728="nio",0,IF(M728&gt;0,VLOOKUP(I728,'3-Productie normen'!A:P,VLOOKUP(M728,'3-Productie normen'!$B$38:$C$48,2,FALSE),FALSE)))</f>
        <v>0</v>
      </c>
      <c r="T728" s="411">
        <f t="shared" si="58"/>
        <v>0</v>
      </c>
      <c r="U728" s="411">
        <f t="shared" si="61"/>
        <v>0</v>
      </c>
      <c r="V728" s="412"/>
      <c r="X728" s="413">
        <f t="shared" si="59"/>
        <v>0</v>
      </c>
    </row>
    <row r="729" spans="1:24" ht="14.1" customHeight="1">
      <c r="A729" s="70">
        <f t="shared" si="60"/>
        <v>729</v>
      </c>
      <c r="B729" s="399" t="s">
        <v>77</v>
      </c>
      <c r="C729" s="399" t="s">
        <v>574</v>
      </c>
      <c r="D729" s="354" t="s">
        <v>165</v>
      </c>
      <c r="E729" s="404" t="s">
        <v>520</v>
      </c>
      <c r="F729" s="404" t="s">
        <v>646</v>
      </c>
      <c r="G729" s="422">
        <v>9209</v>
      </c>
      <c r="H729" s="399" t="s">
        <v>653</v>
      </c>
      <c r="I729" s="399" t="s">
        <v>112</v>
      </c>
      <c r="J729" s="399" t="s">
        <v>604</v>
      </c>
      <c r="K729" s="414">
        <v>47.9</v>
      </c>
      <c r="L729" s="408">
        <f t="shared" si="57"/>
        <v>322</v>
      </c>
      <c r="M729" s="409">
        <v>230</v>
      </c>
      <c r="N729" s="306"/>
      <c r="O729" s="409">
        <v>92</v>
      </c>
      <c r="P729" s="410" t="e">
        <f>IF(M729="nio",0,IF(M729&gt;0,M729*K729/S729,0))*VLOOKUP(B729,'2-Kosten per locatie'!$A$14:$C$61,3,FALSE)</f>
        <v>#DIV/0!</v>
      </c>
      <c r="Q729" s="410">
        <f>IF(N729&gt;0,N729*K729/T729,0)*VLOOKUP(B729,'2-Kosten per locatie'!$A$14:$C$61,3,FALSE)</f>
        <v>0</v>
      </c>
      <c r="R729" s="410" t="e">
        <f>IF(O729&gt;0,O729*K729/U729,0)*VLOOKUP(B729,'2-Kosten per locatie'!$A$14:$C$61,3,FALSE)</f>
        <v>#DIV/0!</v>
      </c>
      <c r="S729" s="411">
        <f>IF(M729="nio",0,IF(M729&gt;0,VLOOKUP(I729,'3-Productie normen'!A:P,VLOOKUP(M729,'3-Productie normen'!$B$38:$C$48,2,FALSE),FALSE)))</f>
        <v>0</v>
      </c>
      <c r="T729" s="411">
        <f t="shared" si="58"/>
        <v>0</v>
      </c>
      <c r="U729" s="411">
        <f t="shared" si="61"/>
        <v>0</v>
      </c>
      <c r="V729" s="412"/>
      <c r="X729" s="413">
        <f t="shared" si="59"/>
        <v>15423.8</v>
      </c>
    </row>
    <row r="730" spans="1:24" ht="14.1" customHeight="1">
      <c r="A730" s="70">
        <f t="shared" si="60"/>
        <v>730</v>
      </c>
      <c r="B730" s="399" t="s">
        <v>77</v>
      </c>
      <c r="C730" s="399" t="s">
        <v>574</v>
      </c>
      <c r="D730" s="354" t="s">
        <v>165</v>
      </c>
      <c r="E730" s="404" t="s">
        <v>520</v>
      </c>
      <c r="F730" s="404" t="s">
        <v>646</v>
      </c>
      <c r="G730" s="422">
        <v>9210</v>
      </c>
      <c r="H730" s="399" t="s">
        <v>654</v>
      </c>
      <c r="I730" s="399" t="s">
        <v>112</v>
      </c>
      <c r="J730" s="399" t="s">
        <v>604</v>
      </c>
      <c r="K730" s="414">
        <v>22.4</v>
      </c>
      <c r="L730" s="408">
        <f t="shared" si="57"/>
        <v>322</v>
      </c>
      <c r="M730" s="409">
        <v>230</v>
      </c>
      <c r="N730" s="306"/>
      <c r="O730" s="409">
        <v>92</v>
      </c>
      <c r="P730" s="410" t="e">
        <f>IF(M730="nio",0,IF(M730&gt;0,M730*K730/S730,0))*VLOOKUP(B730,'2-Kosten per locatie'!$A$14:$C$61,3,FALSE)</f>
        <v>#DIV/0!</v>
      </c>
      <c r="Q730" s="410">
        <f>IF(N730&gt;0,N730*K730/T730,0)*VLOOKUP(B730,'2-Kosten per locatie'!$A$14:$C$61,3,FALSE)</f>
        <v>0</v>
      </c>
      <c r="R730" s="410" t="e">
        <f>IF(O730&gt;0,O730*K730/U730,0)*VLOOKUP(B730,'2-Kosten per locatie'!$A$14:$C$61,3,FALSE)</f>
        <v>#DIV/0!</v>
      </c>
      <c r="S730" s="411">
        <f>IF(M730="nio",0,IF(M730&gt;0,VLOOKUP(I730,'3-Productie normen'!A:P,VLOOKUP(M730,'3-Productie normen'!$B$38:$C$48,2,FALSE),FALSE)))</f>
        <v>0</v>
      </c>
      <c r="T730" s="411">
        <f t="shared" si="58"/>
        <v>0</v>
      </c>
      <c r="U730" s="411">
        <f t="shared" si="61"/>
        <v>0</v>
      </c>
      <c r="V730" s="412"/>
      <c r="X730" s="413">
        <f t="shared" si="59"/>
        <v>7212.7999999999993</v>
      </c>
    </row>
    <row r="731" spans="1:24" ht="14.1" customHeight="1">
      <c r="A731" s="70">
        <f t="shared" si="60"/>
        <v>731</v>
      </c>
      <c r="B731" s="399" t="s">
        <v>77</v>
      </c>
      <c r="C731" s="399" t="s">
        <v>574</v>
      </c>
      <c r="D731" s="354" t="s">
        <v>165</v>
      </c>
      <c r="E731" s="404" t="s">
        <v>520</v>
      </c>
      <c r="F731" s="404" t="s">
        <v>646</v>
      </c>
      <c r="G731" s="422">
        <v>9211</v>
      </c>
      <c r="H731" s="399" t="s">
        <v>655</v>
      </c>
      <c r="I731" s="399" t="s">
        <v>112</v>
      </c>
      <c r="J731" s="399" t="s">
        <v>604</v>
      </c>
      <c r="K731" s="414">
        <v>21.1</v>
      </c>
      <c r="L731" s="408">
        <f t="shared" si="57"/>
        <v>322</v>
      </c>
      <c r="M731" s="409">
        <v>230</v>
      </c>
      <c r="N731" s="306"/>
      <c r="O731" s="409">
        <v>92</v>
      </c>
      <c r="P731" s="410" t="e">
        <f>IF(M731="nio",0,IF(M731&gt;0,M731*K731/S731,0))*VLOOKUP(B731,'2-Kosten per locatie'!$A$14:$C$61,3,FALSE)</f>
        <v>#DIV/0!</v>
      </c>
      <c r="Q731" s="410">
        <f>IF(N731&gt;0,N731*K731/T731,0)*VLOOKUP(B731,'2-Kosten per locatie'!$A$14:$C$61,3,FALSE)</f>
        <v>0</v>
      </c>
      <c r="R731" s="410" t="e">
        <f>IF(O731&gt;0,O731*K731/U731,0)*VLOOKUP(B731,'2-Kosten per locatie'!$A$14:$C$61,3,FALSE)</f>
        <v>#DIV/0!</v>
      </c>
      <c r="S731" s="411">
        <f>IF(M731="nio",0,IF(M731&gt;0,VLOOKUP(I731,'3-Productie normen'!A:P,VLOOKUP(M731,'3-Productie normen'!$B$38:$C$48,2,FALSE),FALSE)))</f>
        <v>0</v>
      </c>
      <c r="T731" s="411">
        <f t="shared" si="58"/>
        <v>0</v>
      </c>
      <c r="U731" s="411">
        <f t="shared" si="61"/>
        <v>0</v>
      </c>
      <c r="V731" s="412"/>
      <c r="X731" s="413">
        <f t="shared" si="59"/>
        <v>6794.2000000000007</v>
      </c>
    </row>
    <row r="732" spans="1:24" ht="14.1" customHeight="1">
      <c r="A732" s="70">
        <f t="shared" si="60"/>
        <v>732</v>
      </c>
      <c r="B732" s="399" t="s">
        <v>77</v>
      </c>
      <c r="C732" s="399" t="s">
        <v>574</v>
      </c>
      <c r="D732" s="354" t="s">
        <v>165</v>
      </c>
      <c r="E732" s="404" t="s">
        <v>520</v>
      </c>
      <c r="F732" s="404" t="s">
        <v>646</v>
      </c>
      <c r="G732" s="422">
        <v>9212</v>
      </c>
      <c r="H732" s="399" t="s">
        <v>656</v>
      </c>
      <c r="I732" s="399" t="s">
        <v>105</v>
      </c>
      <c r="J732" s="399" t="s">
        <v>604</v>
      </c>
      <c r="K732" s="414">
        <v>18</v>
      </c>
      <c r="L732" s="408">
        <f t="shared" si="57"/>
        <v>322</v>
      </c>
      <c r="M732" s="409">
        <v>230</v>
      </c>
      <c r="N732" s="306"/>
      <c r="O732" s="409">
        <v>92</v>
      </c>
      <c r="P732" s="410" t="e">
        <f>IF(M732="nio",0,IF(M732&gt;0,M732*K732/S732,0))*VLOOKUP(B732,'2-Kosten per locatie'!$A$14:$C$61,3,FALSE)</f>
        <v>#DIV/0!</v>
      </c>
      <c r="Q732" s="410">
        <f>IF(N732&gt;0,N732*K732/T732,0)*VLOOKUP(B732,'2-Kosten per locatie'!$A$14:$C$61,3,FALSE)</f>
        <v>0</v>
      </c>
      <c r="R732" s="410" t="e">
        <f>IF(O732&gt;0,O732*K732/U732,0)*VLOOKUP(B732,'2-Kosten per locatie'!$A$14:$C$61,3,FALSE)</f>
        <v>#DIV/0!</v>
      </c>
      <c r="S732" s="411">
        <f>IF(M732="nio",0,IF(M732&gt;0,VLOOKUP(I732,'3-Productie normen'!A:P,VLOOKUP(M732,'3-Productie normen'!$B$38:$C$48,2,FALSE),FALSE)))</f>
        <v>0</v>
      </c>
      <c r="T732" s="411">
        <f t="shared" si="58"/>
        <v>0</v>
      </c>
      <c r="U732" s="411">
        <f t="shared" si="61"/>
        <v>0</v>
      </c>
      <c r="V732" s="412"/>
      <c r="X732" s="413">
        <f t="shared" si="59"/>
        <v>5796</v>
      </c>
    </row>
    <row r="733" spans="1:24" ht="14.1" customHeight="1">
      <c r="A733" s="70">
        <f t="shared" si="60"/>
        <v>733</v>
      </c>
      <c r="B733" s="399" t="s">
        <v>77</v>
      </c>
      <c r="C733" s="399" t="s">
        <v>574</v>
      </c>
      <c r="D733" s="354" t="s">
        <v>165</v>
      </c>
      <c r="E733" s="404" t="s">
        <v>520</v>
      </c>
      <c r="F733" s="404" t="s">
        <v>646</v>
      </c>
      <c r="G733" s="422">
        <v>9213</v>
      </c>
      <c r="H733" s="399" t="s">
        <v>657</v>
      </c>
      <c r="I733" s="399" t="s">
        <v>108</v>
      </c>
      <c r="J733" s="399" t="s">
        <v>604</v>
      </c>
      <c r="K733" s="414">
        <v>66.599999999999994</v>
      </c>
      <c r="L733" s="408">
        <f t="shared" si="57"/>
        <v>322</v>
      </c>
      <c r="M733" s="409">
        <v>230</v>
      </c>
      <c r="N733" s="306"/>
      <c r="O733" s="409">
        <v>92</v>
      </c>
      <c r="P733" s="410" t="e">
        <f>IF(M733="nio",0,IF(M733&gt;0,M733*K733/S733,0))*VLOOKUP(B733,'2-Kosten per locatie'!$A$14:$C$61,3,FALSE)</f>
        <v>#DIV/0!</v>
      </c>
      <c r="Q733" s="410">
        <f>IF(N733&gt;0,N733*K733/T733,0)*VLOOKUP(B733,'2-Kosten per locatie'!$A$14:$C$61,3,FALSE)</f>
        <v>0</v>
      </c>
      <c r="R733" s="410" t="e">
        <f>IF(O733&gt;0,O733*K733/U733,0)*VLOOKUP(B733,'2-Kosten per locatie'!$A$14:$C$61,3,FALSE)</f>
        <v>#DIV/0!</v>
      </c>
      <c r="S733" s="411">
        <f>IF(M733="nio",0,IF(M733&gt;0,VLOOKUP(I733,'3-Productie normen'!A:P,VLOOKUP(M733,'3-Productie normen'!$B$38:$C$48,2,FALSE),FALSE)))</f>
        <v>0</v>
      </c>
      <c r="T733" s="411">
        <f t="shared" si="58"/>
        <v>0</v>
      </c>
      <c r="U733" s="411">
        <f t="shared" si="61"/>
        <v>0</v>
      </c>
      <c r="V733" s="412"/>
      <c r="X733" s="413">
        <f t="shared" si="59"/>
        <v>21445.199999999997</v>
      </c>
    </row>
    <row r="734" spans="1:24" ht="14.1" customHeight="1">
      <c r="A734" s="70">
        <f t="shared" si="60"/>
        <v>734</v>
      </c>
      <c r="B734" s="399" t="s">
        <v>77</v>
      </c>
      <c r="C734" s="399" t="s">
        <v>574</v>
      </c>
      <c r="D734" s="354" t="s">
        <v>165</v>
      </c>
      <c r="E734" s="404" t="s">
        <v>520</v>
      </c>
      <c r="F734" s="404" t="s">
        <v>646</v>
      </c>
      <c r="G734" s="422">
        <v>9214</v>
      </c>
      <c r="H734" s="399" t="s">
        <v>658</v>
      </c>
      <c r="I734" s="399" t="s">
        <v>108</v>
      </c>
      <c r="J734" s="399" t="s">
        <v>604</v>
      </c>
      <c r="K734" s="414">
        <v>77.400000000000006</v>
      </c>
      <c r="L734" s="408">
        <f t="shared" si="57"/>
        <v>322</v>
      </c>
      <c r="M734" s="409">
        <v>230</v>
      </c>
      <c r="N734" s="306"/>
      <c r="O734" s="409">
        <v>92</v>
      </c>
      <c r="P734" s="410" t="e">
        <f>IF(M734="nio",0,IF(M734&gt;0,M734*K734/S734,0))*VLOOKUP(B734,'2-Kosten per locatie'!$A$14:$C$61,3,FALSE)</f>
        <v>#DIV/0!</v>
      </c>
      <c r="Q734" s="410">
        <f>IF(N734&gt;0,N734*K734/T734,0)*VLOOKUP(B734,'2-Kosten per locatie'!$A$14:$C$61,3,FALSE)</f>
        <v>0</v>
      </c>
      <c r="R734" s="410" t="e">
        <f>IF(O734&gt;0,O734*K734/U734,0)*VLOOKUP(B734,'2-Kosten per locatie'!$A$14:$C$61,3,FALSE)</f>
        <v>#DIV/0!</v>
      </c>
      <c r="S734" s="411">
        <f>IF(M734="nio",0,IF(M734&gt;0,VLOOKUP(I734,'3-Productie normen'!A:P,VLOOKUP(M734,'3-Productie normen'!$B$38:$C$48,2,FALSE),FALSE)))</f>
        <v>0</v>
      </c>
      <c r="T734" s="411">
        <f t="shared" si="58"/>
        <v>0</v>
      </c>
      <c r="U734" s="411">
        <f t="shared" si="61"/>
        <v>0</v>
      </c>
      <c r="V734" s="412"/>
      <c r="X734" s="413">
        <f t="shared" si="59"/>
        <v>24922.800000000003</v>
      </c>
    </row>
    <row r="735" spans="1:24" ht="14.1" customHeight="1">
      <c r="A735" s="70">
        <f t="shared" si="60"/>
        <v>735</v>
      </c>
      <c r="B735" s="399" t="s">
        <v>77</v>
      </c>
      <c r="C735" s="399" t="s">
        <v>574</v>
      </c>
      <c r="D735" s="354" t="s">
        <v>165</v>
      </c>
      <c r="E735" s="404" t="s">
        <v>520</v>
      </c>
      <c r="F735" s="404" t="s">
        <v>646</v>
      </c>
      <c r="G735" s="422">
        <v>9215</v>
      </c>
      <c r="H735" s="399" t="s">
        <v>659</v>
      </c>
      <c r="I735" s="399" t="s">
        <v>108</v>
      </c>
      <c r="J735" s="399" t="s">
        <v>604</v>
      </c>
      <c r="K735" s="414">
        <v>76.2</v>
      </c>
      <c r="L735" s="408">
        <f t="shared" si="57"/>
        <v>322</v>
      </c>
      <c r="M735" s="409">
        <v>230</v>
      </c>
      <c r="N735" s="306"/>
      <c r="O735" s="409">
        <v>92</v>
      </c>
      <c r="P735" s="410" t="e">
        <f>IF(M735="nio",0,IF(M735&gt;0,M735*K735/S735,0))*VLOOKUP(B735,'2-Kosten per locatie'!$A$14:$C$61,3,FALSE)</f>
        <v>#DIV/0!</v>
      </c>
      <c r="Q735" s="410">
        <f>IF(N735&gt;0,N735*K735/T735,0)*VLOOKUP(B735,'2-Kosten per locatie'!$A$14:$C$61,3,FALSE)</f>
        <v>0</v>
      </c>
      <c r="R735" s="410" t="e">
        <f>IF(O735&gt;0,O735*K735/U735,0)*VLOOKUP(B735,'2-Kosten per locatie'!$A$14:$C$61,3,FALSE)</f>
        <v>#DIV/0!</v>
      </c>
      <c r="S735" s="411">
        <f>IF(M735="nio",0,IF(M735&gt;0,VLOOKUP(I735,'3-Productie normen'!A:P,VLOOKUP(M735,'3-Productie normen'!$B$38:$C$48,2,FALSE),FALSE)))</f>
        <v>0</v>
      </c>
      <c r="T735" s="411">
        <f t="shared" si="58"/>
        <v>0</v>
      </c>
      <c r="U735" s="411">
        <f t="shared" si="61"/>
        <v>0</v>
      </c>
      <c r="V735" s="412"/>
      <c r="X735" s="413">
        <f t="shared" si="59"/>
        <v>24536.400000000001</v>
      </c>
    </row>
    <row r="736" spans="1:24" ht="14.1" customHeight="1">
      <c r="A736" s="70">
        <f t="shared" si="60"/>
        <v>736</v>
      </c>
      <c r="B736" s="399" t="s">
        <v>77</v>
      </c>
      <c r="C736" s="399" t="s">
        <v>574</v>
      </c>
      <c r="D736" s="354" t="s">
        <v>165</v>
      </c>
      <c r="E736" s="404" t="s">
        <v>520</v>
      </c>
      <c r="F736" s="404" t="s">
        <v>646</v>
      </c>
      <c r="G736" s="422">
        <v>9216</v>
      </c>
      <c r="H736" s="399" t="s">
        <v>660</v>
      </c>
      <c r="I736" s="399" t="s">
        <v>106</v>
      </c>
      <c r="J736" s="399" t="s">
        <v>612</v>
      </c>
      <c r="K736" s="414">
        <v>4.0999999999999996</v>
      </c>
      <c r="L736" s="408">
        <f t="shared" si="57"/>
        <v>322</v>
      </c>
      <c r="M736" s="409">
        <v>230</v>
      </c>
      <c r="N736" s="306"/>
      <c r="O736" s="409">
        <v>92</v>
      </c>
      <c r="P736" s="410" t="e">
        <f>IF(M736="nio",0,IF(M736&gt;0,M736*K736/S736,0))*VLOOKUP(B736,'2-Kosten per locatie'!$A$14:$C$61,3,FALSE)</f>
        <v>#DIV/0!</v>
      </c>
      <c r="Q736" s="410">
        <f>IF(N736&gt;0,N736*K736/T736,0)*VLOOKUP(B736,'2-Kosten per locatie'!$A$14:$C$61,3,FALSE)</f>
        <v>0</v>
      </c>
      <c r="R736" s="410" t="e">
        <f>IF(O736&gt;0,O736*K736/U736,0)*VLOOKUP(B736,'2-Kosten per locatie'!$A$14:$C$61,3,FALSE)</f>
        <v>#DIV/0!</v>
      </c>
      <c r="S736" s="411">
        <f>IF(M736="nio",0,IF(M736&gt;0,VLOOKUP(I736,'3-Productie normen'!A:P,VLOOKUP(M736,'3-Productie normen'!$B$38:$C$48,2,FALSE),FALSE)))</f>
        <v>0</v>
      </c>
      <c r="T736" s="411">
        <f t="shared" si="58"/>
        <v>0</v>
      </c>
      <c r="U736" s="411">
        <f t="shared" si="61"/>
        <v>0</v>
      </c>
      <c r="V736" s="412"/>
      <c r="X736" s="413">
        <f t="shared" si="59"/>
        <v>1320.1999999999998</v>
      </c>
    </row>
    <row r="737" spans="1:24" ht="14.1" customHeight="1">
      <c r="A737" s="70">
        <f t="shared" si="60"/>
        <v>737</v>
      </c>
      <c r="B737" s="399" t="s">
        <v>77</v>
      </c>
      <c r="C737" s="399" t="s">
        <v>574</v>
      </c>
      <c r="D737" s="354" t="s">
        <v>165</v>
      </c>
      <c r="E737" s="404" t="s">
        <v>520</v>
      </c>
      <c r="F737" s="404" t="s">
        <v>646</v>
      </c>
      <c r="G737" s="422" t="s">
        <v>661</v>
      </c>
      <c r="H737" s="399" t="s">
        <v>662</v>
      </c>
      <c r="I737" s="399" t="s">
        <v>106</v>
      </c>
      <c r="J737" s="399" t="s">
        <v>612</v>
      </c>
      <c r="K737" s="414">
        <v>1.5</v>
      </c>
      <c r="L737" s="408">
        <f t="shared" si="57"/>
        <v>322</v>
      </c>
      <c r="M737" s="409">
        <v>230</v>
      </c>
      <c r="N737" s="306"/>
      <c r="O737" s="409">
        <v>92</v>
      </c>
      <c r="P737" s="410" t="e">
        <f>IF(M737="nio",0,IF(M737&gt;0,M737*K737/S737,0))*VLOOKUP(B737,'2-Kosten per locatie'!$A$14:$C$61,3,FALSE)</f>
        <v>#DIV/0!</v>
      </c>
      <c r="Q737" s="410">
        <f>IF(N737&gt;0,N737*K737/T737,0)*VLOOKUP(B737,'2-Kosten per locatie'!$A$14:$C$61,3,FALSE)</f>
        <v>0</v>
      </c>
      <c r="R737" s="410" t="e">
        <f>IF(O737&gt;0,O737*K737/U737,0)*VLOOKUP(B737,'2-Kosten per locatie'!$A$14:$C$61,3,FALSE)</f>
        <v>#DIV/0!</v>
      </c>
      <c r="S737" s="411">
        <f>IF(M737="nio",0,IF(M737&gt;0,VLOOKUP(I737,'3-Productie normen'!A:P,VLOOKUP(M737,'3-Productie normen'!$B$38:$C$48,2,FALSE),FALSE)))</f>
        <v>0</v>
      </c>
      <c r="T737" s="411">
        <f t="shared" si="58"/>
        <v>0</v>
      </c>
      <c r="U737" s="411">
        <f t="shared" si="61"/>
        <v>0</v>
      </c>
      <c r="V737" s="412"/>
      <c r="X737" s="413">
        <f t="shared" si="59"/>
        <v>483</v>
      </c>
    </row>
    <row r="738" spans="1:24" ht="14.1" customHeight="1">
      <c r="A738" s="70">
        <f t="shared" si="60"/>
        <v>738</v>
      </c>
      <c r="B738" s="399" t="s">
        <v>77</v>
      </c>
      <c r="C738" s="399" t="s">
        <v>574</v>
      </c>
      <c r="D738" s="354" t="s">
        <v>165</v>
      </c>
      <c r="E738" s="404" t="s">
        <v>520</v>
      </c>
      <c r="F738" s="404" t="s">
        <v>646</v>
      </c>
      <c r="G738" s="422" t="s">
        <v>663</v>
      </c>
      <c r="H738" s="399" t="s">
        <v>664</v>
      </c>
      <c r="I738" s="399" t="s">
        <v>106</v>
      </c>
      <c r="J738" s="399" t="s">
        <v>612</v>
      </c>
      <c r="K738" s="414">
        <v>1.5</v>
      </c>
      <c r="L738" s="408">
        <f t="shared" si="57"/>
        <v>322</v>
      </c>
      <c r="M738" s="409">
        <v>230</v>
      </c>
      <c r="N738" s="306"/>
      <c r="O738" s="409">
        <v>92</v>
      </c>
      <c r="P738" s="410" t="e">
        <f>IF(M738="nio",0,IF(M738&gt;0,M738*K738/S738,0))*VLOOKUP(B738,'2-Kosten per locatie'!$A$14:$C$61,3,FALSE)</f>
        <v>#DIV/0!</v>
      </c>
      <c r="Q738" s="410">
        <f>IF(N738&gt;0,N738*K738/T738,0)*VLOOKUP(B738,'2-Kosten per locatie'!$A$14:$C$61,3,FALSE)</f>
        <v>0</v>
      </c>
      <c r="R738" s="410" t="e">
        <f>IF(O738&gt;0,O738*K738/U738,0)*VLOOKUP(B738,'2-Kosten per locatie'!$A$14:$C$61,3,FALSE)</f>
        <v>#DIV/0!</v>
      </c>
      <c r="S738" s="411">
        <f>IF(M738="nio",0,IF(M738&gt;0,VLOOKUP(I738,'3-Productie normen'!A:P,VLOOKUP(M738,'3-Productie normen'!$B$38:$C$48,2,FALSE),FALSE)))</f>
        <v>0</v>
      </c>
      <c r="T738" s="411">
        <f t="shared" si="58"/>
        <v>0</v>
      </c>
      <c r="U738" s="411">
        <f t="shared" si="61"/>
        <v>0</v>
      </c>
      <c r="V738" s="412"/>
      <c r="X738" s="413">
        <f t="shared" si="59"/>
        <v>483</v>
      </c>
    </row>
    <row r="739" spans="1:24" ht="14.1" customHeight="1">
      <c r="A739" s="70">
        <f t="shared" si="60"/>
        <v>739</v>
      </c>
      <c r="B739" s="399" t="s">
        <v>77</v>
      </c>
      <c r="C739" s="399" t="s">
        <v>574</v>
      </c>
      <c r="D739" s="354" t="s">
        <v>165</v>
      </c>
      <c r="E739" s="404" t="s">
        <v>520</v>
      </c>
      <c r="F739" s="404" t="s">
        <v>646</v>
      </c>
      <c r="G739" s="422">
        <v>9217</v>
      </c>
      <c r="H739" s="399" t="s">
        <v>665</v>
      </c>
      <c r="I739" s="399" t="s">
        <v>106</v>
      </c>
      <c r="J739" s="399" t="s">
        <v>612</v>
      </c>
      <c r="K739" s="414">
        <v>7</v>
      </c>
      <c r="L739" s="408">
        <f t="shared" si="57"/>
        <v>322</v>
      </c>
      <c r="M739" s="409">
        <v>230</v>
      </c>
      <c r="N739" s="306"/>
      <c r="O739" s="409">
        <v>92</v>
      </c>
      <c r="P739" s="410" t="e">
        <f>IF(M739="nio",0,IF(M739&gt;0,M739*K739/S739,0))*VLOOKUP(B739,'2-Kosten per locatie'!$A$14:$C$61,3,FALSE)</f>
        <v>#DIV/0!</v>
      </c>
      <c r="Q739" s="410">
        <f>IF(N739&gt;0,N739*K739/T739,0)*VLOOKUP(B739,'2-Kosten per locatie'!$A$14:$C$61,3,FALSE)</f>
        <v>0</v>
      </c>
      <c r="R739" s="410" t="e">
        <f>IF(O739&gt;0,O739*K739/U739,0)*VLOOKUP(B739,'2-Kosten per locatie'!$A$14:$C$61,3,FALSE)</f>
        <v>#DIV/0!</v>
      </c>
      <c r="S739" s="411">
        <f>IF(M739="nio",0,IF(M739&gt;0,VLOOKUP(I739,'3-Productie normen'!A:P,VLOOKUP(M739,'3-Productie normen'!$B$38:$C$48,2,FALSE),FALSE)))</f>
        <v>0</v>
      </c>
      <c r="T739" s="411">
        <f t="shared" si="58"/>
        <v>0</v>
      </c>
      <c r="U739" s="411">
        <f t="shared" si="61"/>
        <v>0</v>
      </c>
      <c r="V739" s="412"/>
      <c r="X739" s="413">
        <f t="shared" si="59"/>
        <v>2254</v>
      </c>
    </row>
    <row r="740" spans="1:24" ht="14.1" customHeight="1">
      <c r="A740" s="70">
        <f t="shared" si="60"/>
        <v>740</v>
      </c>
      <c r="B740" s="399" t="s">
        <v>77</v>
      </c>
      <c r="C740" s="399" t="s">
        <v>574</v>
      </c>
      <c r="D740" s="354" t="s">
        <v>165</v>
      </c>
      <c r="E740" s="404" t="s">
        <v>520</v>
      </c>
      <c r="F740" s="404" t="s">
        <v>646</v>
      </c>
      <c r="G740" s="422" t="s">
        <v>666</v>
      </c>
      <c r="H740" s="399" t="s">
        <v>667</v>
      </c>
      <c r="I740" s="399" t="s">
        <v>106</v>
      </c>
      <c r="J740" s="399" t="s">
        <v>612</v>
      </c>
      <c r="K740" s="414">
        <v>1.2</v>
      </c>
      <c r="L740" s="408">
        <f t="shared" si="57"/>
        <v>322</v>
      </c>
      <c r="M740" s="409">
        <v>230</v>
      </c>
      <c r="N740" s="306"/>
      <c r="O740" s="409">
        <v>92</v>
      </c>
      <c r="P740" s="410" t="e">
        <f>IF(M740="nio",0,IF(M740&gt;0,M740*K740/S740,0))*VLOOKUP(B740,'2-Kosten per locatie'!$A$14:$C$61,3,FALSE)</f>
        <v>#DIV/0!</v>
      </c>
      <c r="Q740" s="410">
        <f>IF(N740&gt;0,N740*K740/T740,0)*VLOOKUP(B740,'2-Kosten per locatie'!$A$14:$C$61,3,FALSE)</f>
        <v>0</v>
      </c>
      <c r="R740" s="410" t="e">
        <f>IF(O740&gt;0,O740*K740/U740,0)*VLOOKUP(B740,'2-Kosten per locatie'!$A$14:$C$61,3,FALSE)</f>
        <v>#DIV/0!</v>
      </c>
      <c r="S740" s="411">
        <f>IF(M740="nio",0,IF(M740&gt;0,VLOOKUP(I740,'3-Productie normen'!A:P,VLOOKUP(M740,'3-Productie normen'!$B$38:$C$48,2,FALSE),FALSE)))</f>
        <v>0</v>
      </c>
      <c r="T740" s="411">
        <f t="shared" si="58"/>
        <v>0</v>
      </c>
      <c r="U740" s="411">
        <f t="shared" si="61"/>
        <v>0</v>
      </c>
      <c r="V740" s="412"/>
      <c r="X740" s="413">
        <f t="shared" si="59"/>
        <v>386.4</v>
      </c>
    </row>
    <row r="741" spans="1:24" ht="14.1" customHeight="1">
      <c r="A741" s="70">
        <f t="shared" si="60"/>
        <v>741</v>
      </c>
      <c r="B741" s="399" t="s">
        <v>77</v>
      </c>
      <c r="C741" s="399" t="s">
        <v>574</v>
      </c>
      <c r="D741" s="354" t="s">
        <v>165</v>
      </c>
      <c r="E741" s="404" t="s">
        <v>520</v>
      </c>
      <c r="F741" s="404" t="s">
        <v>646</v>
      </c>
      <c r="G741" s="422">
        <v>9218</v>
      </c>
      <c r="H741" s="399" t="s">
        <v>227</v>
      </c>
      <c r="I741" s="399" t="s">
        <v>106</v>
      </c>
      <c r="J741" s="399" t="s">
        <v>612</v>
      </c>
      <c r="K741" s="414">
        <v>6.9</v>
      </c>
      <c r="L741" s="408">
        <f t="shared" si="57"/>
        <v>322</v>
      </c>
      <c r="M741" s="409">
        <v>230</v>
      </c>
      <c r="N741" s="306"/>
      <c r="O741" s="409">
        <v>92</v>
      </c>
      <c r="P741" s="410" t="e">
        <f>IF(M741="nio",0,IF(M741&gt;0,M741*K741/S741,0))*VLOOKUP(B741,'2-Kosten per locatie'!$A$14:$C$61,3,FALSE)</f>
        <v>#DIV/0!</v>
      </c>
      <c r="Q741" s="410">
        <f>IF(N741&gt;0,N741*K741/T741,0)*VLOOKUP(B741,'2-Kosten per locatie'!$A$14:$C$61,3,FALSE)</f>
        <v>0</v>
      </c>
      <c r="R741" s="410" t="e">
        <f>IF(O741&gt;0,O741*K741/U741,0)*VLOOKUP(B741,'2-Kosten per locatie'!$A$14:$C$61,3,FALSE)</f>
        <v>#DIV/0!</v>
      </c>
      <c r="S741" s="411">
        <f>IF(M741="nio",0,IF(M741&gt;0,VLOOKUP(I741,'3-Productie normen'!A:P,VLOOKUP(M741,'3-Productie normen'!$B$38:$C$48,2,FALSE),FALSE)))</f>
        <v>0</v>
      </c>
      <c r="T741" s="411">
        <f t="shared" si="58"/>
        <v>0</v>
      </c>
      <c r="U741" s="411">
        <f t="shared" si="61"/>
        <v>0</v>
      </c>
      <c r="V741" s="412"/>
      <c r="X741" s="413">
        <f t="shared" si="59"/>
        <v>2221.8000000000002</v>
      </c>
    </row>
    <row r="742" spans="1:24" ht="14.1" customHeight="1">
      <c r="A742" s="70">
        <f t="shared" si="60"/>
        <v>742</v>
      </c>
      <c r="B742" s="399" t="s">
        <v>77</v>
      </c>
      <c r="C742" s="399" t="s">
        <v>574</v>
      </c>
      <c r="D742" s="354" t="s">
        <v>165</v>
      </c>
      <c r="E742" s="404" t="s">
        <v>520</v>
      </c>
      <c r="F742" s="404" t="s">
        <v>646</v>
      </c>
      <c r="G742" s="422">
        <v>9219</v>
      </c>
      <c r="H742" s="399" t="s">
        <v>668</v>
      </c>
      <c r="I742" s="399" t="s">
        <v>106</v>
      </c>
      <c r="J742" s="399" t="s">
        <v>612</v>
      </c>
      <c r="K742" s="414">
        <v>1.5</v>
      </c>
      <c r="L742" s="408">
        <f t="shared" si="57"/>
        <v>322</v>
      </c>
      <c r="M742" s="409">
        <v>230</v>
      </c>
      <c r="N742" s="306"/>
      <c r="O742" s="409">
        <v>92</v>
      </c>
      <c r="P742" s="410" t="e">
        <f>IF(M742="nio",0,IF(M742&gt;0,M742*K742/S742,0))*VLOOKUP(B742,'2-Kosten per locatie'!$A$14:$C$61,3,FALSE)</f>
        <v>#DIV/0!</v>
      </c>
      <c r="Q742" s="410">
        <f>IF(N742&gt;0,N742*K742/T742,0)*VLOOKUP(B742,'2-Kosten per locatie'!$A$14:$C$61,3,FALSE)</f>
        <v>0</v>
      </c>
      <c r="R742" s="410" t="e">
        <f>IF(O742&gt;0,O742*K742/U742,0)*VLOOKUP(B742,'2-Kosten per locatie'!$A$14:$C$61,3,FALSE)</f>
        <v>#DIV/0!</v>
      </c>
      <c r="S742" s="411">
        <f>IF(M742="nio",0,IF(M742&gt;0,VLOOKUP(I742,'3-Productie normen'!A:P,VLOOKUP(M742,'3-Productie normen'!$B$38:$C$48,2,FALSE),FALSE)))</f>
        <v>0</v>
      </c>
      <c r="T742" s="411">
        <f t="shared" si="58"/>
        <v>0</v>
      </c>
      <c r="U742" s="411">
        <f t="shared" si="61"/>
        <v>0</v>
      </c>
      <c r="V742" s="412"/>
      <c r="X742" s="413">
        <f t="shared" si="59"/>
        <v>483</v>
      </c>
    </row>
    <row r="743" spans="1:24" ht="14.1" customHeight="1">
      <c r="A743" s="70">
        <f t="shared" si="60"/>
        <v>743</v>
      </c>
      <c r="B743" s="399" t="s">
        <v>77</v>
      </c>
      <c r="C743" s="399" t="s">
        <v>574</v>
      </c>
      <c r="D743" s="354" t="s">
        <v>165</v>
      </c>
      <c r="E743" s="404" t="s">
        <v>520</v>
      </c>
      <c r="F743" s="404" t="s">
        <v>646</v>
      </c>
      <c r="G743" s="422">
        <v>9220</v>
      </c>
      <c r="H743" s="399" t="s">
        <v>669</v>
      </c>
      <c r="I743" s="399" t="s">
        <v>106</v>
      </c>
      <c r="J743" s="399" t="s">
        <v>612</v>
      </c>
      <c r="K743" s="414">
        <v>1.2</v>
      </c>
      <c r="L743" s="408">
        <f t="shared" si="57"/>
        <v>322</v>
      </c>
      <c r="M743" s="409">
        <v>230</v>
      </c>
      <c r="N743" s="306"/>
      <c r="O743" s="409">
        <v>92</v>
      </c>
      <c r="P743" s="410" t="e">
        <f>IF(M743="nio",0,IF(M743&gt;0,M743*K743/S743,0))*VLOOKUP(B743,'2-Kosten per locatie'!$A$14:$C$61,3,FALSE)</f>
        <v>#DIV/0!</v>
      </c>
      <c r="Q743" s="410">
        <f>IF(N743&gt;0,N743*K743/T743,0)*VLOOKUP(B743,'2-Kosten per locatie'!$A$14:$C$61,3,FALSE)</f>
        <v>0</v>
      </c>
      <c r="R743" s="410" t="e">
        <f>IF(O743&gt;0,O743*K743/U743,0)*VLOOKUP(B743,'2-Kosten per locatie'!$A$14:$C$61,3,FALSE)</f>
        <v>#DIV/0!</v>
      </c>
      <c r="S743" s="411">
        <f>IF(M743="nio",0,IF(M743&gt;0,VLOOKUP(I743,'3-Productie normen'!A:P,VLOOKUP(M743,'3-Productie normen'!$B$38:$C$48,2,FALSE),FALSE)))</f>
        <v>0</v>
      </c>
      <c r="T743" s="411">
        <f t="shared" si="58"/>
        <v>0</v>
      </c>
      <c r="U743" s="411">
        <f t="shared" si="61"/>
        <v>0</v>
      </c>
      <c r="V743" s="412"/>
      <c r="X743" s="413">
        <f t="shared" si="59"/>
        <v>386.4</v>
      </c>
    </row>
    <row r="744" spans="1:24" ht="14.1" customHeight="1">
      <c r="A744" s="70">
        <f t="shared" si="60"/>
        <v>744</v>
      </c>
      <c r="B744" s="399" t="s">
        <v>77</v>
      </c>
      <c r="C744" s="399" t="s">
        <v>574</v>
      </c>
      <c r="D744" s="354" t="s">
        <v>165</v>
      </c>
      <c r="E744" s="404" t="s">
        <v>520</v>
      </c>
      <c r="F744" s="404" t="s">
        <v>646</v>
      </c>
      <c r="G744" s="422">
        <v>9221</v>
      </c>
      <c r="H744" s="399" t="s">
        <v>670</v>
      </c>
      <c r="I744" s="399" t="s">
        <v>106</v>
      </c>
      <c r="J744" s="399" t="s">
        <v>612</v>
      </c>
      <c r="K744" s="414">
        <v>4.2</v>
      </c>
      <c r="L744" s="408">
        <f t="shared" si="57"/>
        <v>322</v>
      </c>
      <c r="M744" s="409">
        <v>230</v>
      </c>
      <c r="N744" s="306"/>
      <c r="O744" s="409">
        <v>92</v>
      </c>
      <c r="P744" s="410" t="e">
        <f>IF(M744="nio",0,IF(M744&gt;0,M744*K744/S744,0))*VLOOKUP(B744,'2-Kosten per locatie'!$A$14:$C$61,3,FALSE)</f>
        <v>#DIV/0!</v>
      </c>
      <c r="Q744" s="410">
        <f>IF(N744&gt;0,N744*K744/T744,0)*VLOOKUP(B744,'2-Kosten per locatie'!$A$14:$C$61,3,FALSE)</f>
        <v>0</v>
      </c>
      <c r="R744" s="410" t="e">
        <f>IF(O744&gt;0,O744*K744/U744,0)*VLOOKUP(B744,'2-Kosten per locatie'!$A$14:$C$61,3,FALSE)</f>
        <v>#DIV/0!</v>
      </c>
      <c r="S744" s="411">
        <f>IF(M744="nio",0,IF(M744&gt;0,VLOOKUP(I744,'3-Productie normen'!A:P,VLOOKUP(M744,'3-Productie normen'!$B$38:$C$48,2,FALSE),FALSE)))</f>
        <v>0</v>
      </c>
      <c r="T744" s="411">
        <f t="shared" si="58"/>
        <v>0</v>
      </c>
      <c r="U744" s="411">
        <f t="shared" si="61"/>
        <v>0</v>
      </c>
      <c r="V744" s="412"/>
      <c r="X744" s="413">
        <f t="shared" si="59"/>
        <v>1352.4</v>
      </c>
    </row>
    <row r="745" spans="1:24" ht="14.1" customHeight="1">
      <c r="A745" s="70">
        <f t="shared" si="60"/>
        <v>745</v>
      </c>
      <c r="B745" s="399" t="s">
        <v>77</v>
      </c>
      <c r="C745" s="399" t="s">
        <v>574</v>
      </c>
      <c r="D745" s="354" t="s">
        <v>165</v>
      </c>
      <c r="E745" s="404" t="s">
        <v>520</v>
      </c>
      <c r="F745" s="404" t="s">
        <v>646</v>
      </c>
      <c r="G745" s="422">
        <v>9222</v>
      </c>
      <c r="H745" s="399" t="s">
        <v>671</v>
      </c>
      <c r="I745" s="399" t="s">
        <v>111</v>
      </c>
      <c r="J745" s="399" t="s">
        <v>612</v>
      </c>
      <c r="K745" s="414">
        <v>30.8</v>
      </c>
      <c r="L745" s="408">
        <f t="shared" si="57"/>
        <v>322</v>
      </c>
      <c r="M745" s="409">
        <v>230</v>
      </c>
      <c r="N745" s="306"/>
      <c r="O745" s="409">
        <v>92</v>
      </c>
      <c r="P745" s="410" t="e">
        <f>IF(M745="nio",0,IF(M745&gt;0,M745*K745/S745,0))*VLOOKUP(B745,'2-Kosten per locatie'!$A$14:$C$61,3,FALSE)</f>
        <v>#DIV/0!</v>
      </c>
      <c r="Q745" s="410">
        <f>IF(N745&gt;0,N745*K745/T745,0)*VLOOKUP(B745,'2-Kosten per locatie'!$A$14:$C$61,3,FALSE)</f>
        <v>0</v>
      </c>
      <c r="R745" s="410" t="e">
        <f>IF(O745&gt;0,O745*K745/U745,0)*VLOOKUP(B745,'2-Kosten per locatie'!$A$14:$C$61,3,FALSE)</f>
        <v>#DIV/0!</v>
      </c>
      <c r="S745" s="411">
        <f>IF(M745="nio",0,IF(M745&gt;0,VLOOKUP(I745,'3-Productie normen'!A:P,VLOOKUP(M745,'3-Productie normen'!$B$38:$C$48,2,FALSE),FALSE)))</f>
        <v>0</v>
      </c>
      <c r="T745" s="411">
        <f t="shared" si="58"/>
        <v>0</v>
      </c>
      <c r="U745" s="411">
        <f t="shared" si="61"/>
        <v>0</v>
      </c>
      <c r="V745" s="412"/>
      <c r="X745" s="413">
        <f t="shared" si="59"/>
        <v>9917.6</v>
      </c>
    </row>
    <row r="746" spans="1:24" ht="14.1" customHeight="1">
      <c r="A746" s="70">
        <f t="shared" si="60"/>
        <v>746</v>
      </c>
      <c r="B746" s="399" t="s">
        <v>77</v>
      </c>
      <c r="C746" s="399" t="s">
        <v>574</v>
      </c>
      <c r="D746" s="354" t="s">
        <v>165</v>
      </c>
      <c r="E746" s="404" t="s">
        <v>520</v>
      </c>
      <c r="F746" s="404" t="s">
        <v>646</v>
      </c>
      <c r="G746" s="422">
        <v>9223</v>
      </c>
      <c r="H746" s="399" t="s">
        <v>672</v>
      </c>
      <c r="I746" s="399" t="s">
        <v>111</v>
      </c>
      <c r="J746" s="399" t="s">
        <v>612</v>
      </c>
      <c r="K746" s="414">
        <v>32.9</v>
      </c>
      <c r="L746" s="408">
        <f t="shared" si="57"/>
        <v>322</v>
      </c>
      <c r="M746" s="409">
        <v>230</v>
      </c>
      <c r="N746" s="306"/>
      <c r="O746" s="409">
        <v>92</v>
      </c>
      <c r="P746" s="410" t="e">
        <f>IF(M746="nio",0,IF(M746&gt;0,M746*K746/S746,0))*VLOOKUP(B746,'2-Kosten per locatie'!$A$14:$C$61,3,FALSE)</f>
        <v>#DIV/0!</v>
      </c>
      <c r="Q746" s="410">
        <f>IF(N746&gt;0,N746*K746/T746,0)*VLOOKUP(B746,'2-Kosten per locatie'!$A$14:$C$61,3,FALSE)</f>
        <v>0</v>
      </c>
      <c r="R746" s="410" t="e">
        <f>IF(O746&gt;0,O746*K746/U746,0)*VLOOKUP(B746,'2-Kosten per locatie'!$A$14:$C$61,3,FALSE)</f>
        <v>#DIV/0!</v>
      </c>
      <c r="S746" s="411">
        <f>IF(M746="nio",0,IF(M746&gt;0,VLOOKUP(I746,'3-Productie normen'!A:P,VLOOKUP(M746,'3-Productie normen'!$B$38:$C$48,2,FALSE),FALSE)))</f>
        <v>0</v>
      </c>
      <c r="T746" s="411">
        <f t="shared" si="58"/>
        <v>0</v>
      </c>
      <c r="U746" s="411">
        <f t="shared" si="61"/>
        <v>0</v>
      </c>
      <c r="V746" s="412"/>
      <c r="X746" s="413">
        <f t="shared" si="59"/>
        <v>10593.8</v>
      </c>
    </row>
    <row r="747" spans="1:24" ht="14.1" customHeight="1">
      <c r="A747" s="70">
        <f t="shared" si="60"/>
        <v>747</v>
      </c>
      <c r="B747" s="399" t="s">
        <v>77</v>
      </c>
      <c r="C747" s="399" t="s">
        <v>574</v>
      </c>
      <c r="D747" s="354" t="s">
        <v>165</v>
      </c>
      <c r="E747" s="404" t="s">
        <v>520</v>
      </c>
      <c r="F747" s="404" t="s">
        <v>646</v>
      </c>
      <c r="G747" s="422">
        <v>9224</v>
      </c>
      <c r="H747" s="399" t="s">
        <v>673</v>
      </c>
      <c r="I747" s="399" t="s">
        <v>114</v>
      </c>
      <c r="J747" s="399" t="s">
        <v>593</v>
      </c>
      <c r="K747" s="414">
        <v>422.7</v>
      </c>
      <c r="L747" s="408">
        <f t="shared" si="57"/>
        <v>322</v>
      </c>
      <c r="M747" s="409">
        <v>230</v>
      </c>
      <c r="N747" s="306"/>
      <c r="O747" s="409">
        <v>92</v>
      </c>
      <c r="P747" s="410" t="e">
        <f>IF(M747="nio",0,IF(M747&gt;0,M747*K747/S747,0))*VLOOKUP(B747,'2-Kosten per locatie'!$A$14:$C$61,3,FALSE)</f>
        <v>#DIV/0!</v>
      </c>
      <c r="Q747" s="410">
        <f>IF(N747&gt;0,N747*K747/T747,0)*VLOOKUP(B747,'2-Kosten per locatie'!$A$14:$C$61,3,FALSE)</f>
        <v>0</v>
      </c>
      <c r="R747" s="410" t="e">
        <f>IF(O747&gt;0,O747*K747/U747,0)*VLOOKUP(B747,'2-Kosten per locatie'!$A$14:$C$61,3,FALSE)</f>
        <v>#DIV/0!</v>
      </c>
      <c r="S747" s="411">
        <f>IF(M747="nio",0,IF(M747&gt;0,VLOOKUP(I747,'3-Productie normen'!A:P,VLOOKUP(M747,'3-Productie normen'!$B$38:$C$48,2,FALSE),FALSE)))</f>
        <v>0</v>
      </c>
      <c r="T747" s="411">
        <f t="shared" si="58"/>
        <v>0</v>
      </c>
      <c r="U747" s="411">
        <f t="shared" si="61"/>
        <v>0</v>
      </c>
      <c r="V747" s="412"/>
      <c r="X747" s="413">
        <f t="shared" si="59"/>
        <v>136109.4</v>
      </c>
    </row>
    <row r="748" spans="1:24" ht="14.1" customHeight="1">
      <c r="A748" s="70">
        <f t="shared" si="60"/>
        <v>748</v>
      </c>
      <c r="B748" s="399" t="s">
        <v>77</v>
      </c>
      <c r="C748" s="399" t="s">
        <v>574</v>
      </c>
      <c r="D748" s="354" t="s">
        <v>165</v>
      </c>
      <c r="E748" s="404" t="s">
        <v>520</v>
      </c>
      <c r="F748" s="404" t="s">
        <v>646</v>
      </c>
      <c r="G748" s="422">
        <v>9225</v>
      </c>
      <c r="H748" s="399" t="s">
        <v>674</v>
      </c>
      <c r="I748" s="399" t="s">
        <v>119</v>
      </c>
      <c r="J748" s="399" t="s">
        <v>604</v>
      </c>
      <c r="K748" s="414">
        <v>8.1999999999999993</v>
      </c>
      <c r="L748" s="408">
        <f t="shared" ref="L748:L811" si="62">SUM(M748:O748)</f>
        <v>322</v>
      </c>
      <c r="M748" s="409">
        <v>230</v>
      </c>
      <c r="N748" s="306"/>
      <c r="O748" s="409">
        <v>92</v>
      </c>
      <c r="P748" s="410" t="e">
        <f>IF(M748="nio",0,IF(M748&gt;0,M748*K748/S748,0))*VLOOKUP(B748,'2-Kosten per locatie'!$A$14:$C$61,3,FALSE)</f>
        <v>#DIV/0!</v>
      </c>
      <c r="Q748" s="410">
        <f>IF(N748&gt;0,N748*K748/T748,0)*VLOOKUP(B748,'2-Kosten per locatie'!$A$14:$C$61,3,FALSE)</f>
        <v>0</v>
      </c>
      <c r="R748" s="410" t="e">
        <f>IF(O748&gt;0,O748*K748/U748,0)*VLOOKUP(B748,'2-Kosten per locatie'!$A$14:$C$61,3,FALSE)</f>
        <v>#DIV/0!</v>
      </c>
      <c r="S748" s="411">
        <f>IF(M748="nio",0,IF(M748&gt;0,VLOOKUP(I748,'3-Productie normen'!A:P,VLOOKUP(M748,'3-Productie normen'!$B$38:$C$48,2,FALSE),FALSE)))</f>
        <v>0</v>
      </c>
      <c r="T748" s="411">
        <f t="shared" si="58"/>
        <v>0</v>
      </c>
      <c r="U748" s="411">
        <f t="shared" si="61"/>
        <v>0</v>
      </c>
      <c r="V748" s="412"/>
      <c r="X748" s="413">
        <f t="shared" si="59"/>
        <v>2640.3999999999996</v>
      </c>
    </row>
    <row r="749" spans="1:24" ht="14.1" customHeight="1">
      <c r="A749" s="70">
        <f t="shared" si="60"/>
        <v>749</v>
      </c>
      <c r="B749" s="399" t="s">
        <v>77</v>
      </c>
      <c r="C749" s="399" t="s">
        <v>574</v>
      </c>
      <c r="D749" s="354" t="s">
        <v>165</v>
      </c>
      <c r="E749" s="404" t="s">
        <v>520</v>
      </c>
      <c r="F749" s="404" t="s">
        <v>646</v>
      </c>
      <c r="G749" s="422">
        <v>9226</v>
      </c>
      <c r="H749" s="399" t="s">
        <v>675</v>
      </c>
      <c r="I749" s="399" t="s">
        <v>123</v>
      </c>
      <c r="J749" s="399" t="s">
        <v>604</v>
      </c>
      <c r="K749" s="414">
        <v>16.600000000000001</v>
      </c>
      <c r="L749" s="408">
        <f t="shared" si="62"/>
        <v>46</v>
      </c>
      <c r="M749" s="409">
        <v>46</v>
      </c>
      <c r="N749" s="306"/>
      <c r="O749" s="409"/>
      <c r="P749" s="410" t="e">
        <f>IF(M749="nio",0,IF(M749&gt;0,M749*K749/S749,0))*VLOOKUP(B749,'2-Kosten per locatie'!$A$14:$C$61,3,FALSE)</f>
        <v>#DIV/0!</v>
      </c>
      <c r="Q749" s="410">
        <f>IF(N749&gt;0,N749*K749/T749,0)*VLOOKUP(B749,'2-Kosten per locatie'!$A$14:$C$61,3,FALSE)</f>
        <v>0</v>
      </c>
      <c r="R749" s="410">
        <f>IF(O749&gt;0,O749*K749/U749,0)*VLOOKUP(B749,'2-Kosten per locatie'!$A$14:$C$61,3,FALSE)</f>
        <v>0</v>
      </c>
      <c r="S749" s="411">
        <f>IF(M749="nio",0,IF(M749&gt;0,VLOOKUP(I749,'3-Productie normen'!A:P,VLOOKUP(M749,'3-Productie normen'!$B$38:$C$48,2,FALSE),FALSE)))</f>
        <v>0</v>
      </c>
      <c r="T749" s="411">
        <f t="shared" si="58"/>
        <v>0</v>
      </c>
      <c r="U749" s="411">
        <f t="shared" si="61"/>
        <v>0</v>
      </c>
      <c r="V749" s="412"/>
      <c r="X749" s="413">
        <f t="shared" si="59"/>
        <v>763.6</v>
      </c>
    </row>
    <row r="750" spans="1:24" ht="14.1" customHeight="1">
      <c r="A750" s="70">
        <f t="shared" si="60"/>
        <v>750</v>
      </c>
      <c r="B750" s="399" t="s">
        <v>77</v>
      </c>
      <c r="C750" s="399" t="s">
        <v>574</v>
      </c>
      <c r="D750" s="354" t="s">
        <v>165</v>
      </c>
      <c r="E750" s="404" t="s">
        <v>520</v>
      </c>
      <c r="F750" s="404" t="s">
        <v>676</v>
      </c>
      <c r="G750" s="422">
        <v>9301</v>
      </c>
      <c r="H750" s="399" t="s">
        <v>677</v>
      </c>
      <c r="I750" s="399" t="s">
        <v>124</v>
      </c>
      <c r="J750" s="399" t="s">
        <v>579</v>
      </c>
      <c r="K750" s="414">
        <v>400.8</v>
      </c>
      <c r="L750" s="408">
        <f t="shared" si="62"/>
        <v>0</v>
      </c>
      <c r="M750" s="409" t="s">
        <v>242</v>
      </c>
      <c r="N750" s="306"/>
      <c r="O750" s="409"/>
      <c r="P750" s="410">
        <f>IF(M750="nio",0,IF(M750&gt;0,M750*K750/S750,0))*VLOOKUP(B750,'2-Kosten per locatie'!$A$14:$C$61,3,FALSE)</f>
        <v>0</v>
      </c>
      <c r="Q750" s="410">
        <f>IF(N750&gt;0,N750*K750/T750,0)*VLOOKUP(B750,'2-Kosten per locatie'!$A$14:$C$61,3,FALSE)</f>
        <v>0</v>
      </c>
      <c r="R750" s="410">
        <f>IF(O750&gt;0,O750*K750/U750,0)*VLOOKUP(B750,'2-Kosten per locatie'!$A$14:$C$61,3,FALSE)</f>
        <v>0</v>
      </c>
      <c r="S750" s="411">
        <f>IF(M750="nio",0,IF(M750&gt;0,VLOOKUP(I750,'3-Productie normen'!A:P,VLOOKUP(M750,'3-Productie normen'!$B$38:$C$48,2,FALSE),FALSE)))</f>
        <v>0</v>
      </c>
      <c r="T750" s="411">
        <f t="shared" si="58"/>
        <v>0</v>
      </c>
      <c r="U750" s="411">
        <f t="shared" si="61"/>
        <v>0</v>
      </c>
      <c r="V750" s="412"/>
      <c r="X750" s="413">
        <f t="shared" si="59"/>
        <v>0</v>
      </c>
    </row>
    <row r="751" spans="1:24" ht="14.1" customHeight="1">
      <c r="A751" s="70">
        <f t="shared" si="60"/>
        <v>751</v>
      </c>
      <c r="B751" s="399" t="s">
        <v>77</v>
      </c>
      <c r="C751" s="399" t="s">
        <v>574</v>
      </c>
      <c r="D751" s="354" t="s">
        <v>165</v>
      </c>
      <c r="E751" s="404" t="s">
        <v>520</v>
      </c>
      <c r="F751" s="404" t="s">
        <v>676</v>
      </c>
      <c r="G751" s="422">
        <v>9302</v>
      </c>
      <c r="H751" s="399" t="s">
        <v>678</v>
      </c>
      <c r="I751" s="399" t="s">
        <v>108</v>
      </c>
      <c r="J751" s="399" t="s">
        <v>604</v>
      </c>
      <c r="K751" s="414">
        <v>10.199999999999999</v>
      </c>
      <c r="L751" s="408">
        <f t="shared" si="62"/>
        <v>322</v>
      </c>
      <c r="M751" s="409">
        <v>230</v>
      </c>
      <c r="N751" s="306"/>
      <c r="O751" s="409">
        <v>92</v>
      </c>
      <c r="P751" s="410" t="e">
        <f>IF(M751="nio",0,IF(M751&gt;0,M751*K751/S751,0))*VLOOKUP(B751,'2-Kosten per locatie'!$A$14:$C$61,3,FALSE)</f>
        <v>#DIV/0!</v>
      </c>
      <c r="Q751" s="410">
        <f>IF(N751&gt;0,N751*K751/T751,0)*VLOOKUP(B751,'2-Kosten per locatie'!$A$14:$C$61,3,FALSE)</f>
        <v>0</v>
      </c>
      <c r="R751" s="410" t="e">
        <f>IF(O751&gt;0,O751*K751/U751,0)*VLOOKUP(B751,'2-Kosten per locatie'!$A$14:$C$61,3,FALSE)</f>
        <v>#DIV/0!</v>
      </c>
      <c r="S751" s="411">
        <f>IF(M751="nio",0,IF(M751&gt;0,VLOOKUP(I751,'3-Productie normen'!A:P,VLOOKUP(M751,'3-Productie normen'!$B$38:$C$48,2,FALSE),FALSE)))</f>
        <v>0</v>
      </c>
      <c r="T751" s="411">
        <f t="shared" si="58"/>
        <v>0</v>
      </c>
      <c r="U751" s="411">
        <f t="shared" si="61"/>
        <v>0</v>
      </c>
      <c r="V751" s="412"/>
      <c r="X751" s="413">
        <f t="shared" si="59"/>
        <v>3284.3999999999996</v>
      </c>
    </row>
    <row r="752" spans="1:24" ht="14.1" customHeight="1">
      <c r="A752" s="70">
        <f t="shared" si="60"/>
        <v>752</v>
      </c>
      <c r="B752" s="399" t="s">
        <v>77</v>
      </c>
      <c r="C752" s="399" t="s">
        <v>574</v>
      </c>
      <c r="D752" s="354" t="s">
        <v>165</v>
      </c>
      <c r="E752" s="404" t="s">
        <v>520</v>
      </c>
      <c r="F752" s="404" t="s">
        <v>676</v>
      </c>
      <c r="G752" s="422">
        <v>9303</v>
      </c>
      <c r="H752" s="399" t="s">
        <v>473</v>
      </c>
      <c r="I752" s="399" t="s">
        <v>108</v>
      </c>
      <c r="J752" s="399" t="s">
        <v>604</v>
      </c>
      <c r="K752" s="414">
        <v>7.7</v>
      </c>
      <c r="L752" s="408">
        <f t="shared" si="62"/>
        <v>322</v>
      </c>
      <c r="M752" s="409">
        <v>230</v>
      </c>
      <c r="N752" s="306"/>
      <c r="O752" s="409">
        <v>92</v>
      </c>
      <c r="P752" s="410" t="e">
        <f>IF(M752="nio",0,IF(M752&gt;0,M752*K752/S752,0))*VLOOKUP(B752,'2-Kosten per locatie'!$A$14:$C$61,3,FALSE)</f>
        <v>#DIV/0!</v>
      </c>
      <c r="Q752" s="410">
        <f>IF(N752&gt;0,N752*K752/T752,0)*VLOOKUP(B752,'2-Kosten per locatie'!$A$14:$C$61,3,FALSE)</f>
        <v>0</v>
      </c>
      <c r="R752" s="410" t="e">
        <f>IF(O752&gt;0,O752*K752/U752,0)*VLOOKUP(B752,'2-Kosten per locatie'!$A$14:$C$61,3,FALSE)</f>
        <v>#DIV/0!</v>
      </c>
      <c r="S752" s="411">
        <f>IF(M752="nio",0,IF(M752&gt;0,VLOOKUP(I752,'3-Productie normen'!A:P,VLOOKUP(M752,'3-Productie normen'!$B$38:$C$48,2,FALSE),FALSE)))</f>
        <v>0</v>
      </c>
      <c r="T752" s="411">
        <f t="shared" si="58"/>
        <v>0</v>
      </c>
      <c r="U752" s="411">
        <f t="shared" si="61"/>
        <v>0</v>
      </c>
      <c r="V752" s="412"/>
      <c r="X752" s="413">
        <f t="shared" si="59"/>
        <v>2479.4</v>
      </c>
    </row>
    <row r="753" spans="1:24" ht="14.1" customHeight="1">
      <c r="A753" s="70">
        <f t="shared" si="60"/>
        <v>753</v>
      </c>
      <c r="B753" s="399" t="s">
        <v>77</v>
      </c>
      <c r="C753" s="399" t="s">
        <v>574</v>
      </c>
      <c r="D753" s="354" t="s">
        <v>165</v>
      </c>
      <c r="E753" s="404" t="s">
        <v>520</v>
      </c>
      <c r="F753" s="404" t="s">
        <v>676</v>
      </c>
      <c r="G753" s="422">
        <v>9304</v>
      </c>
      <c r="H753" s="399" t="s">
        <v>287</v>
      </c>
      <c r="I753" s="399" t="s">
        <v>124</v>
      </c>
      <c r="J753" s="399" t="s">
        <v>579</v>
      </c>
      <c r="K753" s="414">
        <v>43.4</v>
      </c>
      <c r="L753" s="408">
        <f t="shared" si="62"/>
        <v>0</v>
      </c>
      <c r="M753" s="409" t="s">
        <v>242</v>
      </c>
      <c r="N753" s="306"/>
      <c r="O753" s="409"/>
      <c r="P753" s="410">
        <f>IF(M753="nio",0,IF(M753&gt;0,M753*K753/S753,0))*VLOOKUP(B753,'2-Kosten per locatie'!$A$14:$C$61,3,FALSE)</f>
        <v>0</v>
      </c>
      <c r="Q753" s="410">
        <f>IF(N753&gt;0,N753*K753/T753,0)*VLOOKUP(B753,'2-Kosten per locatie'!$A$14:$C$61,3,FALSE)</f>
        <v>0</v>
      </c>
      <c r="R753" s="410">
        <f>IF(O753&gt;0,O753*K753/U753,0)*VLOOKUP(B753,'2-Kosten per locatie'!$A$14:$C$61,3,FALSE)</f>
        <v>0</v>
      </c>
      <c r="S753" s="411">
        <f>IF(M753="nio",0,IF(M753&gt;0,VLOOKUP(I753,'3-Productie normen'!A:P,VLOOKUP(M753,'3-Productie normen'!$B$38:$C$48,2,FALSE),FALSE)))</f>
        <v>0</v>
      </c>
      <c r="T753" s="411">
        <f t="shared" si="58"/>
        <v>0</v>
      </c>
      <c r="U753" s="411">
        <f t="shared" si="61"/>
        <v>0</v>
      </c>
      <c r="V753" s="412"/>
      <c r="X753" s="413">
        <f t="shared" si="59"/>
        <v>0</v>
      </c>
    </row>
    <row r="754" spans="1:24" ht="14.1" customHeight="1">
      <c r="A754" s="70">
        <f t="shared" si="60"/>
        <v>754</v>
      </c>
      <c r="B754" s="423" t="s">
        <v>78</v>
      </c>
      <c r="C754" s="423" t="s">
        <v>679</v>
      </c>
      <c r="D754" s="354" t="s">
        <v>165</v>
      </c>
      <c r="E754" s="404" t="s">
        <v>520</v>
      </c>
      <c r="F754" s="404" t="s">
        <v>213</v>
      </c>
      <c r="G754" s="422" t="s">
        <v>191</v>
      </c>
      <c r="H754" s="399" t="s">
        <v>601</v>
      </c>
      <c r="I754" s="399" t="s">
        <v>108</v>
      </c>
      <c r="J754" s="399" t="s">
        <v>179</v>
      </c>
      <c r="K754" s="414">
        <v>10</v>
      </c>
      <c r="L754" s="408">
        <f t="shared" si="62"/>
        <v>230</v>
      </c>
      <c r="M754" s="409">
        <v>230</v>
      </c>
      <c r="N754" s="306"/>
      <c r="O754" s="409"/>
      <c r="P754" s="410" t="e">
        <f>IF(M754="nio",0,IF(M754&gt;0,M754*K754/S754,0))*VLOOKUP(B754,'2-Kosten per locatie'!$A$14:$C$61,3,FALSE)</f>
        <v>#DIV/0!</v>
      </c>
      <c r="Q754" s="410">
        <f>IF(N754&gt;0,N754*K754/T754,0)*VLOOKUP(B754,'2-Kosten per locatie'!$A$14:$C$61,3,FALSE)</f>
        <v>0</v>
      </c>
      <c r="R754" s="410">
        <f>IF(O754&gt;0,O754*K754/U754,0)*VLOOKUP(B754,'2-Kosten per locatie'!$A$14:$C$61,3,FALSE)</f>
        <v>0</v>
      </c>
      <c r="S754" s="411">
        <f>IF(M754="nio",0,IF(M754&gt;0,VLOOKUP(I754,'3-Productie normen'!A:P,VLOOKUP(M754,'3-Productie normen'!$B$38:$C$48,2,FALSE),FALSE)))</f>
        <v>0</v>
      </c>
      <c r="T754" s="411">
        <f t="shared" si="58"/>
        <v>0</v>
      </c>
      <c r="U754" s="411">
        <f t="shared" si="61"/>
        <v>0</v>
      </c>
      <c r="V754" s="412"/>
      <c r="X754" s="413">
        <f t="shared" si="59"/>
        <v>2300</v>
      </c>
    </row>
    <row r="755" spans="1:24" ht="14.1" customHeight="1">
      <c r="A755" s="70">
        <f t="shared" si="60"/>
        <v>755</v>
      </c>
      <c r="B755" s="423" t="s">
        <v>78</v>
      </c>
      <c r="C755" s="423" t="s">
        <v>679</v>
      </c>
      <c r="D755" s="354" t="s">
        <v>165</v>
      </c>
      <c r="E755" s="404" t="s">
        <v>520</v>
      </c>
      <c r="F755" s="404" t="s">
        <v>213</v>
      </c>
      <c r="G755" s="422" t="s">
        <v>194</v>
      </c>
      <c r="H755" s="399" t="s">
        <v>252</v>
      </c>
      <c r="I755" s="399" t="s">
        <v>108</v>
      </c>
      <c r="J755" s="399" t="s">
        <v>179</v>
      </c>
      <c r="K755" s="414">
        <v>156</v>
      </c>
      <c r="L755" s="408">
        <f t="shared" si="62"/>
        <v>230</v>
      </c>
      <c r="M755" s="409">
        <v>230</v>
      </c>
      <c r="N755" s="306"/>
      <c r="O755" s="409"/>
      <c r="P755" s="410" t="e">
        <f>IF(M755="nio",0,IF(M755&gt;0,M755*K755/S755,0))*VLOOKUP(B755,'2-Kosten per locatie'!$A$14:$C$61,3,FALSE)</f>
        <v>#DIV/0!</v>
      </c>
      <c r="Q755" s="410">
        <f>IF(N755&gt;0,N755*K755/T755,0)*VLOOKUP(B755,'2-Kosten per locatie'!$A$14:$C$61,3,FALSE)</f>
        <v>0</v>
      </c>
      <c r="R755" s="410">
        <f>IF(O755&gt;0,O755*K755/U755,0)*VLOOKUP(B755,'2-Kosten per locatie'!$A$14:$C$61,3,FALSE)</f>
        <v>0</v>
      </c>
      <c r="S755" s="411">
        <f>IF(M755="nio",0,IF(M755&gt;0,VLOOKUP(I755,'3-Productie normen'!A:P,VLOOKUP(M755,'3-Productie normen'!$B$38:$C$48,2,FALSE),FALSE)))</f>
        <v>0</v>
      </c>
      <c r="T755" s="411">
        <f t="shared" si="58"/>
        <v>0</v>
      </c>
      <c r="U755" s="411">
        <f t="shared" si="61"/>
        <v>0</v>
      </c>
      <c r="V755" s="412"/>
      <c r="X755" s="413">
        <f t="shared" si="59"/>
        <v>35880</v>
      </c>
    </row>
    <row r="756" spans="1:24" ht="14.1" customHeight="1">
      <c r="A756" s="70">
        <f t="shared" si="60"/>
        <v>756</v>
      </c>
      <c r="B756" s="423" t="s">
        <v>78</v>
      </c>
      <c r="C756" s="423" t="s">
        <v>679</v>
      </c>
      <c r="D756" s="354" t="s">
        <v>165</v>
      </c>
      <c r="E756" s="404" t="s">
        <v>520</v>
      </c>
      <c r="F756" s="404" t="s">
        <v>213</v>
      </c>
      <c r="G756" s="422" t="s">
        <v>680</v>
      </c>
      <c r="H756" s="399" t="s">
        <v>243</v>
      </c>
      <c r="I756" s="399" t="s">
        <v>116</v>
      </c>
      <c r="J756" s="399" t="s">
        <v>492</v>
      </c>
      <c r="K756" s="414">
        <v>8</v>
      </c>
      <c r="L756" s="408">
        <f t="shared" si="62"/>
        <v>230</v>
      </c>
      <c r="M756" s="409">
        <v>230</v>
      </c>
      <c r="N756" s="306"/>
      <c r="O756" s="409"/>
      <c r="P756" s="410" t="e">
        <f>IF(M756="nio",0,IF(M756&gt;0,M756*K756/S756,0))*VLOOKUP(B756,'2-Kosten per locatie'!$A$14:$C$61,3,FALSE)</f>
        <v>#DIV/0!</v>
      </c>
      <c r="Q756" s="410">
        <f>IF(N756&gt;0,N756*K756/T756,0)*VLOOKUP(B756,'2-Kosten per locatie'!$A$14:$C$61,3,FALSE)</f>
        <v>0</v>
      </c>
      <c r="R756" s="410">
        <f>IF(O756&gt;0,O756*K756/U756,0)*VLOOKUP(B756,'2-Kosten per locatie'!$A$14:$C$61,3,FALSE)</f>
        <v>0</v>
      </c>
      <c r="S756" s="411">
        <f>IF(M756="nio",0,IF(M756&gt;0,VLOOKUP(I756,'3-Productie normen'!A:P,VLOOKUP(M756,'3-Productie normen'!$B$38:$C$48,2,FALSE),FALSE)))</f>
        <v>0</v>
      </c>
      <c r="T756" s="411">
        <f t="shared" si="58"/>
        <v>0</v>
      </c>
      <c r="U756" s="411">
        <f t="shared" si="61"/>
        <v>0</v>
      </c>
      <c r="V756" s="412"/>
      <c r="X756" s="413">
        <f t="shared" si="59"/>
        <v>1840</v>
      </c>
    </row>
    <row r="757" spans="1:24" ht="14.1" customHeight="1">
      <c r="A757" s="70">
        <f t="shared" si="60"/>
        <v>757</v>
      </c>
      <c r="B757" s="423" t="s">
        <v>78</v>
      </c>
      <c r="C757" s="423" t="s">
        <v>679</v>
      </c>
      <c r="D757" s="354" t="s">
        <v>165</v>
      </c>
      <c r="E757" s="404" t="s">
        <v>520</v>
      </c>
      <c r="F757" s="404" t="s">
        <v>213</v>
      </c>
      <c r="G757" s="422" t="s">
        <v>196</v>
      </c>
      <c r="H757" s="399" t="s">
        <v>208</v>
      </c>
      <c r="I757" s="399" t="s">
        <v>124</v>
      </c>
      <c r="J757" s="399" t="s">
        <v>218</v>
      </c>
      <c r="K757" s="414">
        <v>10.5</v>
      </c>
      <c r="L757" s="408">
        <f t="shared" si="62"/>
        <v>0</v>
      </c>
      <c r="M757" s="409" t="s">
        <v>242</v>
      </c>
      <c r="N757" s="306"/>
      <c r="O757" s="409"/>
      <c r="P757" s="410">
        <f>IF(M757="nio",0,IF(M757&gt;0,M757*K757/S757,0))*VLOOKUP(B757,'2-Kosten per locatie'!$A$14:$C$61,3,FALSE)</f>
        <v>0</v>
      </c>
      <c r="Q757" s="410">
        <f>IF(N757&gt;0,N757*K757/T757,0)*VLOOKUP(B757,'2-Kosten per locatie'!$A$14:$C$61,3,FALSE)</f>
        <v>0</v>
      </c>
      <c r="R757" s="410">
        <f>IF(O757&gt;0,O757*K757/U757,0)*VLOOKUP(B757,'2-Kosten per locatie'!$A$14:$C$61,3,FALSE)</f>
        <v>0</v>
      </c>
      <c r="S757" s="411">
        <f>IF(M757="nio",0,IF(M757&gt;0,VLOOKUP(I757,'3-Productie normen'!A:P,VLOOKUP(M757,'3-Productie normen'!$B$38:$C$48,2,FALSE),FALSE)))</f>
        <v>0</v>
      </c>
      <c r="T757" s="411">
        <f t="shared" si="58"/>
        <v>0</v>
      </c>
      <c r="U757" s="411">
        <f t="shared" si="61"/>
        <v>0</v>
      </c>
      <c r="V757" s="412"/>
      <c r="X757" s="413">
        <f t="shared" si="59"/>
        <v>0</v>
      </c>
    </row>
    <row r="758" spans="1:24" ht="14.1" customHeight="1">
      <c r="A758" s="70">
        <f t="shared" si="60"/>
        <v>758</v>
      </c>
      <c r="B758" s="423" t="s">
        <v>78</v>
      </c>
      <c r="C758" s="423" t="s">
        <v>679</v>
      </c>
      <c r="D758" s="354" t="s">
        <v>165</v>
      </c>
      <c r="E758" s="404" t="s">
        <v>520</v>
      </c>
      <c r="F758" s="404" t="s">
        <v>213</v>
      </c>
      <c r="G758" s="422" t="s">
        <v>198</v>
      </c>
      <c r="H758" s="399" t="s">
        <v>109</v>
      </c>
      <c r="I758" s="399" t="s">
        <v>124</v>
      </c>
      <c r="J758" s="399" t="s">
        <v>218</v>
      </c>
      <c r="K758" s="414">
        <v>33.5</v>
      </c>
      <c r="L758" s="408">
        <f t="shared" si="62"/>
        <v>0</v>
      </c>
      <c r="M758" s="409" t="s">
        <v>242</v>
      </c>
      <c r="N758" s="306"/>
      <c r="O758" s="409"/>
      <c r="P758" s="410">
        <f>IF(M758="nio",0,IF(M758&gt;0,M758*K758/S758,0))*VLOOKUP(B758,'2-Kosten per locatie'!$A$14:$C$61,3,FALSE)</f>
        <v>0</v>
      </c>
      <c r="Q758" s="410">
        <f>IF(N758&gt;0,N758*K758/T758,0)*VLOOKUP(B758,'2-Kosten per locatie'!$A$14:$C$61,3,FALSE)</f>
        <v>0</v>
      </c>
      <c r="R758" s="410">
        <f>IF(O758&gt;0,O758*K758/U758,0)*VLOOKUP(B758,'2-Kosten per locatie'!$A$14:$C$61,3,FALSE)</f>
        <v>0</v>
      </c>
      <c r="S758" s="411">
        <f>IF(M758="nio",0,IF(M758&gt;0,VLOOKUP(I758,'3-Productie normen'!A:P,VLOOKUP(M758,'3-Productie normen'!$B$38:$C$48,2,FALSE),FALSE)))</f>
        <v>0</v>
      </c>
      <c r="T758" s="411">
        <f t="shared" si="58"/>
        <v>0</v>
      </c>
      <c r="U758" s="411">
        <f t="shared" si="61"/>
        <v>0</v>
      </c>
      <c r="V758" s="412"/>
      <c r="X758" s="413">
        <f t="shared" si="59"/>
        <v>0</v>
      </c>
    </row>
    <row r="759" spans="1:24" ht="14.1" customHeight="1">
      <c r="A759" s="70">
        <f t="shared" si="60"/>
        <v>759</v>
      </c>
      <c r="B759" s="423" t="s">
        <v>78</v>
      </c>
      <c r="C759" s="423" t="s">
        <v>679</v>
      </c>
      <c r="D759" s="354" t="s">
        <v>165</v>
      </c>
      <c r="E759" s="404" t="s">
        <v>520</v>
      </c>
      <c r="F759" s="404" t="s">
        <v>213</v>
      </c>
      <c r="G759" s="422" t="s">
        <v>199</v>
      </c>
      <c r="H759" s="399" t="s">
        <v>681</v>
      </c>
      <c r="I759" s="399" t="s">
        <v>124</v>
      </c>
      <c r="J759" s="399" t="s">
        <v>179</v>
      </c>
      <c r="K759" s="414">
        <v>4.5</v>
      </c>
      <c r="L759" s="408">
        <f t="shared" si="62"/>
        <v>0</v>
      </c>
      <c r="M759" s="409" t="s">
        <v>242</v>
      </c>
      <c r="N759" s="306"/>
      <c r="O759" s="409"/>
      <c r="P759" s="410">
        <f>IF(M759="nio",0,IF(M759&gt;0,M759*K759/S759,0))*VLOOKUP(B759,'2-Kosten per locatie'!$A$14:$C$61,3,FALSE)</f>
        <v>0</v>
      </c>
      <c r="Q759" s="410">
        <f>IF(N759&gt;0,N759*K759/T759,0)*VLOOKUP(B759,'2-Kosten per locatie'!$A$14:$C$61,3,FALSE)</f>
        <v>0</v>
      </c>
      <c r="R759" s="410">
        <f>IF(O759&gt;0,O759*K759/U759,0)*VLOOKUP(B759,'2-Kosten per locatie'!$A$14:$C$61,3,FALSE)</f>
        <v>0</v>
      </c>
      <c r="S759" s="411">
        <f>IF(M759="nio",0,IF(M759&gt;0,VLOOKUP(I759,'3-Productie normen'!A:P,VLOOKUP(M759,'3-Productie normen'!$B$38:$C$48,2,FALSE),FALSE)))</f>
        <v>0</v>
      </c>
      <c r="T759" s="411">
        <f t="shared" si="58"/>
        <v>0</v>
      </c>
      <c r="U759" s="411">
        <f t="shared" si="61"/>
        <v>0</v>
      </c>
      <c r="V759" s="412"/>
      <c r="X759" s="413">
        <f t="shared" si="59"/>
        <v>0</v>
      </c>
    </row>
    <row r="760" spans="1:24" ht="14.1" customHeight="1">
      <c r="A760" s="70">
        <f t="shared" si="60"/>
        <v>760</v>
      </c>
      <c r="B760" s="423" t="s">
        <v>78</v>
      </c>
      <c r="C760" s="423" t="s">
        <v>679</v>
      </c>
      <c r="D760" s="354" t="s">
        <v>165</v>
      </c>
      <c r="E760" s="404" t="s">
        <v>520</v>
      </c>
      <c r="F760" s="404" t="s">
        <v>213</v>
      </c>
      <c r="G760" s="422" t="s">
        <v>202</v>
      </c>
      <c r="H760" s="399" t="s">
        <v>206</v>
      </c>
      <c r="I760" s="399" t="s">
        <v>108</v>
      </c>
      <c r="J760" s="399" t="s">
        <v>179</v>
      </c>
      <c r="K760" s="414">
        <v>66</v>
      </c>
      <c r="L760" s="408">
        <f t="shared" si="62"/>
        <v>230</v>
      </c>
      <c r="M760" s="409">
        <v>230</v>
      </c>
      <c r="N760" s="306"/>
      <c r="O760" s="409"/>
      <c r="P760" s="410" t="e">
        <f>IF(M760="nio",0,IF(M760&gt;0,M760*K760/S760,0))*VLOOKUP(B760,'2-Kosten per locatie'!$A$14:$C$61,3,FALSE)</f>
        <v>#DIV/0!</v>
      </c>
      <c r="Q760" s="410">
        <f>IF(N760&gt;0,N760*K760/T760,0)*VLOOKUP(B760,'2-Kosten per locatie'!$A$14:$C$61,3,FALSE)</f>
        <v>0</v>
      </c>
      <c r="R760" s="410">
        <f>IF(O760&gt;0,O760*K760/U760,0)*VLOOKUP(B760,'2-Kosten per locatie'!$A$14:$C$61,3,FALSE)</f>
        <v>0</v>
      </c>
      <c r="S760" s="411">
        <f>IF(M760="nio",0,IF(M760&gt;0,VLOOKUP(I760,'3-Productie normen'!A:P,VLOOKUP(M760,'3-Productie normen'!$B$38:$C$48,2,FALSE),FALSE)))</f>
        <v>0</v>
      </c>
      <c r="T760" s="411">
        <f t="shared" si="58"/>
        <v>0</v>
      </c>
      <c r="U760" s="411">
        <f t="shared" si="61"/>
        <v>0</v>
      </c>
      <c r="V760" s="412"/>
      <c r="X760" s="413">
        <f t="shared" si="59"/>
        <v>15180</v>
      </c>
    </row>
    <row r="761" spans="1:24" ht="14.1" customHeight="1">
      <c r="A761" s="70">
        <f t="shared" si="60"/>
        <v>761</v>
      </c>
      <c r="B761" s="423" t="s">
        <v>78</v>
      </c>
      <c r="C761" s="423" t="s">
        <v>679</v>
      </c>
      <c r="D761" s="354" t="s">
        <v>165</v>
      </c>
      <c r="E761" s="404" t="s">
        <v>520</v>
      </c>
      <c r="F761" s="404" t="s">
        <v>213</v>
      </c>
      <c r="G761" s="422" t="s">
        <v>203</v>
      </c>
      <c r="H761" s="399" t="s">
        <v>439</v>
      </c>
      <c r="I761" s="399" t="s">
        <v>111</v>
      </c>
      <c r="J761" s="399" t="s">
        <v>179</v>
      </c>
      <c r="K761" s="414">
        <v>20.5</v>
      </c>
      <c r="L761" s="408">
        <f t="shared" si="62"/>
        <v>230</v>
      </c>
      <c r="M761" s="409">
        <v>230</v>
      </c>
      <c r="N761" s="306"/>
      <c r="O761" s="409"/>
      <c r="P761" s="410" t="e">
        <f>IF(M761="nio",0,IF(M761&gt;0,M761*K761/S761,0))*VLOOKUP(B761,'2-Kosten per locatie'!$A$14:$C$61,3,FALSE)</f>
        <v>#DIV/0!</v>
      </c>
      <c r="Q761" s="410">
        <f>IF(N761&gt;0,N761*K761/T761,0)*VLOOKUP(B761,'2-Kosten per locatie'!$A$14:$C$61,3,FALSE)</f>
        <v>0</v>
      </c>
      <c r="R761" s="410">
        <f>IF(O761&gt;0,O761*K761/U761,0)*VLOOKUP(B761,'2-Kosten per locatie'!$A$14:$C$61,3,FALSE)</f>
        <v>0</v>
      </c>
      <c r="S761" s="411">
        <f>IF(M761="nio",0,IF(M761&gt;0,VLOOKUP(I761,'3-Productie normen'!A:P,VLOOKUP(M761,'3-Productie normen'!$B$38:$C$48,2,FALSE),FALSE)))</f>
        <v>0</v>
      </c>
      <c r="T761" s="411">
        <f t="shared" si="58"/>
        <v>0</v>
      </c>
      <c r="U761" s="411">
        <f t="shared" si="61"/>
        <v>0</v>
      </c>
      <c r="V761" s="412"/>
      <c r="X761" s="413">
        <f t="shared" si="59"/>
        <v>4715</v>
      </c>
    </row>
    <row r="762" spans="1:24" ht="14.1" customHeight="1">
      <c r="A762" s="70">
        <f t="shared" si="60"/>
        <v>762</v>
      </c>
      <c r="B762" s="423" t="s">
        <v>78</v>
      </c>
      <c r="C762" s="423" t="s">
        <v>679</v>
      </c>
      <c r="D762" s="354" t="s">
        <v>165</v>
      </c>
      <c r="E762" s="404" t="s">
        <v>520</v>
      </c>
      <c r="F762" s="404" t="s">
        <v>213</v>
      </c>
      <c r="G762" s="422" t="s">
        <v>204</v>
      </c>
      <c r="H762" s="399" t="s">
        <v>682</v>
      </c>
      <c r="I762" s="399" t="s">
        <v>119</v>
      </c>
      <c r="J762" s="399" t="s">
        <v>179</v>
      </c>
      <c r="K762" s="414">
        <v>13</v>
      </c>
      <c r="L762" s="408">
        <f t="shared" si="62"/>
        <v>230</v>
      </c>
      <c r="M762" s="409">
        <v>230</v>
      </c>
      <c r="N762" s="306"/>
      <c r="O762" s="409"/>
      <c r="P762" s="410" t="e">
        <f>IF(M762="nio",0,IF(M762&gt;0,M762*K762/S762,0))*VLOOKUP(B762,'2-Kosten per locatie'!$A$14:$C$61,3,FALSE)</f>
        <v>#DIV/0!</v>
      </c>
      <c r="Q762" s="410">
        <f>IF(N762&gt;0,N762*K762/T762,0)*VLOOKUP(B762,'2-Kosten per locatie'!$A$14:$C$61,3,FALSE)</f>
        <v>0</v>
      </c>
      <c r="R762" s="410">
        <f>IF(O762&gt;0,O762*K762/U762,0)*VLOOKUP(B762,'2-Kosten per locatie'!$A$14:$C$61,3,FALSE)</f>
        <v>0</v>
      </c>
      <c r="S762" s="411">
        <f>IF(M762="nio",0,IF(M762&gt;0,VLOOKUP(I762,'3-Productie normen'!A:P,VLOOKUP(M762,'3-Productie normen'!$B$38:$C$48,2,FALSE),FALSE)))</f>
        <v>0</v>
      </c>
      <c r="T762" s="411">
        <f t="shared" si="58"/>
        <v>0</v>
      </c>
      <c r="U762" s="411">
        <f t="shared" si="61"/>
        <v>0</v>
      </c>
      <c r="V762" s="412"/>
      <c r="X762" s="413">
        <f t="shared" si="59"/>
        <v>2990</v>
      </c>
    </row>
    <row r="763" spans="1:24" ht="14.1" customHeight="1">
      <c r="A763" s="70">
        <f t="shared" si="60"/>
        <v>763</v>
      </c>
      <c r="B763" s="423" t="s">
        <v>78</v>
      </c>
      <c r="C763" s="423" t="s">
        <v>679</v>
      </c>
      <c r="D763" s="354" t="s">
        <v>165</v>
      </c>
      <c r="E763" s="404" t="s">
        <v>520</v>
      </c>
      <c r="F763" s="404" t="s">
        <v>213</v>
      </c>
      <c r="G763" s="422" t="s">
        <v>205</v>
      </c>
      <c r="H763" s="399" t="s">
        <v>439</v>
      </c>
      <c r="I763" s="399" t="s">
        <v>111</v>
      </c>
      <c r="J763" s="399" t="s">
        <v>179</v>
      </c>
      <c r="K763" s="414">
        <v>20.5</v>
      </c>
      <c r="L763" s="408">
        <f t="shared" si="62"/>
        <v>230</v>
      </c>
      <c r="M763" s="409">
        <v>230</v>
      </c>
      <c r="N763" s="306"/>
      <c r="O763" s="409"/>
      <c r="P763" s="410" t="e">
        <f>IF(M763="nio",0,IF(M763&gt;0,M763*K763/S763,0))*VLOOKUP(B763,'2-Kosten per locatie'!$A$14:$C$61,3,FALSE)</f>
        <v>#DIV/0!</v>
      </c>
      <c r="Q763" s="410">
        <f>IF(N763&gt;0,N763*K763/T763,0)*VLOOKUP(B763,'2-Kosten per locatie'!$A$14:$C$61,3,FALSE)</f>
        <v>0</v>
      </c>
      <c r="R763" s="410">
        <f>IF(O763&gt;0,O763*K763/U763,0)*VLOOKUP(B763,'2-Kosten per locatie'!$A$14:$C$61,3,FALSE)</f>
        <v>0</v>
      </c>
      <c r="S763" s="411">
        <f>IF(M763="nio",0,IF(M763&gt;0,VLOOKUP(I763,'3-Productie normen'!A:P,VLOOKUP(M763,'3-Productie normen'!$B$38:$C$48,2,FALSE),FALSE)))</f>
        <v>0</v>
      </c>
      <c r="T763" s="411">
        <f t="shared" si="58"/>
        <v>0</v>
      </c>
      <c r="U763" s="411">
        <f t="shared" si="61"/>
        <v>0</v>
      </c>
      <c r="V763" s="412"/>
      <c r="X763" s="413">
        <f t="shared" si="59"/>
        <v>4715</v>
      </c>
    </row>
    <row r="764" spans="1:24" ht="14.1" customHeight="1">
      <c r="A764" s="70">
        <f t="shared" si="60"/>
        <v>764</v>
      </c>
      <c r="B764" s="423" t="s">
        <v>78</v>
      </c>
      <c r="C764" s="423" t="s">
        <v>679</v>
      </c>
      <c r="D764" s="354" t="s">
        <v>165</v>
      </c>
      <c r="E764" s="404" t="s">
        <v>520</v>
      </c>
      <c r="F764" s="404" t="s">
        <v>213</v>
      </c>
      <c r="G764" s="422" t="s">
        <v>180</v>
      </c>
      <c r="H764" s="399" t="s">
        <v>682</v>
      </c>
      <c r="I764" s="399" t="s">
        <v>119</v>
      </c>
      <c r="J764" s="399" t="s">
        <v>179</v>
      </c>
      <c r="K764" s="414">
        <v>13</v>
      </c>
      <c r="L764" s="408">
        <f t="shared" si="62"/>
        <v>230</v>
      </c>
      <c r="M764" s="409">
        <v>230</v>
      </c>
      <c r="N764" s="306"/>
      <c r="O764" s="409"/>
      <c r="P764" s="410" t="e">
        <f>IF(M764="nio",0,IF(M764&gt;0,M764*K764/S764,0))*VLOOKUP(B764,'2-Kosten per locatie'!$A$14:$C$61,3,FALSE)</f>
        <v>#DIV/0!</v>
      </c>
      <c r="Q764" s="410">
        <f>IF(N764&gt;0,N764*K764/T764,0)*VLOOKUP(B764,'2-Kosten per locatie'!$A$14:$C$61,3,FALSE)</f>
        <v>0</v>
      </c>
      <c r="R764" s="410">
        <f>IF(O764&gt;0,O764*K764/U764,0)*VLOOKUP(B764,'2-Kosten per locatie'!$A$14:$C$61,3,FALSE)</f>
        <v>0</v>
      </c>
      <c r="S764" s="411">
        <f>IF(M764="nio",0,IF(M764&gt;0,VLOOKUP(I764,'3-Productie normen'!A:P,VLOOKUP(M764,'3-Productie normen'!$B$38:$C$48,2,FALSE),FALSE)))</f>
        <v>0</v>
      </c>
      <c r="T764" s="411">
        <f t="shared" si="58"/>
        <v>0</v>
      </c>
      <c r="U764" s="411">
        <f t="shared" si="61"/>
        <v>0</v>
      </c>
      <c r="V764" s="412"/>
      <c r="X764" s="413">
        <f t="shared" si="59"/>
        <v>2990</v>
      </c>
    </row>
    <row r="765" spans="1:24" ht="14.1" customHeight="1">
      <c r="A765" s="70">
        <f t="shared" si="60"/>
        <v>765</v>
      </c>
      <c r="B765" s="423" t="s">
        <v>78</v>
      </c>
      <c r="C765" s="423" t="s">
        <v>679</v>
      </c>
      <c r="D765" s="354" t="s">
        <v>165</v>
      </c>
      <c r="E765" s="404" t="s">
        <v>520</v>
      </c>
      <c r="F765" s="404" t="s">
        <v>213</v>
      </c>
      <c r="G765" s="422" t="s">
        <v>182</v>
      </c>
      <c r="H765" s="399" t="s">
        <v>430</v>
      </c>
      <c r="I765" s="399" t="s">
        <v>124</v>
      </c>
      <c r="J765" s="399" t="s">
        <v>179</v>
      </c>
      <c r="K765" s="414">
        <v>9</v>
      </c>
      <c r="L765" s="408">
        <f t="shared" si="62"/>
        <v>0</v>
      </c>
      <c r="M765" s="409" t="s">
        <v>242</v>
      </c>
      <c r="N765" s="306"/>
      <c r="O765" s="409"/>
      <c r="P765" s="410">
        <f>IF(M765="nio",0,IF(M765&gt;0,M765*K765/S765,0))*VLOOKUP(B765,'2-Kosten per locatie'!$A$14:$C$61,3,FALSE)</f>
        <v>0</v>
      </c>
      <c r="Q765" s="410">
        <f>IF(N765&gt;0,N765*K765/T765,0)*VLOOKUP(B765,'2-Kosten per locatie'!$A$14:$C$61,3,FALSE)</f>
        <v>0</v>
      </c>
      <c r="R765" s="410">
        <f>IF(O765&gt;0,O765*K765/U765,0)*VLOOKUP(B765,'2-Kosten per locatie'!$A$14:$C$61,3,FALSE)</f>
        <v>0</v>
      </c>
      <c r="S765" s="411">
        <f>IF(M765="nio",0,IF(M765&gt;0,VLOOKUP(I765,'3-Productie normen'!A:P,VLOOKUP(M765,'3-Productie normen'!$B$38:$C$48,2,FALSE),FALSE)))</f>
        <v>0</v>
      </c>
      <c r="T765" s="411">
        <f t="shared" si="58"/>
        <v>0</v>
      </c>
      <c r="U765" s="411">
        <f t="shared" si="61"/>
        <v>0</v>
      </c>
      <c r="V765" s="412"/>
      <c r="X765" s="413">
        <f t="shared" si="59"/>
        <v>0</v>
      </c>
    </row>
    <row r="766" spans="1:24" ht="14.1" customHeight="1">
      <c r="A766" s="70">
        <f t="shared" si="60"/>
        <v>766</v>
      </c>
      <c r="B766" s="423" t="s">
        <v>78</v>
      </c>
      <c r="C766" s="423" t="s">
        <v>679</v>
      </c>
      <c r="D766" s="354" t="s">
        <v>165</v>
      </c>
      <c r="E766" s="404" t="s">
        <v>520</v>
      </c>
      <c r="F766" s="404" t="s">
        <v>213</v>
      </c>
      <c r="G766" s="422" t="s">
        <v>207</v>
      </c>
      <c r="H766" s="399" t="s">
        <v>439</v>
      </c>
      <c r="I766" s="399" t="s">
        <v>111</v>
      </c>
      <c r="J766" s="399" t="s">
        <v>179</v>
      </c>
      <c r="K766" s="414">
        <v>20</v>
      </c>
      <c r="L766" s="408">
        <f t="shared" si="62"/>
        <v>230</v>
      </c>
      <c r="M766" s="409">
        <v>230</v>
      </c>
      <c r="N766" s="306"/>
      <c r="O766" s="409"/>
      <c r="P766" s="410" t="e">
        <f>IF(M766="nio",0,IF(M766&gt;0,M766*K766/S766,0))*VLOOKUP(B766,'2-Kosten per locatie'!$A$14:$C$61,3,FALSE)</f>
        <v>#DIV/0!</v>
      </c>
      <c r="Q766" s="410">
        <f>IF(N766&gt;0,N766*K766/T766,0)*VLOOKUP(B766,'2-Kosten per locatie'!$A$14:$C$61,3,FALSE)</f>
        <v>0</v>
      </c>
      <c r="R766" s="410">
        <f>IF(O766&gt;0,O766*K766/U766,0)*VLOOKUP(B766,'2-Kosten per locatie'!$A$14:$C$61,3,FALSE)</f>
        <v>0</v>
      </c>
      <c r="S766" s="411">
        <f>IF(M766="nio",0,IF(M766&gt;0,VLOOKUP(I766,'3-Productie normen'!A:P,VLOOKUP(M766,'3-Productie normen'!$B$38:$C$48,2,FALSE),FALSE)))</f>
        <v>0</v>
      </c>
      <c r="T766" s="411">
        <f t="shared" si="58"/>
        <v>0</v>
      </c>
      <c r="U766" s="411">
        <f t="shared" si="61"/>
        <v>0</v>
      </c>
      <c r="V766" s="412"/>
      <c r="X766" s="413">
        <f t="shared" si="59"/>
        <v>4600</v>
      </c>
    </row>
    <row r="767" spans="1:24" ht="14.1" customHeight="1">
      <c r="A767" s="70">
        <f t="shared" si="60"/>
        <v>767</v>
      </c>
      <c r="B767" s="423" t="s">
        <v>78</v>
      </c>
      <c r="C767" s="423" t="s">
        <v>679</v>
      </c>
      <c r="D767" s="354" t="s">
        <v>165</v>
      </c>
      <c r="E767" s="404" t="s">
        <v>520</v>
      </c>
      <c r="F767" s="404" t="s">
        <v>213</v>
      </c>
      <c r="G767" s="422" t="s">
        <v>209</v>
      </c>
      <c r="H767" s="399" t="s">
        <v>682</v>
      </c>
      <c r="I767" s="399" t="s">
        <v>119</v>
      </c>
      <c r="J767" s="399" t="s">
        <v>179</v>
      </c>
      <c r="K767" s="414">
        <v>12</v>
      </c>
      <c r="L767" s="408">
        <f t="shared" si="62"/>
        <v>230</v>
      </c>
      <c r="M767" s="409">
        <v>230</v>
      </c>
      <c r="N767" s="306"/>
      <c r="O767" s="409"/>
      <c r="P767" s="410" t="e">
        <f>IF(M767="nio",0,IF(M767&gt;0,M767*K767/S767,0))*VLOOKUP(B767,'2-Kosten per locatie'!$A$14:$C$61,3,FALSE)</f>
        <v>#DIV/0!</v>
      </c>
      <c r="Q767" s="410">
        <f>IF(N767&gt;0,N767*K767/T767,0)*VLOOKUP(B767,'2-Kosten per locatie'!$A$14:$C$61,3,FALSE)</f>
        <v>0</v>
      </c>
      <c r="R767" s="410">
        <f>IF(O767&gt;0,O767*K767/U767,0)*VLOOKUP(B767,'2-Kosten per locatie'!$A$14:$C$61,3,FALSE)</f>
        <v>0</v>
      </c>
      <c r="S767" s="411">
        <f>IF(M767="nio",0,IF(M767&gt;0,VLOOKUP(I767,'3-Productie normen'!A:P,VLOOKUP(M767,'3-Productie normen'!$B$38:$C$48,2,FALSE),FALSE)))</f>
        <v>0</v>
      </c>
      <c r="T767" s="411">
        <f t="shared" si="58"/>
        <v>0</v>
      </c>
      <c r="U767" s="411">
        <f t="shared" si="61"/>
        <v>0</v>
      </c>
      <c r="V767" s="412"/>
      <c r="X767" s="413">
        <f t="shared" si="59"/>
        <v>2760</v>
      </c>
    </row>
    <row r="768" spans="1:24" ht="14.1" customHeight="1">
      <c r="A768" s="70">
        <f t="shared" si="60"/>
        <v>768</v>
      </c>
      <c r="B768" s="423" t="s">
        <v>78</v>
      </c>
      <c r="C768" s="423" t="s">
        <v>679</v>
      </c>
      <c r="D768" s="354" t="s">
        <v>165</v>
      </c>
      <c r="E768" s="404" t="s">
        <v>520</v>
      </c>
      <c r="F768" s="404" t="s">
        <v>213</v>
      </c>
      <c r="G768" s="422" t="s">
        <v>210</v>
      </c>
      <c r="H768" s="399" t="s">
        <v>439</v>
      </c>
      <c r="I768" s="399" t="s">
        <v>111</v>
      </c>
      <c r="J768" s="399" t="s">
        <v>179</v>
      </c>
      <c r="K768" s="414">
        <v>20.5</v>
      </c>
      <c r="L768" s="408">
        <f t="shared" si="62"/>
        <v>230</v>
      </c>
      <c r="M768" s="409">
        <v>230</v>
      </c>
      <c r="N768" s="306"/>
      <c r="O768" s="409"/>
      <c r="P768" s="410" t="e">
        <f>IF(M768="nio",0,IF(M768&gt;0,M768*K768/S768,0))*VLOOKUP(B768,'2-Kosten per locatie'!$A$14:$C$61,3,FALSE)</f>
        <v>#DIV/0!</v>
      </c>
      <c r="Q768" s="410">
        <f>IF(N768&gt;0,N768*K768/T768,0)*VLOOKUP(B768,'2-Kosten per locatie'!$A$14:$C$61,3,FALSE)</f>
        <v>0</v>
      </c>
      <c r="R768" s="410">
        <f>IF(O768&gt;0,O768*K768/U768,0)*VLOOKUP(B768,'2-Kosten per locatie'!$A$14:$C$61,3,FALSE)</f>
        <v>0</v>
      </c>
      <c r="S768" s="411">
        <f>IF(M768="nio",0,IF(M768&gt;0,VLOOKUP(I768,'3-Productie normen'!A:P,VLOOKUP(M768,'3-Productie normen'!$B$38:$C$48,2,FALSE),FALSE)))</f>
        <v>0</v>
      </c>
      <c r="T768" s="411">
        <f t="shared" si="58"/>
        <v>0</v>
      </c>
      <c r="U768" s="411">
        <f t="shared" si="61"/>
        <v>0</v>
      </c>
      <c r="V768" s="412"/>
      <c r="X768" s="413">
        <f t="shared" si="59"/>
        <v>4715</v>
      </c>
    </row>
    <row r="769" spans="1:24" ht="14.1" customHeight="1">
      <c r="A769" s="70">
        <f t="shared" si="60"/>
        <v>769</v>
      </c>
      <c r="B769" s="423" t="s">
        <v>78</v>
      </c>
      <c r="C769" s="423" t="s">
        <v>679</v>
      </c>
      <c r="D769" s="354" t="s">
        <v>165</v>
      </c>
      <c r="E769" s="404" t="s">
        <v>520</v>
      </c>
      <c r="F769" s="404" t="s">
        <v>213</v>
      </c>
      <c r="G769" s="422" t="s">
        <v>212</v>
      </c>
      <c r="H769" s="399" t="s">
        <v>682</v>
      </c>
      <c r="I769" s="399" t="s">
        <v>119</v>
      </c>
      <c r="J769" s="399" t="s">
        <v>179</v>
      </c>
      <c r="K769" s="414">
        <v>12</v>
      </c>
      <c r="L769" s="408">
        <f t="shared" si="62"/>
        <v>230</v>
      </c>
      <c r="M769" s="409">
        <v>230</v>
      </c>
      <c r="N769" s="306"/>
      <c r="O769" s="409"/>
      <c r="P769" s="410" t="e">
        <f>IF(M769="nio",0,IF(M769&gt;0,M769*K769/S769,0))*VLOOKUP(B769,'2-Kosten per locatie'!$A$14:$C$61,3,FALSE)</f>
        <v>#DIV/0!</v>
      </c>
      <c r="Q769" s="410">
        <f>IF(N769&gt;0,N769*K769/T769,0)*VLOOKUP(B769,'2-Kosten per locatie'!$A$14:$C$61,3,FALSE)</f>
        <v>0</v>
      </c>
      <c r="R769" s="410">
        <f>IF(O769&gt;0,O769*K769/U769,0)*VLOOKUP(B769,'2-Kosten per locatie'!$A$14:$C$61,3,FALSE)</f>
        <v>0</v>
      </c>
      <c r="S769" s="411">
        <f>IF(M769="nio",0,IF(M769&gt;0,VLOOKUP(I769,'3-Productie normen'!A:P,VLOOKUP(M769,'3-Productie normen'!$B$38:$C$48,2,FALSE),FALSE)))</f>
        <v>0</v>
      </c>
      <c r="T769" s="411">
        <f t="shared" si="58"/>
        <v>0</v>
      </c>
      <c r="U769" s="411">
        <f t="shared" si="61"/>
        <v>0</v>
      </c>
      <c r="V769" s="412"/>
      <c r="X769" s="413">
        <f t="shared" si="59"/>
        <v>2760</v>
      </c>
    </row>
    <row r="770" spans="1:24" ht="14.1" customHeight="1">
      <c r="A770" s="70">
        <f t="shared" si="60"/>
        <v>770</v>
      </c>
      <c r="B770" s="423" t="s">
        <v>78</v>
      </c>
      <c r="C770" s="423" t="s">
        <v>679</v>
      </c>
      <c r="D770" s="354" t="s">
        <v>165</v>
      </c>
      <c r="E770" s="404" t="s">
        <v>520</v>
      </c>
      <c r="F770" s="404" t="s">
        <v>213</v>
      </c>
      <c r="G770" s="422" t="s">
        <v>245</v>
      </c>
      <c r="H770" s="399" t="s">
        <v>206</v>
      </c>
      <c r="I770" s="399" t="s">
        <v>108</v>
      </c>
      <c r="J770" s="399" t="s">
        <v>179</v>
      </c>
      <c r="K770" s="414">
        <v>8</v>
      </c>
      <c r="L770" s="408">
        <f t="shared" si="62"/>
        <v>230</v>
      </c>
      <c r="M770" s="409">
        <v>230</v>
      </c>
      <c r="N770" s="306"/>
      <c r="O770" s="409"/>
      <c r="P770" s="410" t="e">
        <f>IF(M770="nio",0,IF(M770&gt;0,M770*K770/S770,0))*VLOOKUP(B770,'2-Kosten per locatie'!$A$14:$C$61,3,FALSE)</f>
        <v>#DIV/0!</v>
      </c>
      <c r="Q770" s="410">
        <f>IF(N770&gt;0,N770*K770/T770,0)*VLOOKUP(B770,'2-Kosten per locatie'!$A$14:$C$61,3,FALSE)</f>
        <v>0</v>
      </c>
      <c r="R770" s="410">
        <f>IF(O770&gt;0,O770*K770/U770,0)*VLOOKUP(B770,'2-Kosten per locatie'!$A$14:$C$61,3,FALSE)</f>
        <v>0</v>
      </c>
      <c r="S770" s="411">
        <f>IF(M770="nio",0,IF(M770&gt;0,VLOOKUP(I770,'3-Productie normen'!A:P,VLOOKUP(M770,'3-Productie normen'!$B$38:$C$48,2,FALSE),FALSE)))</f>
        <v>0</v>
      </c>
      <c r="T770" s="411">
        <f t="shared" si="58"/>
        <v>0</v>
      </c>
      <c r="U770" s="411">
        <f t="shared" si="61"/>
        <v>0</v>
      </c>
      <c r="V770" s="412"/>
      <c r="X770" s="413">
        <f t="shared" si="59"/>
        <v>1840</v>
      </c>
    </row>
    <row r="771" spans="1:24" ht="14.1" customHeight="1">
      <c r="A771" s="70">
        <f t="shared" si="60"/>
        <v>771</v>
      </c>
      <c r="B771" s="423" t="s">
        <v>78</v>
      </c>
      <c r="C771" s="423" t="s">
        <v>679</v>
      </c>
      <c r="D771" s="354" t="s">
        <v>165</v>
      </c>
      <c r="E771" s="404" t="s">
        <v>520</v>
      </c>
      <c r="F771" s="404" t="s">
        <v>213</v>
      </c>
      <c r="G771" s="422" t="s">
        <v>246</v>
      </c>
      <c r="H771" s="399" t="s">
        <v>683</v>
      </c>
      <c r="I771" s="399" t="s">
        <v>111</v>
      </c>
      <c r="J771" s="399" t="s">
        <v>179</v>
      </c>
      <c r="K771" s="414">
        <v>8.5</v>
      </c>
      <c r="L771" s="408">
        <f t="shared" si="62"/>
        <v>230</v>
      </c>
      <c r="M771" s="409">
        <v>230</v>
      </c>
      <c r="N771" s="306"/>
      <c r="O771" s="409"/>
      <c r="P771" s="410" t="e">
        <f>IF(M771="nio",0,IF(M771&gt;0,M771*K771/S771,0))*VLOOKUP(B771,'2-Kosten per locatie'!$A$14:$C$61,3,FALSE)</f>
        <v>#DIV/0!</v>
      </c>
      <c r="Q771" s="410">
        <f>IF(N771&gt;0,N771*K771/T771,0)*VLOOKUP(B771,'2-Kosten per locatie'!$A$14:$C$61,3,FALSE)</f>
        <v>0</v>
      </c>
      <c r="R771" s="410">
        <f>IF(O771&gt;0,O771*K771/U771,0)*VLOOKUP(B771,'2-Kosten per locatie'!$A$14:$C$61,3,FALSE)</f>
        <v>0</v>
      </c>
      <c r="S771" s="411">
        <f>IF(M771="nio",0,IF(M771&gt;0,VLOOKUP(I771,'3-Productie normen'!A:P,VLOOKUP(M771,'3-Productie normen'!$B$38:$C$48,2,FALSE),FALSE)))</f>
        <v>0</v>
      </c>
      <c r="T771" s="411">
        <f t="shared" si="58"/>
        <v>0</v>
      </c>
      <c r="U771" s="411">
        <f t="shared" si="61"/>
        <v>0</v>
      </c>
      <c r="V771" s="412"/>
      <c r="X771" s="413">
        <f t="shared" si="59"/>
        <v>1955</v>
      </c>
    </row>
    <row r="772" spans="1:24" ht="14.1" customHeight="1">
      <c r="A772" s="70">
        <f t="shared" si="60"/>
        <v>772</v>
      </c>
      <c r="B772" s="423" t="s">
        <v>78</v>
      </c>
      <c r="C772" s="423" t="s">
        <v>679</v>
      </c>
      <c r="D772" s="354" t="s">
        <v>165</v>
      </c>
      <c r="E772" s="404" t="s">
        <v>520</v>
      </c>
      <c r="F772" s="404" t="s">
        <v>213</v>
      </c>
      <c r="G772" s="422" t="s">
        <v>247</v>
      </c>
      <c r="H772" s="399" t="s">
        <v>683</v>
      </c>
      <c r="I772" s="399" t="s">
        <v>111</v>
      </c>
      <c r="J772" s="399" t="s">
        <v>179</v>
      </c>
      <c r="K772" s="414">
        <v>8.5</v>
      </c>
      <c r="L772" s="408">
        <f t="shared" si="62"/>
        <v>230</v>
      </c>
      <c r="M772" s="409">
        <v>230</v>
      </c>
      <c r="N772" s="306"/>
      <c r="O772" s="409"/>
      <c r="P772" s="410" t="e">
        <f>IF(M772="nio",0,IF(M772&gt;0,M772*K772/S772,0))*VLOOKUP(B772,'2-Kosten per locatie'!$A$14:$C$61,3,FALSE)</f>
        <v>#DIV/0!</v>
      </c>
      <c r="Q772" s="410">
        <f>IF(N772&gt;0,N772*K772/T772,0)*VLOOKUP(B772,'2-Kosten per locatie'!$A$14:$C$61,3,FALSE)</f>
        <v>0</v>
      </c>
      <c r="R772" s="410">
        <f>IF(O772&gt;0,O772*K772/U772,0)*VLOOKUP(B772,'2-Kosten per locatie'!$A$14:$C$61,3,FALSE)</f>
        <v>0</v>
      </c>
      <c r="S772" s="411">
        <f>IF(M772="nio",0,IF(M772&gt;0,VLOOKUP(I772,'3-Productie normen'!A:P,VLOOKUP(M772,'3-Productie normen'!$B$38:$C$48,2,FALSE),FALSE)))</f>
        <v>0</v>
      </c>
      <c r="T772" s="411">
        <f t="shared" si="58"/>
        <v>0</v>
      </c>
      <c r="U772" s="411">
        <f t="shared" si="61"/>
        <v>0</v>
      </c>
      <c r="V772" s="412"/>
      <c r="X772" s="413">
        <f t="shared" si="59"/>
        <v>1955</v>
      </c>
    </row>
    <row r="773" spans="1:24" ht="14.1" customHeight="1">
      <c r="A773" s="70">
        <f t="shared" si="60"/>
        <v>773</v>
      </c>
      <c r="B773" s="423" t="s">
        <v>78</v>
      </c>
      <c r="C773" s="423" t="s">
        <v>679</v>
      </c>
      <c r="D773" s="354" t="s">
        <v>165</v>
      </c>
      <c r="E773" s="404" t="s">
        <v>520</v>
      </c>
      <c r="F773" s="404" t="s">
        <v>213</v>
      </c>
      <c r="G773" s="422" t="s">
        <v>248</v>
      </c>
      <c r="H773" s="399" t="s">
        <v>439</v>
      </c>
      <c r="I773" s="399" t="s">
        <v>111</v>
      </c>
      <c r="J773" s="399" t="s">
        <v>179</v>
      </c>
      <c r="K773" s="414">
        <v>20.5</v>
      </c>
      <c r="L773" s="408">
        <f t="shared" si="62"/>
        <v>230</v>
      </c>
      <c r="M773" s="409">
        <v>230</v>
      </c>
      <c r="N773" s="306"/>
      <c r="O773" s="409"/>
      <c r="P773" s="410" t="e">
        <f>IF(M773="nio",0,IF(M773&gt;0,M773*K773/S773,0))*VLOOKUP(B773,'2-Kosten per locatie'!$A$14:$C$61,3,FALSE)</f>
        <v>#DIV/0!</v>
      </c>
      <c r="Q773" s="410">
        <f>IF(N773&gt;0,N773*K773/T773,0)*VLOOKUP(B773,'2-Kosten per locatie'!$A$14:$C$61,3,FALSE)</f>
        <v>0</v>
      </c>
      <c r="R773" s="410">
        <f>IF(O773&gt;0,O773*K773/U773,0)*VLOOKUP(B773,'2-Kosten per locatie'!$A$14:$C$61,3,FALSE)</f>
        <v>0</v>
      </c>
      <c r="S773" s="411">
        <f>IF(M773="nio",0,IF(M773&gt;0,VLOOKUP(I773,'3-Productie normen'!A:P,VLOOKUP(M773,'3-Productie normen'!$B$38:$C$48,2,FALSE),FALSE)))</f>
        <v>0</v>
      </c>
      <c r="T773" s="411">
        <f t="shared" si="58"/>
        <v>0</v>
      </c>
      <c r="U773" s="411">
        <f t="shared" si="61"/>
        <v>0</v>
      </c>
      <c r="V773" s="412"/>
      <c r="X773" s="413">
        <f t="shared" si="59"/>
        <v>4715</v>
      </c>
    </row>
    <row r="774" spans="1:24" ht="14.1" customHeight="1">
      <c r="A774" s="70">
        <f t="shared" si="60"/>
        <v>774</v>
      </c>
      <c r="B774" s="423" t="s">
        <v>78</v>
      </c>
      <c r="C774" s="423" t="s">
        <v>679</v>
      </c>
      <c r="D774" s="354" t="s">
        <v>165</v>
      </c>
      <c r="E774" s="404" t="s">
        <v>520</v>
      </c>
      <c r="F774" s="404" t="s">
        <v>213</v>
      </c>
      <c r="G774" s="422" t="s">
        <v>249</v>
      </c>
      <c r="H774" s="399" t="s">
        <v>682</v>
      </c>
      <c r="I774" s="399" t="s">
        <v>119</v>
      </c>
      <c r="J774" s="399" t="s">
        <v>179</v>
      </c>
      <c r="K774" s="414">
        <v>12</v>
      </c>
      <c r="L774" s="408">
        <f t="shared" si="62"/>
        <v>230</v>
      </c>
      <c r="M774" s="409">
        <v>230</v>
      </c>
      <c r="N774" s="306"/>
      <c r="O774" s="409"/>
      <c r="P774" s="410" t="e">
        <f>IF(M774="nio",0,IF(M774&gt;0,M774*K774/S774,0))*VLOOKUP(B774,'2-Kosten per locatie'!$A$14:$C$61,3,FALSE)</f>
        <v>#DIV/0!</v>
      </c>
      <c r="Q774" s="410">
        <f>IF(N774&gt;0,N774*K774/T774,0)*VLOOKUP(B774,'2-Kosten per locatie'!$A$14:$C$61,3,FALSE)</f>
        <v>0</v>
      </c>
      <c r="R774" s="410">
        <f>IF(O774&gt;0,O774*K774/U774,0)*VLOOKUP(B774,'2-Kosten per locatie'!$A$14:$C$61,3,FALSE)</f>
        <v>0</v>
      </c>
      <c r="S774" s="411">
        <f>IF(M774="nio",0,IF(M774&gt;0,VLOOKUP(I774,'3-Productie normen'!A:P,VLOOKUP(M774,'3-Productie normen'!$B$38:$C$48,2,FALSE),FALSE)))</f>
        <v>0</v>
      </c>
      <c r="T774" s="411">
        <f t="shared" si="58"/>
        <v>0</v>
      </c>
      <c r="U774" s="411">
        <f t="shared" si="61"/>
        <v>0</v>
      </c>
      <c r="V774" s="412"/>
      <c r="X774" s="413">
        <f t="shared" si="59"/>
        <v>2760</v>
      </c>
    </row>
    <row r="775" spans="1:24" ht="14.1" customHeight="1">
      <c r="A775" s="70">
        <f t="shared" si="60"/>
        <v>775</v>
      </c>
      <c r="B775" s="423" t="s">
        <v>78</v>
      </c>
      <c r="C775" s="423" t="s">
        <v>679</v>
      </c>
      <c r="D775" s="354" t="s">
        <v>165</v>
      </c>
      <c r="E775" s="404" t="s">
        <v>520</v>
      </c>
      <c r="F775" s="404" t="s">
        <v>213</v>
      </c>
      <c r="G775" s="422" t="s">
        <v>251</v>
      </c>
      <c r="H775" s="399" t="s">
        <v>439</v>
      </c>
      <c r="I775" s="399" t="s">
        <v>111</v>
      </c>
      <c r="J775" s="399" t="s">
        <v>179</v>
      </c>
      <c r="K775" s="414">
        <v>20.5</v>
      </c>
      <c r="L775" s="408">
        <f t="shared" si="62"/>
        <v>230</v>
      </c>
      <c r="M775" s="409">
        <v>230</v>
      </c>
      <c r="N775" s="306"/>
      <c r="O775" s="409"/>
      <c r="P775" s="410" t="e">
        <f>IF(M775="nio",0,IF(M775&gt;0,M775*K775/S775,0))*VLOOKUP(B775,'2-Kosten per locatie'!$A$14:$C$61,3,FALSE)</f>
        <v>#DIV/0!</v>
      </c>
      <c r="Q775" s="410">
        <f>IF(N775&gt;0,N775*K775/T775,0)*VLOOKUP(B775,'2-Kosten per locatie'!$A$14:$C$61,3,FALSE)</f>
        <v>0</v>
      </c>
      <c r="R775" s="410">
        <f>IF(O775&gt;0,O775*K775/U775,0)*VLOOKUP(B775,'2-Kosten per locatie'!$A$14:$C$61,3,FALSE)</f>
        <v>0</v>
      </c>
      <c r="S775" s="411">
        <f>IF(M775="nio",0,IF(M775&gt;0,VLOOKUP(I775,'3-Productie normen'!A:P,VLOOKUP(M775,'3-Productie normen'!$B$38:$C$48,2,FALSE),FALSE)))</f>
        <v>0</v>
      </c>
      <c r="T775" s="411">
        <f t="shared" si="58"/>
        <v>0</v>
      </c>
      <c r="U775" s="411">
        <f t="shared" si="61"/>
        <v>0</v>
      </c>
      <c r="V775" s="412"/>
      <c r="X775" s="413">
        <f t="shared" si="59"/>
        <v>4715</v>
      </c>
    </row>
    <row r="776" spans="1:24" ht="14.1" customHeight="1">
      <c r="A776" s="70">
        <f t="shared" si="60"/>
        <v>776</v>
      </c>
      <c r="B776" s="423" t="s">
        <v>78</v>
      </c>
      <c r="C776" s="423" t="s">
        <v>679</v>
      </c>
      <c r="D776" s="354" t="s">
        <v>165</v>
      </c>
      <c r="E776" s="404" t="s">
        <v>520</v>
      </c>
      <c r="F776" s="404" t="s">
        <v>213</v>
      </c>
      <c r="G776" s="422" t="s">
        <v>474</v>
      </c>
      <c r="H776" s="399" t="s">
        <v>682</v>
      </c>
      <c r="I776" s="399" t="s">
        <v>119</v>
      </c>
      <c r="J776" s="399" t="s">
        <v>179</v>
      </c>
      <c r="K776" s="414">
        <v>12</v>
      </c>
      <c r="L776" s="408">
        <f t="shared" si="62"/>
        <v>230</v>
      </c>
      <c r="M776" s="409">
        <v>230</v>
      </c>
      <c r="N776" s="306"/>
      <c r="O776" s="409"/>
      <c r="P776" s="410" t="e">
        <f>IF(M776="nio",0,IF(M776&gt;0,M776*K776/S776,0))*VLOOKUP(B776,'2-Kosten per locatie'!$A$14:$C$61,3,FALSE)</f>
        <v>#DIV/0!</v>
      </c>
      <c r="Q776" s="410">
        <f>IF(N776&gt;0,N776*K776/T776,0)*VLOOKUP(B776,'2-Kosten per locatie'!$A$14:$C$61,3,FALSE)</f>
        <v>0</v>
      </c>
      <c r="R776" s="410">
        <f>IF(O776&gt;0,O776*K776/U776,0)*VLOOKUP(B776,'2-Kosten per locatie'!$A$14:$C$61,3,FALSE)</f>
        <v>0</v>
      </c>
      <c r="S776" s="411">
        <f>IF(M776="nio",0,IF(M776&gt;0,VLOOKUP(I776,'3-Productie normen'!A:P,VLOOKUP(M776,'3-Productie normen'!$B$38:$C$48,2,FALSE),FALSE)))</f>
        <v>0</v>
      </c>
      <c r="T776" s="411">
        <f t="shared" si="58"/>
        <v>0</v>
      </c>
      <c r="U776" s="411">
        <f t="shared" si="61"/>
        <v>0</v>
      </c>
      <c r="V776" s="412"/>
      <c r="X776" s="413">
        <f t="shared" si="59"/>
        <v>2760</v>
      </c>
    </row>
    <row r="777" spans="1:24" ht="14.1" customHeight="1">
      <c r="A777" s="70">
        <f t="shared" si="60"/>
        <v>777</v>
      </c>
      <c r="B777" s="423" t="s">
        <v>78</v>
      </c>
      <c r="C777" s="423" t="s">
        <v>679</v>
      </c>
      <c r="D777" s="354" t="s">
        <v>165</v>
      </c>
      <c r="E777" s="404" t="s">
        <v>520</v>
      </c>
      <c r="F777" s="404" t="s">
        <v>213</v>
      </c>
      <c r="G777" s="422" t="s">
        <v>475</v>
      </c>
      <c r="H777" s="399" t="s">
        <v>206</v>
      </c>
      <c r="I777" s="399" t="s">
        <v>108</v>
      </c>
      <c r="J777" s="399" t="s">
        <v>179</v>
      </c>
      <c r="K777" s="414">
        <v>85</v>
      </c>
      <c r="L777" s="408">
        <f t="shared" si="62"/>
        <v>230</v>
      </c>
      <c r="M777" s="409">
        <v>230</v>
      </c>
      <c r="N777" s="306"/>
      <c r="O777" s="409"/>
      <c r="P777" s="410" t="e">
        <f>IF(M777="nio",0,IF(M777&gt;0,M777*K777/S777,0))*VLOOKUP(B777,'2-Kosten per locatie'!$A$14:$C$61,3,FALSE)</f>
        <v>#DIV/0!</v>
      </c>
      <c r="Q777" s="410">
        <f>IF(N777&gt;0,N777*K777/T777,0)*VLOOKUP(B777,'2-Kosten per locatie'!$A$14:$C$61,3,FALSE)</f>
        <v>0</v>
      </c>
      <c r="R777" s="410">
        <f>IF(O777&gt;0,O777*K777/U777,0)*VLOOKUP(B777,'2-Kosten per locatie'!$A$14:$C$61,3,FALSE)</f>
        <v>0</v>
      </c>
      <c r="S777" s="411">
        <f>IF(M777="nio",0,IF(M777&gt;0,VLOOKUP(I777,'3-Productie normen'!A:P,VLOOKUP(M777,'3-Productie normen'!$B$38:$C$48,2,FALSE),FALSE)))</f>
        <v>0</v>
      </c>
      <c r="T777" s="411">
        <f t="shared" si="58"/>
        <v>0</v>
      </c>
      <c r="U777" s="411">
        <f t="shared" si="61"/>
        <v>0</v>
      </c>
      <c r="V777" s="412"/>
      <c r="X777" s="413">
        <f t="shared" si="59"/>
        <v>19550</v>
      </c>
    </row>
    <row r="778" spans="1:24" ht="14.1" customHeight="1">
      <c r="A778" s="70">
        <f t="shared" si="60"/>
        <v>778</v>
      </c>
      <c r="B778" s="423" t="s">
        <v>78</v>
      </c>
      <c r="C778" s="423" t="s">
        <v>679</v>
      </c>
      <c r="D778" s="354" t="s">
        <v>165</v>
      </c>
      <c r="E778" s="404" t="s">
        <v>520</v>
      </c>
      <c r="F778" s="404" t="s">
        <v>213</v>
      </c>
      <c r="G778" s="422" t="s">
        <v>476</v>
      </c>
      <c r="H778" s="399" t="s">
        <v>684</v>
      </c>
      <c r="I778" s="399" t="s">
        <v>118</v>
      </c>
      <c r="J778" s="399" t="s">
        <v>179</v>
      </c>
      <c r="K778" s="414">
        <v>10</v>
      </c>
      <c r="L778" s="408">
        <f t="shared" si="62"/>
        <v>230</v>
      </c>
      <c r="M778" s="409">
        <v>230</v>
      </c>
      <c r="N778" s="306"/>
      <c r="O778" s="409"/>
      <c r="P778" s="410" t="e">
        <f>IF(M778="nio",0,IF(M778&gt;0,M778*K778/S778,0))*VLOOKUP(B778,'2-Kosten per locatie'!$A$14:$C$61,3,FALSE)</f>
        <v>#DIV/0!</v>
      </c>
      <c r="Q778" s="410">
        <f>IF(N778&gt;0,N778*K778/T778,0)*VLOOKUP(B778,'2-Kosten per locatie'!$A$14:$C$61,3,FALSE)</f>
        <v>0</v>
      </c>
      <c r="R778" s="410">
        <f>IF(O778&gt;0,O778*K778/U778,0)*VLOOKUP(B778,'2-Kosten per locatie'!$A$14:$C$61,3,FALSE)</f>
        <v>0</v>
      </c>
      <c r="S778" s="411">
        <f>IF(M778="nio",0,IF(M778&gt;0,VLOOKUP(I778,'3-Productie normen'!A:P,VLOOKUP(M778,'3-Productie normen'!$B$38:$C$48,2,FALSE),FALSE)))</f>
        <v>0</v>
      </c>
      <c r="T778" s="411">
        <f t="shared" ref="T778:T832" si="63">IF(N778&gt;0,S778*$T$8,0)</f>
        <v>0</v>
      </c>
      <c r="U778" s="411">
        <f t="shared" si="61"/>
        <v>0</v>
      </c>
      <c r="V778" s="412"/>
      <c r="X778" s="413">
        <f t="shared" ref="X778:X814" si="64">L778*K778</f>
        <v>2300</v>
      </c>
    </row>
    <row r="779" spans="1:24" ht="14.1" customHeight="1">
      <c r="A779" s="70">
        <f t="shared" ref="A779:A841" si="65">A778+1</f>
        <v>779</v>
      </c>
      <c r="B779" s="423" t="s">
        <v>78</v>
      </c>
      <c r="C779" s="423" t="s">
        <v>679</v>
      </c>
      <c r="D779" s="354" t="s">
        <v>165</v>
      </c>
      <c r="E779" s="404" t="s">
        <v>520</v>
      </c>
      <c r="F779" s="404" t="s">
        <v>213</v>
      </c>
      <c r="G779" s="422" t="s">
        <v>477</v>
      </c>
      <c r="H779" s="399" t="s">
        <v>230</v>
      </c>
      <c r="I779" s="399" t="s">
        <v>106</v>
      </c>
      <c r="J779" s="399" t="s">
        <v>179</v>
      </c>
      <c r="K779" s="414">
        <v>1.5</v>
      </c>
      <c r="L779" s="408">
        <f t="shared" si="62"/>
        <v>230</v>
      </c>
      <c r="M779" s="409">
        <v>230</v>
      </c>
      <c r="N779" s="306"/>
      <c r="O779" s="409"/>
      <c r="P779" s="410" t="e">
        <f>IF(M779="nio",0,IF(M779&gt;0,M779*K779/S779,0))*VLOOKUP(B779,'2-Kosten per locatie'!$A$14:$C$61,3,FALSE)</f>
        <v>#DIV/0!</v>
      </c>
      <c r="Q779" s="410">
        <f>IF(N779&gt;0,N779*K779/T779,0)*VLOOKUP(B779,'2-Kosten per locatie'!$A$14:$C$61,3,FALSE)</f>
        <v>0</v>
      </c>
      <c r="R779" s="410">
        <f>IF(O779&gt;0,O779*K779/U779,0)*VLOOKUP(B779,'2-Kosten per locatie'!$A$14:$C$61,3,FALSE)</f>
        <v>0</v>
      </c>
      <c r="S779" s="411">
        <f>IF(M779="nio",0,IF(M779&gt;0,VLOOKUP(I779,'3-Productie normen'!A:P,VLOOKUP(M779,'3-Productie normen'!$B$38:$C$48,2,FALSE),FALSE)))</f>
        <v>0</v>
      </c>
      <c r="T779" s="411">
        <f t="shared" si="63"/>
        <v>0</v>
      </c>
      <c r="U779" s="411">
        <f t="shared" si="61"/>
        <v>0</v>
      </c>
      <c r="V779" s="412"/>
      <c r="X779" s="413">
        <f t="shared" si="64"/>
        <v>345</v>
      </c>
    </row>
    <row r="780" spans="1:24" ht="14.1" customHeight="1">
      <c r="A780" s="70">
        <f t="shared" si="65"/>
        <v>780</v>
      </c>
      <c r="B780" s="423" t="s">
        <v>78</v>
      </c>
      <c r="C780" s="423" t="s">
        <v>679</v>
      </c>
      <c r="D780" s="354" t="s">
        <v>165</v>
      </c>
      <c r="E780" s="404" t="s">
        <v>520</v>
      </c>
      <c r="F780" s="404" t="s">
        <v>213</v>
      </c>
      <c r="G780" s="422" t="s">
        <v>478</v>
      </c>
      <c r="H780" s="399" t="s">
        <v>230</v>
      </c>
      <c r="I780" s="399" t="s">
        <v>106</v>
      </c>
      <c r="J780" s="399" t="s">
        <v>179</v>
      </c>
      <c r="K780" s="414">
        <v>1.5</v>
      </c>
      <c r="L780" s="408">
        <f t="shared" si="62"/>
        <v>230</v>
      </c>
      <c r="M780" s="409">
        <v>230</v>
      </c>
      <c r="N780" s="306"/>
      <c r="O780" s="409"/>
      <c r="P780" s="410" t="e">
        <f>IF(M780="nio",0,IF(M780&gt;0,M780*K780/S780,0))*VLOOKUP(B780,'2-Kosten per locatie'!$A$14:$C$61,3,FALSE)</f>
        <v>#DIV/0!</v>
      </c>
      <c r="Q780" s="410">
        <f>IF(N780&gt;0,N780*K780/T780,0)*VLOOKUP(B780,'2-Kosten per locatie'!$A$14:$C$61,3,FALSE)</f>
        <v>0</v>
      </c>
      <c r="R780" s="410">
        <f>IF(O780&gt;0,O780*K780/U780,0)*VLOOKUP(B780,'2-Kosten per locatie'!$A$14:$C$61,3,FALSE)</f>
        <v>0</v>
      </c>
      <c r="S780" s="411">
        <f>IF(M780="nio",0,IF(M780&gt;0,VLOOKUP(I780,'3-Productie normen'!A:P,VLOOKUP(M780,'3-Productie normen'!$B$38:$C$48,2,FALSE),FALSE)))</f>
        <v>0</v>
      </c>
      <c r="T780" s="411">
        <f t="shared" si="63"/>
        <v>0</v>
      </c>
      <c r="U780" s="411">
        <f t="shared" si="61"/>
        <v>0</v>
      </c>
      <c r="V780" s="412"/>
      <c r="X780" s="413">
        <f t="shared" si="64"/>
        <v>345</v>
      </c>
    </row>
    <row r="781" spans="1:24" ht="14.1" customHeight="1">
      <c r="A781" s="70">
        <f t="shared" si="65"/>
        <v>781</v>
      </c>
      <c r="B781" s="423" t="s">
        <v>78</v>
      </c>
      <c r="C781" s="423" t="s">
        <v>679</v>
      </c>
      <c r="D781" s="354" t="s">
        <v>165</v>
      </c>
      <c r="E781" s="404" t="s">
        <v>520</v>
      </c>
      <c r="F781" s="404" t="s">
        <v>213</v>
      </c>
      <c r="G781" s="422" t="s">
        <v>479</v>
      </c>
      <c r="H781" s="399" t="s">
        <v>444</v>
      </c>
      <c r="I781" s="399" t="s">
        <v>114</v>
      </c>
      <c r="J781" s="399" t="s">
        <v>179</v>
      </c>
      <c r="K781" s="414">
        <v>1400</v>
      </c>
      <c r="L781" s="408">
        <f t="shared" si="62"/>
        <v>230</v>
      </c>
      <c r="M781" s="409">
        <v>230</v>
      </c>
      <c r="N781" s="306"/>
      <c r="O781" s="409"/>
      <c r="P781" s="410" t="e">
        <f>IF(M781="nio",0,IF(M781&gt;0,M781*K781/S781,0))*VLOOKUP(B781,'2-Kosten per locatie'!$A$14:$C$61,3,FALSE)</f>
        <v>#DIV/0!</v>
      </c>
      <c r="Q781" s="410">
        <f>IF(N781&gt;0,N781*K781/T781,0)*VLOOKUP(B781,'2-Kosten per locatie'!$A$14:$C$61,3,FALSE)</f>
        <v>0</v>
      </c>
      <c r="R781" s="410">
        <f>IF(O781&gt;0,O781*K781/U781,0)*VLOOKUP(B781,'2-Kosten per locatie'!$A$14:$C$61,3,FALSE)</f>
        <v>0</v>
      </c>
      <c r="S781" s="411">
        <f>IF(M781="nio",0,IF(M781&gt;0,VLOOKUP(I781,'3-Productie normen'!A:P,VLOOKUP(M781,'3-Productie normen'!$B$38:$C$48,2,FALSE),FALSE)))</f>
        <v>0</v>
      </c>
      <c r="T781" s="411">
        <f t="shared" si="63"/>
        <v>0</v>
      </c>
      <c r="U781" s="411">
        <f t="shared" si="61"/>
        <v>0</v>
      </c>
      <c r="V781" s="412"/>
      <c r="X781" s="413">
        <f t="shared" si="64"/>
        <v>322000</v>
      </c>
    </row>
    <row r="782" spans="1:24" ht="14.1" customHeight="1">
      <c r="A782" s="70">
        <f t="shared" si="65"/>
        <v>782</v>
      </c>
      <c r="B782" s="423" t="s">
        <v>78</v>
      </c>
      <c r="C782" s="423" t="s">
        <v>679</v>
      </c>
      <c r="D782" s="354" t="s">
        <v>165</v>
      </c>
      <c r="E782" s="404" t="s">
        <v>520</v>
      </c>
      <c r="F782" s="404" t="s">
        <v>213</v>
      </c>
      <c r="G782" s="422" t="s">
        <v>480</v>
      </c>
      <c r="H782" s="399" t="s">
        <v>123</v>
      </c>
      <c r="I782" s="399" t="s">
        <v>123</v>
      </c>
      <c r="J782" s="399" t="s">
        <v>445</v>
      </c>
      <c r="K782" s="414">
        <v>42</v>
      </c>
      <c r="L782" s="408">
        <f t="shared" si="62"/>
        <v>230</v>
      </c>
      <c r="M782" s="409">
        <v>230</v>
      </c>
      <c r="N782" s="306"/>
      <c r="O782" s="409"/>
      <c r="P782" s="410" t="e">
        <f>IF(M782="nio",0,IF(M782&gt;0,M782*K782/S782,0))*VLOOKUP(B782,'2-Kosten per locatie'!$A$14:$C$61,3,FALSE)</f>
        <v>#DIV/0!</v>
      </c>
      <c r="Q782" s="410">
        <f>IF(N782&gt;0,N782*K782/T782,0)*VLOOKUP(B782,'2-Kosten per locatie'!$A$14:$C$61,3,FALSE)</f>
        <v>0</v>
      </c>
      <c r="R782" s="410">
        <f>IF(O782&gt;0,O782*K782/U782,0)*VLOOKUP(B782,'2-Kosten per locatie'!$A$14:$C$61,3,FALSE)</f>
        <v>0</v>
      </c>
      <c r="S782" s="411">
        <f>IF(M782="nio",0,IF(M782&gt;0,VLOOKUP(I782,'3-Productie normen'!A:P,VLOOKUP(M782,'3-Productie normen'!$B$38:$C$48,2,FALSE),FALSE)))</f>
        <v>0</v>
      </c>
      <c r="T782" s="411">
        <f t="shared" si="63"/>
        <v>0</v>
      </c>
      <c r="U782" s="411">
        <f t="shared" ref="U782:U841" si="66">IF(OR(O782&gt;0),S782*$U$8,0)</f>
        <v>0</v>
      </c>
      <c r="V782" s="412"/>
      <c r="X782" s="413">
        <f t="shared" si="64"/>
        <v>9660</v>
      </c>
    </row>
    <row r="783" spans="1:24" ht="14.1" customHeight="1">
      <c r="A783" s="70">
        <f t="shared" si="65"/>
        <v>783</v>
      </c>
      <c r="B783" s="423" t="s">
        <v>78</v>
      </c>
      <c r="C783" s="423" t="s">
        <v>679</v>
      </c>
      <c r="D783" s="354" t="s">
        <v>165</v>
      </c>
      <c r="E783" s="404" t="s">
        <v>520</v>
      </c>
      <c r="F783" s="404" t="s">
        <v>213</v>
      </c>
      <c r="G783" s="422" t="s">
        <v>481</v>
      </c>
      <c r="H783" s="399" t="s">
        <v>685</v>
      </c>
      <c r="I783" s="399" t="s">
        <v>108</v>
      </c>
      <c r="J783" s="399" t="s">
        <v>445</v>
      </c>
      <c r="K783" s="414">
        <v>8</v>
      </c>
      <c r="L783" s="408">
        <f t="shared" si="62"/>
        <v>230</v>
      </c>
      <c r="M783" s="409">
        <v>230</v>
      </c>
      <c r="N783" s="306"/>
      <c r="O783" s="409"/>
      <c r="P783" s="410" t="e">
        <f>IF(M783="nio",0,IF(M783&gt;0,M783*K783/S783,0))*VLOOKUP(B783,'2-Kosten per locatie'!$A$14:$C$61,3,FALSE)</f>
        <v>#DIV/0!</v>
      </c>
      <c r="Q783" s="410">
        <f>IF(N783&gt;0,N783*K783/T783,0)*VLOOKUP(B783,'2-Kosten per locatie'!$A$14:$C$61,3,FALSE)</f>
        <v>0</v>
      </c>
      <c r="R783" s="410">
        <f>IF(O783&gt;0,O783*K783/U783,0)*VLOOKUP(B783,'2-Kosten per locatie'!$A$14:$C$61,3,FALSE)</f>
        <v>0</v>
      </c>
      <c r="S783" s="411">
        <f>IF(M783="nio",0,IF(M783&gt;0,VLOOKUP(I783,'3-Productie normen'!A:P,VLOOKUP(M783,'3-Productie normen'!$B$38:$C$48,2,FALSE),FALSE)))</f>
        <v>0</v>
      </c>
      <c r="T783" s="411">
        <f t="shared" si="63"/>
        <v>0</v>
      </c>
      <c r="U783" s="411">
        <f t="shared" si="66"/>
        <v>0</v>
      </c>
      <c r="V783" s="412"/>
      <c r="X783" s="413">
        <f t="shared" si="64"/>
        <v>1840</v>
      </c>
    </row>
    <row r="784" spans="1:24" ht="14.1" customHeight="1">
      <c r="A784" s="70">
        <f t="shared" si="65"/>
        <v>784</v>
      </c>
      <c r="B784" s="423" t="s">
        <v>78</v>
      </c>
      <c r="C784" s="423" t="s">
        <v>679</v>
      </c>
      <c r="D784" s="354" t="s">
        <v>165</v>
      </c>
      <c r="E784" s="404" t="s">
        <v>520</v>
      </c>
      <c r="F784" s="404" t="s">
        <v>213</v>
      </c>
      <c r="G784" s="422" t="s">
        <v>482</v>
      </c>
      <c r="H784" s="399" t="s">
        <v>123</v>
      </c>
      <c r="I784" s="399" t="s">
        <v>123</v>
      </c>
      <c r="J784" s="399" t="s">
        <v>445</v>
      </c>
      <c r="K784" s="414">
        <v>51</v>
      </c>
      <c r="L784" s="408">
        <f t="shared" si="62"/>
        <v>230</v>
      </c>
      <c r="M784" s="409">
        <v>230</v>
      </c>
      <c r="N784" s="306"/>
      <c r="O784" s="409"/>
      <c r="P784" s="410" t="e">
        <f>IF(M784="nio",0,IF(M784&gt;0,M784*K784/S784,0))*VLOOKUP(B784,'2-Kosten per locatie'!$A$14:$C$61,3,FALSE)</f>
        <v>#DIV/0!</v>
      </c>
      <c r="Q784" s="410">
        <f>IF(N784&gt;0,N784*K784/T784,0)*VLOOKUP(B784,'2-Kosten per locatie'!$A$14:$C$61,3,FALSE)</f>
        <v>0</v>
      </c>
      <c r="R784" s="410">
        <f>IF(O784&gt;0,O784*K784/U784,0)*VLOOKUP(B784,'2-Kosten per locatie'!$A$14:$C$61,3,FALSE)</f>
        <v>0</v>
      </c>
      <c r="S784" s="411">
        <f>IF(M784="nio",0,IF(M784&gt;0,VLOOKUP(I784,'3-Productie normen'!A:P,VLOOKUP(M784,'3-Productie normen'!$B$38:$C$48,2,FALSE),FALSE)))</f>
        <v>0</v>
      </c>
      <c r="T784" s="411">
        <f t="shared" si="63"/>
        <v>0</v>
      </c>
      <c r="U784" s="411">
        <f t="shared" si="66"/>
        <v>0</v>
      </c>
      <c r="V784" s="412"/>
      <c r="X784" s="413">
        <f t="shared" si="64"/>
        <v>11730</v>
      </c>
    </row>
    <row r="785" spans="1:24" ht="14.1" customHeight="1">
      <c r="A785" s="70">
        <f t="shared" si="65"/>
        <v>785</v>
      </c>
      <c r="B785" s="423" t="s">
        <v>78</v>
      </c>
      <c r="C785" s="423" t="s">
        <v>679</v>
      </c>
      <c r="D785" s="354" t="s">
        <v>165</v>
      </c>
      <c r="E785" s="404" t="s">
        <v>520</v>
      </c>
      <c r="F785" s="404" t="s">
        <v>213</v>
      </c>
      <c r="G785" s="422" t="s">
        <v>483</v>
      </c>
      <c r="H785" s="399" t="s">
        <v>123</v>
      </c>
      <c r="I785" s="399" t="s">
        <v>123</v>
      </c>
      <c r="J785" s="399" t="s">
        <v>445</v>
      </c>
      <c r="K785" s="414">
        <v>51</v>
      </c>
      <c r="L785" s="408">
        <f t="shared" si="62"/>
        <v>230</v>
      </c>
      <c r="M785" s="409">
        <v>230</v>
      </c>
      <c r="N785" s="306"/>
      <c r="O785" s="409"/>
      <c r="P785" s="410" t="e">
        <f>IF(M785="nio",0,IF(M785&gt;0,M785*K785/S785,0))*VLOOKUP(B785,'2-Kosten per locatie'!$A$14:$C$61,3,FALSE)</f>
        <v>#DIV/0!</v>
      </c>
      <c r="Q785" s="410">
        <f>IF(N785&gt;0,N785*K785/T785,0)*VLOOKUP(B785,'2-Kosten per locatie'!$A$14:$C$61,3,FALSE)</f>
        <v>0</v>
      </c>
      <c r="R785" s="410">
        <f>IF(O785&gt;0,O785*K785/U785,0)*VLOOKUP(B785,'2-Kosten per locatie'!$A$14:$C$61,3,FALSE)</f>
        <v>0</v>
      </c>
      <c r="S785" s="411">
        <f>IF(M785="nio",0,IF(M785&gt;0,VLOOKUP(I785,'3-Productie normen'!A:P,VLOOKUP(M785,'3-Productie normen'!$B$38:$C$48,2,FALSE),FALSE)))</f>
        <v>0</v>
      </c>
      <c r="T785" s="411">
        <f t="shared" si="63"/>
        <v>0</v>
      </c>
      <c r="U785" s="411">
        <f t="shared" si="66"/>
        <v>0</v>
      </c>
      <c r="V785" s="412"/>
      <c r="X785" s="413">
        <f t="shared" si="64"/>
        <v>11730</v>
      </c>
    </row>
    <row r="786" spans="1:24" ht="14.1" customHeight="1">
      <c r="A786" s="70">
        <f t="shared" si="65"/>
        <v>786</v>
      </c>
      <c r="B786" s="423" t="s">
        <v>78</v>
      </c>
      <c r="C786" s="423" t="s">
        <v>679</v>
      </c>
      <c r="D786" s="354" t="s">
        <v>165</v>
      </c>
      <c r="E786" s="404" t="s">
        <v>520</v>
      </c>
      <c r="F786" s="404" t="s">
        <v>213</v>
      </c>
      <c r="G786" s="422" t="s">
        <v>484</v>
      </c>
      <c r="H786" s="399" t="s">
        <v>206</v>
      </c>
      <c r="I786" s="399" t="s">
        <v>108</v>
      </c>
      <c r="J786" s="399" t="s">
        <v>179</v>
      </c>
      <c r="K786" s="414">
        <v>45</v>
      </c>
      <c r="L786" s="408">
        <f t="shared" si="62"/>
        <v>230</v>
      </c>
      <c r="M786" s="409">
        <v>230</v>
      </c>
      <c r="N786" s="306"/>
      <c r="O786" s="409"/>
      <c r="P786" s="410" t="e">
        <f>IF(M786="nio",0,IF(M786&gt;0,M786*K786/S786,0))*VLOOKUP(B786,'2-Kosten per locatie'!$A$14:$C$61,3,FALSE)</f>
        <v>#DIV/0!</v>
      </c>
      <c r="Q786" s="410">
        <f>IF(N786&gt;0,N786*K786/T786,0)*VLOOKUP(B786,'2-Kosten per locatie'!$A$14:$C$61,3,FALSE)</f>
        <v>0</v>
      </c>
      <c r="R786" s="410">
        <f>IF(O786&gt;0,O786*K786/U786,0)*VLOOKUP(B786,'2-Kosten per locatie'!$A$14:$C$61,3,FALSE)</f>
        <v>0</v>
      </c>
      <c r="S786" s="411">
        <f>IF(M786="nio",0,IF(M786&gt;0,VLOOKUP(I786,'3-Productie normen'!A:P,VLOOKUP(M786,'3-Productie normen'!$B$38:$C$48,2,FALSE),FALSE)))</f>
        <v>0</v>
      </c>
      <c r="T786" s="411">
        <f t="shared" si="63"/>
        <v>0</v>
      </c>
      <c r="U786" s="411">
        <f t="shared" si="66"/>
        <v>0</v>
      </c>
      <c r="V786" s="412"/>
      <c r="X786" s="413">
        <f t="shared" si="64"/>
        <v>10350</v>
      </c>
    </row>
    <row r="787" spans="1:24" ht="14.1" customHeight="1">
      <c r="A787" s="70">
        <f t="shared" si="65"/>
        <v>787</v>
      </c>
      <c r="B787" s="423" t="s">
        <v>78</v>
      </c>
      <c r="C787" s="423" t="s">
        <v>679</v>
      </c>
      <c r="D787" s="354" t="s">
        <v>165</v>
      </c>
      <c r="E787" s="404" t="s">
        <v>520</v>
      </c>
      <c r="F787" s="404" t="s">
        <v>213</v>
      </c>
      <c r="G787" s="422" t="s">
        <v>485</v>
      </c>
      <c r="H787" s="399" t="s">
        <v>526</v>
      </c>
      <c r="I787" s="399" t="s">
        <v>106</v>
      </c>
      <c r="J787" s="399" t="s">
        <v>179</v>
      </c>
      <c r="K787" s="414">
        <v>85</v>
      </c>
      <c r="L787" s="408">
        <f t="shared" si="62"/>
        <v>230</v>
      </c>
      <c r="M787" s="409">
        <v>230</v>
      </c>
      <c r="N787" s="306"/>
      <c r="O787" s="409"/>
      <c r="P787" s="410" t="e">
        <f>IF(M787="nio",0,IF(M787&gt;0,M787*K787/S787,0))*VLOOKUP(B787,'2-Kosten per locatie'!$A$14:$C$61,3,FALSE)</f>
        <v>#DIV/0!</v>
      </c>
      <c r="Q787" s="410">
        <f>IF(N787&gt;0,N787*K787/T787,0)*VLOOKUP(B787,'2-Kosten per locatie'!$A$14:$C$61,3,FALSE)</f>
        <v>0</v>
      </c>
      <c r="R787" s="410">
        <f>IF(O787&gt;0,O787*K787/U787,0)*VLOOKUP(B787,'2-Kosten per locatie'!$A$14:$C$61,3,FALSE)</f>
        <v>0</v>
      </c>
      <c r="S787" s="411">
        <f>IF(M787="nio",0,IF(M787&gt;0,VLOOKUP(I787,'3-Productie normen'!A:P,VLOOKUP(M787,'3-Productie normen'!$B$38:$C$48,2,FALSE),FALSE)))</f>
        <v>0</v>
      </c>
      <c r="T787" s="411">
        <f t="shared" si="63"/>
        <v>0</v>
      </c>
      <c r="U787" s="411">
        <f t="shared" si="66"/>
        <v>0</v>
      </c>
      <c r="V787" s="412"/>
      <c r="X787" s="413">
        <f t="shared" si="64"/>
        <v>19550</v>
      </c>
    </row>
    <row r="788" spans="1:24" ht="14.1" customHeight="1">
      <c r="A788" s="70">
        <f t="shared" si="65"/>
        <v>788</v>
      </c>
      <c r="B788" s="423" t="s">
        <v>78</v>
      </c>
      <c r="C788" s="423" t="s">
        <v>679</v>
      </c>
      <c r="D788" s="354" t="s">
        <v>165</v>
      </c>
      <c r="E788" s="404" t="s">
        <v>520</v>
      </c>
      <c r="F788" s="404" t="s">
        <v>686</v>
      </c>
      <c r="G788" s="422" t="s">
        <v>257</v>
      </c>
      <c r="H788" s="399" t="s">
        <v>687</v>
      </c>
      <c r="I788" s="399" t="s">
        <v>114</v>
      </c>
      <c r="J788" s="399" t="s">
        <v>218</v>
      </c>
      <c r="K788" s="414">
        <v>169</v>
      </c>
      <c r="L788" s="408">
        <f t="shared" si="62"/>
        <v>230</v>
      </c>
      <c r="M788" s="409">
        <v>230</v>
      </c>
      <c r="N788" s="306"/>
      <c r="O788" s="409"/>
      <c r="P788" s="410" t="e">
        <f>IF(M788="nio",0,IF(M788&gt;0,M788*K788/S788,0))*VLOOKUP(B788,'2-Kosten per locatie'!$A$14:$C$61,3,FALSE)</f>
        <v>#DIV/0!</v>
      </c>
      <c r="Q788" s="410">
        <f>IF(N788&gt;0,N788*K788/T788,0)*VLOOKUP(B788,'2-Kosten per locatie'!$A$14:$C$61,3,FALSE)</f>
        <v>0</v>
      </c>
      <c r="R788" s="410">
        <f>IF(O788&gt;0,O788*K788/U788,0)*VLOOKUP(B788,'2-Kosten per locatie'!$A$14:$C$61,3,FALSE)</f>
        <v>0</v>
      </c>
      <c r="S788" s="411">
        <f>IF(M788="nio",0,IF(M788&gt;0,VLOOKUP(I788,'3-Productie normen'!A:P,VLOOKUP(M788,'3-Productie normen'!$B$38:$C$48,2,FALSE),FALSE)))</f>
        <v>0</v>
      </c>
      <c r="T788" s="411">
        <f t="shared" si="63"/>
        <v>0</v>
      </c>
      <c r="U788" s="411">
        <f t="shared" si="66"/>
        <v>0</v>
      </c>
      <c r="V788" s="412"/>
      <c r="X788" s="413">
        <f t="shared" si="64"/>
        <v>38870</v>
      </c>
    </row>
    <row r="789" spans="1:24" ht="14.1" customHeight="1">
      <c r="A789" s="70">
        <f t="shared" si="65"/>
        <v>789</v>
      </c>
      <c r="B789" s="423" t="s">
        <v>78</v>
      </c>
      <c r="C789" s="423" t="s">
        <v>679</v>
      </c>
      <c r="D789" s="354" t="s">
        <v>165</v>
      </c>
      <c r="E789" s="404" t="s">
        <v>520</v>
      </c>
      <c r="F789" s="404" t="s">
        <v>686</v>
      </c>
      <c r="G789" s="422" t="s">
        <v>688</v>
      </c>
      <c r="H789" s="399" t="s">
        <v>689</v>
      </c>
      <c r="I789" s="399" t="s">
        <v>105</v>
      </c>
      <c r="J789" s="399" t="s">
        <v>218</v>
      </c>
      <c r="K789" s="414">
        <v>8</v>
      </c>
      <c r="L789" s="408">
        <f t="shared" si="62"/>
        <v>230</v>
      </c>
      <c r="M789" s="409">
        <v>230</v>
      </c>
      <c r="N789" s="306"/>
      <c r="O789" s="409"/>
      <c r="P789" s="410" t="e">
        <f>IF(M789="nio",0,IF(M789&gt;0,M789*K789/S789,0))*VLOOKUP(B789,'2-Kosten per locatie'!$A$14:$C$61,3,FALSE)</f>
        <v>#DIV/0!</v>
      </c>
      <c r="Q789" s="410">
        <f>IF(N789&gt;0,N789*K789/T789,0)*VLOOKUP(B789,'2-Kosten per locatie'!$A$14:$C$61,3,FALSE)</f>
        <v>0</v>
      </c>
      <c r="R789" s="410">
        <f>IF(O789&gt;0,O789*K789/U789,0)*VLOOKUP(B789,'2-Kosten per locatie'!$A$14:$C$61,3,FALSE)</f>
        <v>0</v>
      </c>
      <c r="S789" s="411">
        <f>IF(M789="nio",0,IF(M789&gt;0,VLOOKUP(I789,'3-Productie normen'!A:P,VLOOKUP(M789,'3-Productie normen'!$B$38:$C$48,2,FALSE),FALSE)))</f>
        <v>0</v>
      </c>
      <c r="T789" s="411">
        <f t="shared" si="63"/>
        <v>0</v>
      </c>
      <c r="U789" s="411">
        <f t="shared" si="66"/>
        <v>0</v>
      </c>
      <c r="V789" s="412"/>
      <c r="X789" s="413">
        <f t="shared" si="64"/>
        <v>1840</v>
      </c>
    </row>
    <row r="790" spans="1:24" ht="14.1" customHeight="1">
      <c r="A790" s="70">
        <f t="shared" si="65"/>
        <v>790</v>
      </c>
      <c r="B790" s="423" t="s">
        <v>78</v>
      </c>
      <c r="C790" s="423" t="s">
        <v>679</v>
      </c>
      <c r="D790" s="354" t="s">
        <v>165</v>
      </c>
      <c r="E790" s="404" t="s">
        <v>520</v>
      </c>
      <c r="F790" s="404" t="s">
        <v>686</v>
      </c>
      <c r="G790" s="422" t="s">
        <v>258</v>
      </c>
      <c r="H790" s="399" t="s">
        <v>690</v>
      </c>
      <c r="I790" s="399" t="s">
        <v>108</v>
      </c>
      <c r="J790" s="399" t="s">
        <v>179</v>
      </c>
      <c r="K790" s="414">
        <v>69</v>
      </c>
      <c r="L790" s="408">
        <f t="shared" si="62"/>
        <v>230</v>
      </c>
      <c r="M790" s="409">
        <v>230</v>
      </c>
      <c r="N790" s="306"/>
      <c r="O790" s="409"/>
      <c r="P790" s="410" t="e">
        <f>IF(M790="nio",0,IF(M790&gt;0,M790*K790/S790,0))*VLOOKUP(B790,'2-Kosten per locatie'!$A$14:$C$61,3,FALSE)</f>
        <v>#DIV/0!</v>
      </c>
      <c r="Q790" s="410">
        <f>IF(N790&gt;0,N790*K790/T790,0)*VLOOKUP(B790,'2-Kosten per locatie'!$A$14:$C$61,3,FALSE)</f>
        <v>0</v>
      </c>
      <c r="R790" s="410">
        <f>IF(O790&gt;0,O790*K790/U790,0)*VLOOKUP(B790,'2-Kosten per locatie'!$A$14:$C$61,3,FALSE)</f>
        <v>0</v>
      </c>
      <c r="S790" s="411">
        <f>IF(M790="nio",0,IF(M790&gt;0,VLOOKUP(I790,'3-Productie normen'!A:P,VLOOKUP(M790,'3-Productie normen'!$B$38:$C$48,2,FALSE),FALSE)))</f>
        <v>0</v>
      </c>
      <c r="T790" s="411">
        <f t="shared" si="63"/>
        <v>0</v>
      </c>
      <c r="U790" s="411">
        <f t="shared" si="66"/>
        <v>0</v>
      </c>
      <c r="V790" s="412"/>
      <c r="X790" s="413">
        <f t="shared" si="64"/>
        <v>15870</v>
      </c>
    </row>
    <row r="791" spans="1:24" ht="14.1" customHeight="1">
      <c r="A791" s="70">
        <f t="shared" si="65"/>
        <v>791</v>
      </c>
      <c r="B791" s="423" t="s">
        <v>78</v>
      </c>
      <c r="C791" s="423" t="s">
        <v>679</v>
      </c>
      <c r="D791" s="354" t="s">
        <v>165</v>
      </c>
      <c r="E791" s="404" t="s">
        <v>520</v>
      </c>
      <c r="F791" s="404" t="s">
        <v>686</v>
      </c>
      <c r="G791" s="422" t="s">
        <v>259</v>
      </c>
      <c r="H791" s="399" t="s">
        <v>691</v>
      </c>
      <c r="I791" s="399" t="s">
        <v>106</v>
      </c>
      <c r="J791" s="399" t="s">
        <v>179</v>
      </c>
      <c r="K791" s="414">
        <v>6.5</v>
      </c>
      <c r="L791" s="408">
        <f t="shared" si="62"/>
        <v>230</v>
      </c>
      <c r="M791" s="409">
        <v>230</v>
      </c>
      <c r="N791" s="306"/>
      <c r="O791" s="409"/>
      <c r="P791" s="410" t="e">
        <f>IF(M791="nio",0,IF(M791&gt;0,M791*K791/S791,0))*VLOOKUP(B791,'2-Kosten per locatie'!$A$14:$C$61,3,FALSE)</f>
        <v>#DIV/0!</v>
      </c>
      <c r="Q791" s="410">
        <f>IF(N791&gt;0,N791*K791/T791,0)*VLOOKUP(B791,'2-Kosten per locatie'!$A$14:$C$61,3,FALSE)</f>
        <v>0</v>
      </c>
      <c r="R791" s="410">
        <f>IF(O791&gt;0,O791*K791/U791,0)*VLOOKUP(B791,'2-Kosten per locatie'!$A$14:$C$61,3,FALSE)</f>
        <v>0</v>
      </c>
      <c r="S791" s="411">
        <f>IF(M791="nio",0,IF(M791&gt;0,VLOOKUP(I791,'3-Productie normen'!A:P,VLOOKUP(M791,'3-Productie normen'!$B$38:$C$48,2,FALSE),FALSE)))</f>
        <v>0</v>
      </c>
      <c r="T791" s="411">
        <f t="shared" si="63"/>
        <v>0</v>
      </c>
      <c r="U791" s="411">
        <f t="shared" si="66"/>
        <v>0</v>
      </c>
      <c r="V791" s="412"/>
      <c r="X791" s="413">
        <f t="shared" si="64"/>
        <v>1495</v>
      </c>
    </row>
    <row r="792" spans="1:24" ht="14.1" customHeight="1">
      <c r="A792" s="70">
        <f t="shared" si="65"/>
        <v>792</v>
      </c>
      <c r="B792" s="423" t="s">
        <v>78</v>
      </c>
      <c r="C792" s="423" t="s">
        <v>679</v>
      </c>
      <c r="D792" s="354" t="s">
        <v>165</v>
      </c>
      <c r="E792" s="404" t="s">
        <v>520</v>
      </c>
      <c r="F792" s="404" t="s">
        <v>686</v>
      </c>
      <c r="G792" s="422" t="s">
        <v>260</v>
      </c>
      <c r="H792" s="399" t="s">
        <v>692</v>
      </c>
      <c r="I792" s="399" t="s">
        <v>106</v>
      </c>
      <c r="J792" s="399" t="s">
        <v>179</v>
      </c>
      <c r="K792" s="414">
        <v>6.5</v>
      </c>
      <c r="L792" s="408">
        <f t="shared" si="62"/>
        <v>230</v>
      </c>
      <c r="M792" s="409">
        <v>230</v>
      </c>
      <c r="N792" s="306"/>
      <c r="O792" s="409"/>
      <c r="P792" s="410" t="e">
        <f>IF(M792="nio",0,IF(M792&gt;0,M792*K792/S792,0))*VLOOKUP(B792,'2-Kosten per locatie'!$A$14:$C$61,3,FALSE)</f>
        <v>#DIV/0!</v>
      </c>
      <c r="Q792" s="410">
        <f>IF(N792&gt;0,N792*K792/T792,0)*VLOOKUP(B792,'2-Kosten per locatie'!$A$14:$C$61,3,FALSE)</f>
        <v>0</v>
      </c>
      <c r="R792" s="410">
        <f>IF(O792&gt;0,O792*K792/U792,0)*VLOOKUP(B792,'2-Kosten per locatie'!$A$14:$C$61,3,FALSE)</f>
        <v>0</v>
      </c>
      <c r="S792" s="411">
        <f>IF(M792="nio",0,IF(M792&gt;0,VLOOKUP(I792,'3-Productie normen'!A:P,VLOOKUP(M792,'3-Productie normen'!$B$38:$C$48,2,FALSE),FALSE)))</f>
        <v>0</v>
      </c>
      <c r="T792" s="411">
        <f t="shared" si="63"/>
        <v>0</v>
      </c>
      <c r="U792" s="411">
        <f t="shared" si="66"/>
        <v>0</v>
      </c>
      <c r="V792" s="412"/>
      <c r="X792" s="413">
        <f t="shared" si="64"/>
        <v>1495</v>
      </c>
    </row>
    <row r="793" spans="1:24" ht="14.1" customHeight="1">
      <c r="A793" s="70">
        <f t="shared" si="65"/>
        <v>793</v>
      </c>
      <c r="B793" s="399" t="s">
        <v>79</v>
      </c>
      <c r="C793" s="399" t="s">
        <v>693</v>
      </c>
      <c r="D793" s="354" t="s">
        <v>165</v>
      </c>
      <c r="E793" s="404" t="s">
        <v>444</v>
      </c>
      <c r="F793" s="404" t="s">
        <v>213</v>
      </c>
      <c r="G793" s="422" t="s">
        <v>191</v>
      </c>
      <c r="H793" s="399" t="s">
        <v>601</v>
      </c>
      <c r="I793" s="383" t="s">
        <v>108</v>
      </c>
      <c r="J793" s="399" t="s">
        <v>179</v>
      </c>
      <c r="K793" s="414">
        <v>6</v>
      </c>
      <c r="L793" s="408">
        <f t="shared" si="62"/>
        <v>230</v>
      </c>
      <c r="M793" s="409">
        <v>230</v>
      </c>
      <c r="N793" s="306"/>
      <c r="O793" s="409"/>
      <c r="P793" s="410" t="e">
        <f>IF(M793="nio",0,IF(M793&gt;0,M793*K793/S793,0))*VLOOKUP(B793,'2-Kosten per locatie'!$A$14:$C$61,3,FALSE)</f>
        <v>#DIV/0!</v>
      </c>
      <c r="Q793" s="410">
        <f>IF(N793&gt;0,N793*K793/T793,0)*VLOOKUP(B793,'2-Kosten per locatie'!$A$14:$C$61,3,FALSE)</f>
        <v>0</v>
      </c>
      <c r="R793" s="410">
        <f>IF(O793&gt;0,O793*K793/U793,0)*VLOOKUP(B793,'2-Kosten per locatie'!$A$14:$C$61,3,FALSE)</f>
        <v>0</v>
      </c>
      <c r="S793" s="411">
        <f>IF(M793="nio",0,IF(M793&gt;0,VLOOKUP(I793,'3-Productie normen'!A:P,VLOOKUP(M793,'3-Productie normen'!$B$38:$C$48,2,FALSE),FALSE)))</f>
        <v>0</v>
      </c>
      <c r="T793" s="411">
        <f t="shared" si="63"/>
        <v>0</v>
      </c>
      <c r="U793" s="411">
        <f t="shared" si="66"/>
        <v>0</v>
      </c>
      <c r="V793" s="412"/>
      <c r="X793" s="413">
        <f t="shared" si="64"/>
        <v>1380</v>
      </c>
    </row>
    <row r="794" spans="1:24" ht="14.1" customHeight="1">
      <c r="A794" s="70">
        <f t="shared" si="65"/>
        <v>794</v>
      </c>
      <c r="B794" s="399" t="s">
        <v>79</v>
      </c>
      <c r="C794" s="399" t="s">
        <v>693</v>
      </c>
      <c r="D794" s="354" t="s">
        <v>165</v>
      </c>
      <c r="E794" s="404" t="s">
        <v>444</v>
      </c>
      <c r="F794" s="404" t="s">
        <v>213</v>
      </c>
      <c r="G794" s="422" t="s">
        <v>694</v>
      </c>
      <c r="H794" s="399" t="s">
        <v>601</v>
      </c>
      <c r="I794" s="383" t="s">
        <v>108</v>
      </c>
      <c r="J794" s="399" t="s">
        <v>695</v>
      </c>
      <c r="K794" s="414">
        <v>2.5</v>
      </c>
      <c r="L794" s="408">
        <f t="shared" si="62"/>
        <v>230</v>
      </c>
      <c r="M794" s="409">
        <v>230</v>
      </c>
      <c r="N794" s="306"/>
      <c r="O794" s="409"/>
      <c r="P794" s="410" t="e">
        <f>IF(M794="nio",0,IF(M794&gt;0,M794*K794/S794,0))*VLOOKUP(B794,'2-Kosten per locatie'!$A$14:$C$61,3,FALSE)</f>
        <v>#DIV/0!</v>
      </c>
      <c r="Q794" s="410">
        <f>IF(N794&gt;0,N794*K794/T794,0)*VLOOKUP(B794,'2-Kosten per locatie'!$A$14:$C$61,3,FALSE)</f>
        <v>0</v>
      </c>
      <c r="R794" s="410">
        <f>IF(O794&gt;0,O794*K794/U794,0)*VLOOKUP(B794,'2-Kosten per locatie'!$A$14:$C$61,3,FALSE)</f>
        <v>0</v>
      </c>
      <c r="S794" s="411">
        <f>IF(M794="nio",0,IF(M794&gt;0,VLOOKUP(I794,'3-Productie normen'!A:P,VLOOKUP(M794,'3-Productie normen'!$B$38:$C$48,2,FALSE),FALSE)))</f>
        <v>0</v>
      </c>
      <c r="T794" s="411">
        <f t="shared" si="63"/>
        <v>0</v>
      </c>
      <c r="U794" s="411">
        <f t="shared" si="66"/>
        <v>0</v>
      </c>
      <c r="V794" s="412"/>
      <c r="X794" s="413">
        <f t="shared" si="64"/>
        <v>575</v>
      </c>
    </row>
    <row r="795" spans="1:24" ht="14.1" customHeight="1">
      <c r="A795" s="70">
        <f t="shared" si="65"/>
        <v>795</v>
      </c>
      <c r="B795" s="399" t="s">
        <v>79</v>
      </c>
      <c r="C795" s="399" t="s">
        <v>693</v>
      </c>
      <c r="D795" s="354" t="s">
        <v>165</v>
      </c>
      <c r="E795" s="404" t="s">
        <v>444</v>
      </c>
      <c r="F795" s="404" t="s">
        <v>213</v>
      </c>
      <c r="G795" s="422" t="s">
        <v>696</v>
      </c>
      <c r="H795" s="399" t="s">
        <v>601</v>
      </c>
      <c r="I795" s="383" t="s">
        <v>108</v>
      </c>
      <c r="J795" s="399" t="s">
        <v>697</v>
      </c>
      <c r="K795" s="414">
        <v>2.5</v>
      </c>
      <c r="L795" s="408">
        <f t="shared" si="62"/>
        <v>230</v>
      </c>
      <c r="M795" s="409">
        <v>230</v>
      </c>
      <c r="N795" s="306"/>
      <c r="O795" s="409"/>
      <c r="P795" s="410" t="e">
        <f>IF(M795="nio",0,IF(M795&gt;0,M795*K795/S795,0))*VLOOKUP(B795,'2-Kosten per locatie'!$A$14:$C$61,3,FALSE)</f>
        <v>#DIV/0!</v>
      </c>
      <c r="Q795" s="410">
        <f>IF(N795&gt;0,N795*K795/T795,0)*VLOOKUP(B795,'2-Kosten per locatie'!$A$14:$C$61,3,FALSE)</f>
        <v>0</v>
      </c>
      <c r="R795" s="410">
        <f>IF(O795&gt;0,O795*K795/U795,0)*VLOOKUP(B795,'2-Kosten per locatie'!$A$14:$C$61,3,FALSE)</f>
        <v>0</v>
      </c>
      <c r="S795" s="411">
        <f>IF(M795="nio",0,IF(M795&gt;0,VLOOKUP(I795,'3-Productie normen'!A:P,VLOOKUP(M795,'3-Productie normen'!$B$38:$C$48,2,FALSE),FALSE)))</f>
        <v>0</v>
      </c>
      <c r="T795" s="411">
        <f t="shared" si="63"/>
        <v>0</v>
      </c>
      <c r="U795" s="411">
        <f t="shared" si="66"/>
        <v>0</v>
      </c>
      <c r="V795" s="412"/>
      <c r="X795" s="413">
        <f t="shared" si="64"/>
        <v>575</v>
      </c>
    </row>
    <row r="796" spans="1:24" ht="14.1" customHeight="1">
      <c r="A796" s="70">
        <f t="shared" si="65"/>
        <v>796</v>
      </c>
      <c r="B796" s="399" t="s">
        <v>79</v>
      </c>
      <c r="C796" s="399" t="s">
        <v>693</v>
      </c>
      <c r="D796" s="354" t="s">
        <v>165</v>
      </c>
      <c r="E796" s="404" t="s">
        <v>444</v>
      </c>
      <c r="F796" s="404" t="s">
        <v>213</v>
      </c>
      <c r="G796" s="422" t="s">
        <v>194</v>
      </c>
      <c r="H796" s="399" t="s">
        <v>252</v>
      </c>
      <c r="I796" s="383" t="s">
        <v>108</v>
      </c>
      <c r="J796" s="399" t="s">
        <v>179</v>
      </c>
      <c r="K796" s="414">
        <v>95</v>
      </c>
      <c r="L796" s="408">
        <f t="shared" si="62"/>
        <v>230</v>
      </c>
      <c r="M796" s="409">
        <v>230</v>
      </c>
      <c r="N796" s="306"/>
      <c r="O796" s="409"/>
      <c r="P796" s="410" t="e">
        <f>IF(M796="nio",0,IF(M796&gt;0,M796*K796/S796,0))*VLOOKUP(B796,'2-Kosten per locatie'!$A$14:$C$61,3,FALSE)</f>
        <v>#DIV/0!</v>
      </c>
      <c r="Q796" s="410">
        <f>IF(N796&gt;0,N796*K796/T796,0)*VLOOKUP(B796,'2-Kosten per locatie'!$A$14:$C$61,3,FALSE)</f>
        <v>0</v>
      </c>
      <c r="R796" s="410">
        <f>IF(O796&gt;0,O796*K796/U796,0)*VLOOKUP(B796,'2-Kosten per locatie'!$A$14:$C$61,3,FALSE)</f>
        <v>0</v>
      </c>
      <c r="S796" s="411">
        <f>IF(M796="nio",0,IF(M796&gt;0,VLOOKUP(I796,'3-Productie normen'!A:P,VLOOKUP(M796,'3-Productie normen'!$B$38:$C$48,2,FALSE),FALSE)))</f>
        <v>0</v>
      </c>
      <c r="T796" s="411">
        <f t="shared" si="63"/>
        <v>0</v>
      </c>
      <c r="U796" s="411">
        <f t="shared" si="66"/>
        <v>0</v>
      </c>
      <c r="V796" s="412"/>
      <c r="X796" s="413">
        <f t="shared" si="64"/>
        <v>21850</v>
      </c>
    </row>
    <row r="797" spans="1:24" ht="14.1" customHeight="1">
      <c r="A797" s="70">
        <f t="shared" si="65"/>
        <v>797</v>
      </c>
      <c r="B797" s="399" t="s">
        <v>79</v>
      </c>
      <c r="C797" s="399" t="s">
        <v>693</v>
      </c>
      <c r="D797" s="354" t="s">
        <v>165</v>
      </c>
      <c r="E797" s="404" t="s">
        <v>444</v>
      </c>
      <c r="F797" s="404" t="s">
        <v>213</v>
      </c>
      <c r="G797" s="422" t="s">
        <v>199</v>
      </c>
      <c r="H797" s="399" t="s">
        <v>234</v>
      </c>
      <c r="I797" s="383" t="s">
        <v>105</v>
      </c>
      <c r="J797" s="399" t="s">
        <v>173</v>
      </c>
      <c r="K797" s="414">
        <v>9.5</v>
      </c>
      <c r="L797" s="408">
        <f t="shared" si="62"/>
        <v>230</v>
      </c>
      <c r="M797" s="409">
        <v>230</v>
      </c>
      <c r="N797" s="306"/>
      <c r="O797" s="409"/>
      <c r="P797" s="410" t="e">
        <f>IF(M797="nio",0,IF(M797&gt;0,M797*K797/S797,0))*VLOOKUP(B797,'2-Kosten per locatie'!$A$14:$C$61,3,FALSE)</f>
        <v>#DIV/0!</v>
      </c>
      <c r="Q797" s="410">
        <f>IF(N797&gt;0,N797*K797/T797,0)*VLOOKUP(B797,'2-Kosten per locatie'!$A$14:$C$61,3,FALSE)</f>
        <v>0</v>
      </c>
      <c r="R797" s="410">
        <f>IF(O797&gt;0,O797*K797/U797,0)*VLOOKUP(B797,'2-Kosten per locatie'!$A$14:$C$61,3,FALSE)</f>
        <v>0</v>
      </c>
      <c r="S797" s="411">
        <f>IF(M797="nio",0,IF(M797&gt;0,VLOOKUP(I797,'3-Productie normen'!A:P,VLOOKUP(M797,'3-Productie normen'!$B$38:$C$48,2,FALSE),FALSE)))</f>
        <v>0</v>
      </c>
      <c r="T797" s="411">
        <f t="shared" si="63"/>
        <v>0</v>
      </c>
      <c r="U797" s="411">
        <f t="shared" si="66"/>
        <v>0</v>
      </c>
      <c r="V797" s="412"/>
      <c r="X797" s="413">
        <f t="shared" si="64"/>
        <v>2185</v>
      </c>
    </row>
    <row r="798" spans="1:24" ht="14.1" customHeight="1">
      <c r="A798" s="70">
        <f t="shared" si="65"/>
        <v>798</v>
      </c>
      <c r="B798" s="399" t="s">
        <v>79</v>
      </c>
      <c r="C798" s="399" t="s">
        <v>693</v>
      </c>
      <c r="D798" s="354" t="s">
        <v>165</v>
      </c>
      <c r="E798" s="404" t="s">
        <v>444</v>
      </c>
      <c r="F798" s="404" t="s">
        <v>213</v>
      </c>
      <c r="G798" s="422" t="s">
        <v>202</v>
      </c>
      <c r="H798" s="399" t="s">
        <v>430</v>
      </c>
      <c r="I798" s="399" t="s">
        <v>124</v>
      </c>
      <c r="J798" s="399" t="s">
        <v>179</v>
      </c>
      <c r="K798" s="399"/>
      <c r="L798" s="408">
        <f t="shared" si="62"/>
        <v>0</v>
      </c>
      <c r="M798" s="409" t="s">
        <v>242</v>
      </c>
      <c r="N798" s="306"/>
      <c r="O798" s="409"/>
      <c r="P798" s="410">
        <f>IF(M798="nio",0,IF(M798&gt;0,M798*K798/S798,0))*VLOOKUP(B798,'2-Kosten per locatie'!$A$14:$C$61,3,FALSE)</f>
        <v>0</v>
      </c>
      <c r="Q798" s="410">
        <f>IF(N798&gt;0,N798*K798/T798,0)*VLOOKUP(B798,'2-Kosten per locatie'!$A$14:$C$61,3,FALSE)</f>
        <v>0</v>
      </c>
      <c r="R798" s="410">
        <f>IF(O798&gt;0,O798*K798/U798,0)*VLOOKUP(B798,'2-Kosten per locatie'!$A$14:$C$61,3,FALSE)</f>
        <v>0</v>
      </c>
      <c r="S798" s="411">
        <f>IF(M798="nio",0,IF(M798&gt;0,VLOOKUP(I798,'3-Productie normen'!A:P,VLOOKUP(M798,'3-Productie normen'!$B$38:$C$48,2,FALSE),FALSE)))</f>
        <v>0</v>
      </c>
      <c r="T798" s="411">
        <f t="shared" si="63"/>
        <v>0</v>
      </c>
      <c r="U798" s="411">
        <f t="shared" si="66"/>
        <v>0</v>
      </c>
      <c r="V798" s="412"/>
      <c r="X798" s="413">
        <f t="shared" si="64"/>
        <v>0</v>
      </c>
    </row>
    <row r="799" spans="1:24" ht="14.1" customHeight="1">
      <c r="A799" s="70">
        <f t="shared" si="65"/>
        <v>799</v>
      </c>
      <c r="B799" s="399" t="s">
        <v>79</v>
      </c>
      <c r="C799" s="399" t="s">
        <v>693</v>
      </c>
      <c r="D799" s="354" t="s">
        <v>165</v>
      </c>
      <c r="E799" s="404" t="s">
        <v>444</v>
      </c>
      <c r="F799" s="404" t="s">
        <v>213</v>
      </c>
      <c r="G799" s="422" t="s">
        <v>204</v>
      </c>
      <c r="H799" s="399" t="s">
        <v>206</v>
      </c>
      <c r="I799" s="383" t="s">
        <v>108</v>
      </c>
      <c r="J799" s="399" t="s">
        <v>698</v>
      </c>
      <c r="K799" s="399">
        <v>89.5</v>
      </c>
      <c r="L799" s="408">
        <f t="shared" si="62"/>
        <v>230</v>
      </c>
      <c r="M799" s="409">
        <v>230</v>
      </c>
      <c r="N799" s="306"/>
      <c r="O799" s="409"/>
      <c r="P799" s="410" t="e">
        <f>IF(M799="nio",0,IF(M799&gt;0,M799*K799/S799,0))*VLOOKUP(B799,'2-Kosten per locatie'!$A$14:$C$61,3,FALSE)</f>
        <v>#DIV/0!</v>
      </c>
      <c r="Q799" s="410">
        <f>IF(N799&gt;0,N799*K799/T799,0)*VLOOKUP(B799,'2-Kosten per locatie'!$A$14:$C$61,3,FALSE)</f>
        <v>0</v>
      </c>
      <c r="R799" s="410">
        <f>IF(O799&gt;0,O799*K799/U799,0)*VLOOKUP(B799,'2-Kosten per locatie'!$A$14:$C$61,3,FALSE)</f>
        <v>0</v>
      </c>
      <c r="S799" s="411">
        <f>IF(M799="nio",0,IF(M799&gt;0,VLOOKUP(I799,'3-Productie normen'!A:P,VLOOKUP(M799,'3-Productie normen'!$B$38:$C$48,2,FALSE),FALSE)))</f>
        <v>0</v>
      </c>
      <c r="T799" s="411">
        <f t="shared" si="63"/>
        <v>0</v>
      </c>
      <c r="U799" s="411">
        <f t="shared" si="66"/>
        <v>0</v>
      </c>
      <c r="V799" s="412"/>
      <c r="X799" s="413">
        <f t="shared" si="64"/>
        <v>20585</v>
      </c>
    </row>
    <row r="800" spans="1:24" ht="14.1" customHeight="1">
      <c r="A800" s="70">
        <f t="shared" si="65"/>
        <v>800</v>
      </c>
      <c r="B800" s="399" t="s">
        <v>79</v>
      </c>
      <c r="C800" s="399" t="s">
        <v>693</v>
      </c>
      <c r="D800" s="354" t="s">
        <v>165</v>
      </c>
      <c r="E800" s="404" t="s">
        <v>444</v>
      </c>
      <c r="F800" s="404" t="s">
        <v>213</v>
      </c>
      <c r="G800" s="422" t="s">
        <v>205</v>
      </c>
      <c r="H800" s="399" t="s">
        <v>206</v>
      </c>
      <c r="I800" s="383" t="s">
        <v>108</v>
      </c>
      <c r="J800" s="399" t="s">
        <v>698</v>
      </c>
      <c r="K800" s="399">
        <v>27</v>
      </c>
      <c r="L800" s="408">
        <f t="shared" si="62"/>
        <v>230</v>
      </c>
      <c r="M800" s="409">
        <v>230</v>
      </c>
      <c r="N800" s="306"/>
      <c r="O800" s="409"/>
      <c r="P800" s="410" t="e">
        <f>IF(M800="nio",0,IF(M800&gt;0,M800*K800/S800,0))*VLOOKUP(B800,'2-Kosten per locatie'!$A$14:$C$61,3,FALSE)</f>
        <v>#DIV/0!</v>
      </c>
      <c r="Q800" s="410">
        <f>IF(N800&gt;0,N800*K800/T800,0)*VLOOKUP(B800,'2-Kosten per locatie'!$A$14:$C$61,3,FALSE)</f>
        <v>0</v>
      </c>
      <c r="R800" s="410">
        <f>IF(O800&gt;0,O800*K800/U800,0)*VLOOKUP(B800,'2-Kosten per locatie'!$A$14:$C$61,3,FALSE)</f>
        <v>0</v>
      </c>
      <c r="S800" s="411">
        <f>IF(M800="nio",0,IF(M800&gt;0,VLOOKUP(I800,'3-Productie normen'!A:P,VLOOKUP(M800,'3-Productie normen'!$B$38:$C$48,2,FALSE),FALSE)))</f>
        <v>0</v>
      </c>
      <c r="T800" s="411">
        <f t="shared" si="63"/>
        <v>0</v>
      </c>
      <c r="U800" s="411">
        <f t="shared" si="66"/>
        <v>0</v>
      </c>
      <c r="V800" s="412"/>
      <c r="X800" s="413">
        <f t="shared" si="64"/>
        <v>6210</v>
      </c>
    </row>
    <row r="801" spans="1:24" ht="14.1" customHeight="1">
      <c r="A801" s="70">
        <f t="shared" si="65"/>
        <v>801</v>
      </c>
      <c r="B801" s="399" t="s">
        <v>79</v>
      </c>
      <c r="C801" s="399" t="s">
        <v>693</v>
      </c>
      <c r="D801" s="354" t="s">
        <v>165</v>
      </c>
      <c r="E801" s="404" t="s">
        <v>444</v>
      </c>
      <c r="F801" s="404" t="s">
        <v>213</v>
      </c>
      <c r="G801" s="422" t="s">
        <v>180</v>
      </c>
      <c r="H801" s="399" t="s">
        <v>123</v>
      </c>
      <c r="I801" s="387" t="s">
        <v>123</v>
      </c>
      <c r="J801" s="399" t="s">
        <v>218</v>
      </c>
      <c r="K801" s="399">
        <v>40</v>
      </c>
      <c r="L801" s="408">
        <f t="shared" si="62"/>
        <v>230</v>
      </c>
      <c r="M801" s="409">
        <v>230</v>
      </c>
      <c r="N801" s="306"/>
      <c r="O801" s="409"/>
      <c r="P801" s="410" t="e">
        <f>IF(M801="nio",0,IF(M801&gt;0,M801*K801/S801,0))*VLOOKUP(B801,'2-Kosten per locatie'!$A$14:$C$61,3,FALSE)</f>
        <v>#DIV/0!</v>
      </c>
      <c r="Q801" s="410">
        <f>IF(N801&gt;0,N801*K801/T801,0)*VLOOKUP(B801,'2-Kosten per locatie'!$A$14:$C$61,3,FALSE)</f>
        <v>0</v>
      </c>
      <c r="R801" s="410">
        <f>IF(O801&gt;0,O801*K801/U801,0)*VLOOKUP(B801,'2-Kosten per locatie'!$A$14:$C$61,3,FALSE)</f>
        <v>0</v>
      </c>
      <c r="S801" s="411">
        <f>IF(M801="nio",0,IF(M801&gt;0,VLOOKUP(I801,'3-Productie normen'!A:P,VLOOKUP(M801,'3-Productie normen'!$B$38:$C$48,2,FALSE),FALSE)))</f>
        <v>0</v>
      </c>
      <c r="T801" s="411">
        <f t="shared" si="63"/>
        <v>0</v>
      </c>
      <c r="U801" s="411">
        <f t="shared" si="66"/>
        <v>0</v>
      </c>
      <c r="V801" s="412"/>
      <c r="X801" s="413">
        <f t="shared" si="64"/>
        <v>9200</v>
      </c>
    </row>
    <row r="802" spans="1:24" ht="14.1" customHeight="1">
      <c r="A802" s="70">
        <f t="shared" si="65"/>
        <v>802</v>
      </c>
      <c r="B802" s="399" t="s">
        <v>79</v>
      </c>
      <c r="C802" s="399" t="s">
        <v>693</v>
      </c>
      <c r="D802" s="354" t="s">
        <v>165</v>
      </c>
      <c r="E802" s="404" t="s">
        <v>444</v>
      </c>
      <c r="F802" s="404" t="s">
        <v>213</v>
      </c>
      <c r="G802" s="422" t="s">
        <v>699</v>
      </c>
      <c r="H802" s="399" t="s">
        <v>700</v>
      </c>
      <c r="I802" s="383" t="s">
        <v>108</v>
      </c>
      <c r="J802" s="399" t="s">
        <v>185</v>
      </c>
      <c r="K802" s="399">
        <v>14</v>
      </c>
      <c r="L802" s="408">
        <f t="shared" si="62"/>
        <v>230</v>
      </c>
      <c r="M802" s="409">
        <v>230</v>
      </c>
      <c r="N802" s="306"/>
      <c r="O802" s="409"/>
      <c r="P802" s="410" t="e">
        <f>IF(M802="nio",0,IF(M802&gt;0,M802*K802/S802,0))*VLOOKUP(B802,'2-Kosten per locatie'!$A$14:$C$61,3,FALSE)</f>
        <v>#DIV/0!</v>
      </c>
      <c r="Q802" s="410">
        <f>IF(N802&gt;0,N802*K802/T802,0)*VLOOKUP(B802,'2-Kosten per locatie'!$A$14:$C$61,3,FALSE)</f>
        <v>0</v>
      </c>
      <c r="R802" s="410">
        <f>IF(O802&gt;0,O802*K802/U802,0)*VLOOKUP(B802,'2-Kosten per locatie'!$A$14:$C$61,3,FALSE)</f>
        <v>0</v>
      </c>
      <c r="S802" s="411">
        <f>IF(M802="nio",0,IF(M802&gt;0,VLOOKUP(I802,'3-Productie normen'!A:P,VLOOKUP(M802,'3-Productie normen'!$B$38:$C$48,2,FALSE),FALSE)))</f>
        <v>0</v>
      </c>
      <c r="T802" s="411">
        <f t="shared" si="63"/>
        <v>0</v>
      </c>
      <c r="U802" s="411">
        <f t="shared" si="66"/>
        <v>0</v>
      </c>
      <c r="V802" s="412"/>
      <c r="X802" s="413">
        <f t="shared" si="64"/>
        <v>3220</v>
      </c>
    </row>
    <row r="803" spans="1:24" ht="14.1" customHeight="1">
      <c r="A803" s="70">
        <f t="shared" si="65"/>
        <v>803</v>
      </c>
      <c r="B803" s="399" t="s">
        <v>79</v>
      </c>
      <c r="C803" s="399" t="s">
        <v>693</v>
      </c>
      <c r="D803" s="354" t="s">
        <v>165</v>
      </c>
      <c r="E803" s="404" t="s">
        <v>444</v>
      </c>
      <c r="F803" s="404" t="s">
        <v>213</v>
      </c>
      <c r="G803" s="422" t="s">
        <v>182</v>
      </c>
      <c r="H803" s="399" t="s">
        <v>438</v>
      </c>
      <c r="I803" s="399" t="s">
        <v>114</v>
      </c>
      <c r="J803" s="399" t="s">
        <v>514</v>
      </c>
      <c r="K803" s="399">
        <v>209</v>
      </c>
      <c r="L803" s="408">
        <f t="shared" si="62"/>
        <v>276</v>
      </c>
      <c r="M803" s="409">
        <v>230</v>
      </c>
      <c r="N803" s="306"/>
      <c r="O803" s="409">
        <v>46</v>
      </c>
      <c r="P803" s="410" t="e">
        <f>IF(M803="nio",0,IF(M803&gt;0,M803*K803/S803,0))*VLOOKUP(B803,'2-Kosten per locatie'!$A$14:$C$61,3,FALSE)</f>
        <v>#DIV/0!</v>
      </c>
      <c r="Q803" s="410">
        <f>IF(N803&gt;0,N803*K803/T803,0)*VLOOKUP(B803,'2-Kosten per locatie'!$A$14:$C$61,3,FALSE)</f>
        <v>0</v>
      </c>
      <c r="R803" s="410" t="e">
        <f>IF(O803&gt;0,O803*K803/U803,0)*VLOOKUP(B803,'2-Kosten per locatie'!$A$14:$C$61,3,FALSE)</f>
        <v>#DIV/0!</v>
      </c>
      <c r="S803" s="411">
        <f>IF(M803="nio",0,IF(M803&gt;0,VLOOKUP(I803,'3-Productie normen'!A:P,VLOOKUP(M803,'3-Productie normen'!$B$38:$C$48,2,FALSE),FALSE)))</f>
        <v>0</v>
      </c>
      <c r="T803" s="411">
        <f t="shared" si="63"/>
        <v>0</v>
      </c>
      <c r="U803" s="411">
        <f t="shared" si="66"/>
        <v>0</v>
      </c>
      <c r="V803" s="412"/>
      <c r="X803" s="413">
        <f t="shared" si="64"/>
        <v>57684</v>
      </c>
    </row>
    <row r="804" spans="1:24" ht="14.1" customHeight="1">
      <c r="A804" s="70">
        <f t="shared" si="65"/>
        <v>804</v>
      </c>
      <c r="B804" s="399" t="s">
        <v>79</v>
      </c>
      <c r="C804" s="399" t="s">
        <v>693</v>
      </c>
      <c r="D804" s="354" t="s">
        <v>165</v>
      </c>
      <c r="E804" s="404" t="s">
        <v>444</v>
      </c>
      <c r="F804" s="404" t="s">
        <v>213</v>
      </c>
      <c r="G804" s="422" t="s">
        <v>207</v>
      </c>
      <c r="H804" s="399" t="s">
        <v>444</v>
      </c>
      <c r="I804" s="383" t="s">
        <v>114</v>
      </c>
      <c r="J804" s="399" t="s">
        <v>514</v>
      </c>
      <c r="K804" s="399">
        <v>450</v>
      </c>
      <c r="L804" s="408">
        <f t="shared" si="62"/>
        <v>276</v>
      </c>
      <c r="M804" s="409">
        <v>230</v>
      </c>
      <c r="N804" s="306"/>
      <c r="O804" s="409">
        <v>46</v>
      </c>
      <c r="P804" s="410" t="e">
        <f>IF(M804="nio",0,IF(M804&gt;0,M804*K804/S804,0))*VLOOKUP(B804,'2-Kosten per locatie'!$A$14:$C$61,3,FALSE)</f>
        <v>#DIV/0!</v>
      </c>
      <c r="Q804" s="410">
        <f>IF(N804&gt;0,N804*K804/T804,0)*VLOOKUP(B804,'2-Kosten per locatie'!$A$14:$C$61,3,FALSE)</f>
        <v>0</v>
      </c>
      <c r="R804" s="410" t="e">
        <f>IF(O804&gt;0,O804*K804/U804,0)*VLOOKUP(B804,'2-Kosten per locatie'!$A$14:$C$61,3,FALSE)</f>
        <v>#DIV/0!</v>
      </c>
      <c r="S804" s="411">
        <f>IF(M804="nio",0,IF(M804&gt;0,VLOOKUP(I804,'3-Productie normen'!A:P,VLOOKUP(M804,'3-Productie normen'!$B$38:$C$48,2,FALSE),FALSE)))</f>
        <v>0</v>
      </c>
      <c r="T804" s="411">
        <f t="shared" si="63"/>
        <v>0</v>
      </c>
      <c r="U804" s="411">
        <f t="shared" si="66"/>
        <v>0</v>
      </c>
      <c r="V804" s="412"/>
      <c r="X804" s="413">
        <f t="shared" si="64"/>
        <v>124200</v>
      </c>
    </row>
    <row r="805" spans="1:24" ht="14.1" customHeight="1">
      <c r="A805" s="70">
        <f t="shared" si="65"/>
        <v>805</v>
      </c>
      <c r="B805" s="399" t="s">
        <v>79</v>
      </c>
      <c r="C805" s="399" t="s">
        <v>693</v>
      </c>
      <c r="D805" s="354" t="s">
        <v>165</v>
      </c>
      <c r="E805" s="404" t="s">
        <v>444</v>
      </c>
      <c r="F805" s="404" t="s">
        <v>213</v>
      </c>
      <c r="G805" s="422" t="s">
        <v>209</v>
      </c>
      <c r="H805" s="399" t="s">
        <v>123</v>
      </c>
      <c r="I805" s="387" t="s">
        <v>123</v>
      </c>
      <c r="J805" s="399" t="s">
        <v>218</v>
      </c>
      <c r="K805" s="399">
        <v>40</v>
      </c>
      <c r="L805" s="408">
        <f t="shared" si="62"/>
        <v>230</v>
      </c>
      <c r="M805" s="409">
        <v>230</v>
      </c>
      <c r="N805" s="306"/>
      <c r="O805" s="409"/>
      <c r="P805" s="410" t="e">
        <f>IF(M805="nio",0,IF(M805&gt;0,M805*K805/S805,0))*VLOOKUP(B805,'2-Kosten per locatie'!$A$14:$C$61,3,FALSE)</f>
        <v>#DIV/0!</v>
      </c>
      <c r="Q805" s="410">
        <f>IF(N805&gt;0,N805*K805/T805,0)*VLOOKUP(B805,'2-Kosten per locatie'!$A$14:$C$61,3,FALSE)</f>
        <v>0</v>
      </c>
      <c r="R805" s="410">
        <f>IF(O805&gt;0,O805*K805/U805,0)*VLOOKUP(B805,'2-Kosten per locatie'!$A$14:$C$61,3,FALSE)</f>
        <v>0</v>
      </c>
      <c r="S805" s="411">
        <f>IF(M805="nio",0,IF(M805&gt;0,VLOOKUP(I805,'3-Productie normen'!A:P,VLOOKUP(M805,'3-Productie normen'!$B$38:$C$48,2,FALSE),FALSE)))</f>
        <v>0</v>
      </c>
      <c r="T805" s="411">
        <f t="shared" si="63"/>
        <v>0</v>
      </c>
      <c r="U805" s="411">
        <f t="shared" si="66"/>
        <v>0</v>
      </c>
      <c r="V805" s="412"/>
      <c r="X805" s="413">
        <f t="shared" si="64"/>
        <v>9200</v>
      </c>
    </row>
    <row r="806" spans="1:24" ht="14.1" customHeight="1">
      <c r="A806" s="70">
        <f t="shared" si="65"/>
        <v>806</v>
      </c>
      <c r="B806" s="399" t="s">
        <v>79</v>
      </c>
      <c r="C806" s="399" t="s">
        <v>693</v>
      </c>
      <c r="D806" s="354" t="s">
        <v>165</v>
      </c>
      <c r="E806" s="404" t="s">
        <v>444</v>
      </c>
      <c r="F806" s="404" t="s">
        <v>213</v>
      </c>
      <c r="G806" s="422" t="s">
        <v>210</v>
      </c>
      <c r="H806" s="399" t="s">
        <v>206</v>
      </c>
      <c r="I806" s="383" t="s">
        <v>108</v>
      </c>
      <c r="J806" s="399" t="s">
        <v>179</v>
      </c>
      <c r="K806" s="399">
        <v>17</v>
      </c>
      <c r="L806" s="408">
        <f t="shared" si="62"/>
        <v>230</v>
      </c>
      <c r="M806" s="409">
        <v>230</v>
      </c>
      <c r="N806" s="306"/>
      <c r="O806" s="409"/>
      <c r="P806" s="410" t="e">
        <f>IF(M806="nio",0,IF(M806&gt;0,M806*K806/S806,0))*VLOOKUP(B806,'2-Kosten per locatie'!$A$14:$C$61,3,FALSE)</f>
        <v>#DIV/0!</v>
      </c>
      <c r="Q806" s="410">
        <f>IF(N806&gt;0,N806*K806/T806,0)*VLOOKUP(B806,'2-Kosten per locatie'!$A$14:$C$61,3,FALSE)</f>
        <v>0</v>
      </c>
      <c r="R806" s="410">
        <f>IF(O806&gt;0,O806*K806/U806,0)*VLOOKUP(B806,'2-Kosten per locatie'!$A$14:$C$61,3,FALSE)</f>
        <v>0</v>
      </c>
      <c r="S806" s="411">
        <f>IF(M806="nio",0,IF(M806&gt;0,VLOOKUP(I806,'3-Productie normen'!A:P,VLOOKUP(M806,'3-Productie normen'!$B$38:$C$48,2,FALSE),FALSE)))</f>
        <v>0</v>
      </c>
      <c r="T806" s="411">
        <f t="shared" si="63"/>
        <v>0</v>
      </c>
      <c r="U806" s="411">
        <f t="shared" si="66"/>
        <v>0</v>
      </c>
      <c r="V806" s="412"/>
      <c r="X806" s="413">
        <f t="shared" si="64"/>
        <v>3910</v>
      </c>
    </row>
    <row r="807" spans="1:24" ht="14.1" customHeight="1">
      <c r="A807" s="70">
        <f t="shared" si="65"/>
        <v>807</v>
      </c>
      <c r="B807" s="399" t="s">
        <v>79</v>
      </c>
      <c r="C807" s="399" t="s">
        <v>693</v>
      </c>
      <c r="D807" s="354" t="s">
        <v>165</v>
      </c>
      <c r="E807" s="404" t="s">
        <v>444</v>
      </c>
      <c r="F807" s="404" t="s">
        <v>213</v>
      </c>
      <c r="G807" s="422" t="s">
        <v>212</v>
      </c>
      <c r="H807" s="399" t="s">
        <v>287</v>
      </c>
      <c r="I807" s="399" t="s">
        <v>124</v>
      </c>
      <c r="J807" s="399" t="s">
        <v>179</v>
      </c>
      <c r="K807" s="399"/>
      <c r="L807" s="408">
        <f t="shared" si="62"/>
        <v>0</v>
      </c>
      <c r="M807" s="409" t="s">
        <v>242</v>
      </c>
      <c r="N807" s="306"/>
      <c r="O807" s="409"/>
      <c r="P807" s="410">
        <f>IF(M807="nio",0,IF(M807&gt;0,M807*K807/S807,0))*VLOOKUP(B807,'2-Kosten per locatie'!$A$14:$C$61,3,FALSE)</f>
        <v>0</v>
      </c>
      <c r="Q807" s="410">
        <f>IF(N807&gt;0,N807*K807/T807,0)*VLOOKUP(B807,'2-Kosten per locatie'!$A$14:$C$61,3,FALSE)</f>
        <v>0</v>
      </c>
      <c r="R807" s="410">
        <f>IF(O807&gt;0,O807*K807/U807,0)*VLOOKUP(B807,'2-Kosten per locatie'!$A$14:$C$61,3,FALSE)</f>
        <v>0</v>
      </c>
      <c r="S807" s="411">
        <f>IF(M807="nio",0,IF(M807&gt;0,VLOOKUP(I807,'3-Productie normen'!A:P,VLOOKUP(M807,'3-Productie normen'!$B$38:$C$48,2,FALSE),FALSE)))</f>
        <v>0</v>
      </c>
      <c r="T807" s="411">
        <f t="shared" si="63"/>
        <v>0</v>
      </c>
      <c r="U807" s="411">
        <f t="shared" si="66"/>
        <v>0</v>
      </c>
      <c r="V807" s="412"/>
      <c r="X807" s="413">
        <f t="shared" si="64"/>
        <v>0</v>
      </c>
    </row>
    <row r="808" spans="1:24" ht="14.1" customHeight="1">
      <c r="A808" s="70">
        <f t="shared" si="65"/>
        <v>808</v>
      </c>
      <c r="B808" s="399" t="s">
        <v>79</v>
      </c>
      <c r="C808" s="399" t="s">
        <v>693</v>
      </c>
      <c r="D808" s="354" t="s">
        <v>165</v>
      </c>
      <c r="E808" s="404" t="s">
        <v>444</v>
      </c>
      <c r="F808" s="404" t="s">
        <v>213</v>
      </c>
      <c r="G808" s="422" t="s">
        <v>245</v>
      </c>
      <c r="H808" s="399" t="s">
        <v>683</v>
      </c>
      <c r="I808" s="383" t="s">
        <v>111</v>
      </c>
      <c r="J808" s="399" t="s">
        <v>179</v>
      </c>
      <c r="K808" s="399">
        <v>8.5</v>
      </c>
      <c r="L808" s="408">
        <f t="shared" si="62"/>
        <v>276</v>
      </c>
      <c r="M808" s="409">
        <v>230</v>
      </c>
      <c r="N808" s="306"/>
      <c r="O808" s="409">
        <v>46</v>
      </c>
      <c r="P808" s="410" t="e">
        <f>IF(M808="nio",0,IF(M808&gt;0,M808*K808/S808,0))*VLOOKUP(B808,'2-Kosten per locatie'!$A$14:$C$61,3,FALSE)</f>
        <v>#DIV/0!</v>
      </c>
      <c r="Q808" s="410">
        <f>IF(N808&gt;0,N808*K808/T808,0)*VLOOKUP(B808,'2-Kosten per locatie'!$A$14:$C$61,3,FALSE)</f>
        <v>0</v>
      </c>
      <c r="R808" s="410" t="e">
        <f>IF(O808&gt;0,O808*K808/U808,0)*VLOOKUP(B808,'2-Kosten per locatie'!$A$14:$C$61,3,FALSE)</f>
        <v>#DIV/0!</v>
      </c>
      <c r="S808" s="411">
        <f>IF(M808="nio",0,IF(M808&gt;0,VLOOKUP(I808,'3-Productie normen'!A:P,VLOOKUP(M808,'3-Productie normen'!$B$38:$C$48,2,FALSE),FALSE)))</f>
        <v>0</v>
      </c>
      <c r="T808" s="411">
        <f t="shared" si="63"/>
        <v>0</v>
      </c>
      <c r="U808" s="411">
        <f t="shared" si="66"/>
        <v>0</v>
      </c>
      <c r="V808" s="412"/>
      <c r="X808" s="413">
        <f t="shared" si="64"/>
        <v>2346</v>
      </c>
    </row>
    <row r="809" spans="1:24" ht="14.1" customHeight="1">
      <c r="A809" s="70">
        <f t="shared" si="65"/>
        <v>809</v>
      </c>
      <c r="B809" s="399" t="s">
        <v>79</v>
      </c>
      <c r="C809" s="399" t="s">
        <v>693</v>
      </c>
      <c r="D809" s="354" t="s">
        <v>165</v>
      </c>
      <c r="E809" s="404" t="s">
        <v>444</v>
      </c>
      <c r="F809" s="404" t="s">
        <v>213</v>
      </c>
      <c r="G809" s="422" t="s">
        <v>246</v>
      </c>
      <c r="H809" s="399" t="s">
        <v>682</v>
      </c>
      <c r="I809" s="387" t="s">
        <v>119</v>
      </c>
      <c r="J809" s="399" t="s">
        <v>179</v>
      </c>
      <c r="K809" s="399">
        <v>16</v>
      </c>
      <c r="L809" s="408">
        <f t="shared" si="62"/>
        <v>276</v>
      </c>
      <c r="M809" s="409">
        <v>230</v>
      </c>
      <c r="N809" s="306"/>
      <c r="O809" s="409">
        <v>46</v>
      </c>
      <c r="P809" s="410" t="e">
        <f>IF(M809="nio",0,IF(M809&gt;0,M809*K809/S809,0))*VLOOKUP(B809,'2-Kosten per locatie'!$A$14:$C$61,3,FALSE)</f>
        <v>#DIV/0!</v>
      </c>
      <c r="Q809" s="410">
        <f>IF(N809&gt;0,N809*K809/T809,0)*VLOOKUP(B809,'2-Kosten per locatie'!$A$14:$C$61,3,FALSE)</f>
        <v>0</v>
      </c>
      <c r="R809" s="410" t="e">
        <f>IF(O809&gt;0,O809*K809/U809,0)*VLOOKUP(B809,'2-Kosten per locatie'!$A$14:$C$61,3,FALSE)</f>
        <v>#DIV/0!</v>
      </c>
      <c r="S809" s="411">
        <f>IF(M809="nio",0,IF(M809&gt;0,VLOOKUP(I809,'3-Productie normen'!A:P,VLOOKUP(M809,'3-Productie normen'!$B$38:$C$48,2,FALSE),FALSE)))</f>
        <v>0</v>
      </c>
      <c r="T809" s="411">
        <f t="shared" si="63"/>
        <v>0</v>
      </c>
      <c r="U809" s="411">
        <f t="shared" si="66"/>
        <v>0</v>
      </c>
      <c r="V809" s="412"/>
      <c r="X809" s="413">
        <f t="shared" si="64"/>
        <v>4416</v>
      </c>
    </row>
    <row r="810" spans="1:24" ht="14.1" customHeight="1">
      <c r="A810" s="70">
        <f t="shared" si="65"/>
        <v>810</v>
      </c>
      <c r="B810" s="399" t="s">
        <v>79</v>
      </c>
      <c r="C810" s="399" t="s">
        <v>693</v>
      </c>
      <c r="D810" s="354" t="s">
        <v>165</v>
      </c>
      <c r="E810" s="404" t="s">
        <v>444</v>
      </c>
      <c r="F810" s="404" t="s">
        <v>213</v>
      </c>
      <c r="G810" s="422" t="s">
        <v>247</v>
      </c>
      <c r="H810" s="399" t="s">
        <v>439</v>
      </c>
      <c r="I810" s="383" t="s">
        <v>111</v>
      </c>
      <c r="J810" s="399" t="s">
        <v>179</v>
      </c>
      <c r="K810" s="399">
        <v>227</v>
      </c>
      <c r="L810" s="408">
        <f t="shared" si="62"/>
        <v>276</v>
      </c>
      <c r="M810" s="409">
        <v>230</v>
      </c>
      <c r="N810" s="306"/>
      <c r="O810" s="409">
        <v>46</v>
      </c>
      <c r="P810" s="410" t="e">
        <f>IF(M810="nio",0,IF(M810&gt;0,M810*K810/S810,0))*VLOOKUP(B810,'2-Kosten per locatie'!$A$14:$C$61,3,FALSE)</f>
        <v>#DIV/0!</v>
      </c>
      <c r="Q810" s="410">
        <f>IF(N810&gt;0,N810*K810/T810,0)*VLOOKUP(B810,'2-Kosten per locatie'!$A$14:$C$61,3,FALSE)</f>
        <v>0</v>
      </c>
      <c r="R810" s="410" t="e">
        <f>IF(O810&gt;0,O810*K810/U810,0)*VLOOKUP(B810,'2-Kosten per locatie'!$A$14:$C$61,3,FALSE)</f>
        <v>#DIV/0!</v>
      </c>
      <c r="S810" s="411">
        <f>IF(M810="nio",0,IF(M810&gt;0,VLOOKUP(I810,'3-Productie normen'!A:P,VLOOKUP(M810,'3-Productie normen'!$B$38:$C$48,2,FALSE),FALSE)))</f>
        <v>0</v>
      </c>
      <c r="T810" s="411">
        <f t="shared" si="63"/>
        <v>0</v>
      </c>
      <c r="U810" s="411">
        <f t="shared" si="66"/>
        <v>0</v>
      </c>
      <c r="V810" s="412"/>
      <c r="X810" s="413">
        <f t="shared" si="64"/>
        <v>62652</v>
      </c>
    </row>
    <row r="811" spans="1:24" ht="14.1" customHeight="1">
      <c r="A811" s="70">
        <f t="shared" si="65"/>
        <v>811</v>
      </c>
      <c r="B811" s="399" t="s">
        <v>79</v>
      </c>
      <c r="C811" s="399" t="s">
        <v>693</v>
      </c>
      <c r="D811" s="354" t="s">
        <v>165</v>
      </c>
      <c r="E811" s="404" t="s">
        <v>444</v>
      </c>
      <c r="F811" s="404" t="s">
        <v>213</v>
      </c>
      <c r="G811" s="422" t="s">
        <v>248</v>
      </c>
      <c r="H811" s="399" t="s">
        <v>439</v>
      </c>
      <c r="I811" s="383" t="s">
        <v>111</v>
      </c>
      <c r="J811" s="399" t="s">
        <v>179</v>
      </c>
      <c r="K811" s="399">
        <v>27</v>
      </c>
      <c r="L811" s="408">
        <f t="shared" si="62"/>
        <v>276</v>
      </c>
      <c r="M811" s="409">
        <v>230</v>
      </c>
      <c r="N811" s="306"/>
      <c r="O811" s="409">
        <v>46</v>
      </c>
      <c r="P811" s="410" t="e">
        <f>IF(M811="nio",0,IF(M811&gt;0,M811*K811/S811,0))*VLOOKUP(B811,'2-Kosten per locatie'!$A$14:$C$61,3,FALSE)</f>
        <v>#DIV/0!</v>
      </c>
      <c r="Q811" s="410">
        <f>IF(N811&gt;0,N811*K811/T811,0)*VLOOKUP(B811,'2-Kosten per locatie'!$A$14:$C$61,3,FALSE)</f>
        <v>0</v>
      </c>
      <c r="R811" s="410" t="e">
        <f>IF(O811&gt;0,O811*K811/U811,0)*VLOOKUP(B811,'2-Kosten per locatie'!$A$14:$C$61,3,FALSE)</f>
        <v>#DIV/0!</v>
      </c>
      <c r="S811" s="411">
        <f>IF(M811="nio",0,IF(M811&gt;0,VLOOKUP(I811,'3-Productie normen'!A:P,VLOOKUP(M811,'3-Productie normen'!$B$38:$C$48,2,FALSE),FALSE)))</f>
        <v>0</v>
      </c>
      <c r="T811" s="411">
        <f t="shared" si="63"/>
        <v>0</v>
      </c>
      <c r="U811" s="411">
        <f t="shared" si="66"/>
        <v>0</v>
      </c>
      <c r="V811" s="412"/>
      <c r="X811" s="413">
        <f t="shared" si="64"/>
        <v>7452</v>
      </c>
    </row>
    <row r="812" spans="1:24" ht="14.1" customHeight="1">
      <c r="A812" s="70">
        <f t="shared" si="65"/>
        <v>812</v>
      </c>
      <c r="B812" s="399" t="s">
        <v>79</v>
      </c>
      <c r="C812" s="399" t="s">
        <v>693</v>
      </c>
      <c r="D812" s="354" t="s">
        <v>165</v>
      </c>
      <c r="E812" s="404" t="s">
        <v>444</v>
      </c>
      <c r="F812" s="404" t="s">
        <v>213</v>
      </c>
      <c r="G812" s="422" t="s">
        <v>249</v>
      </c>
      <c r="H812" s="399" t="s">
        <v>682</v>
      </c>
      <c r="I812" s="387" t="s">
        <v>119</v>
      </c>
      <c r="J812" s="399" t="s">
        <v>179</v>
      </c>
      <c r="K812" s="399">
        <v>16</v>
      </c>
      <c r="L812" s="408">
        <f t="shared" ref="L812:L841" si="67">SUM(M812:O812)</f>
        <v>276</v>
      </c>
      <c r="M812" s="409">
        <v>230</v>
      </c>
      <c r="N812" s="306"/>
      <c r="O812" s="409">
        <v>46</v>
      </c>
      <c r="P812" s="410" t="e">
        <f>IF(M812="nio",0,IF(M812&gt;0,M812*K812/S812,0))*VLOOKUP(B812,'2-Kosten per locatie'!$A$14:$C$61,3,FALSE)</f>
        <v>#DIV/0!</v>
      </c>
      <c r="Q812" s="410">
        <f>IF(N812&gt;0,N812*K812/T812,0)*VLOOKUP(B812,'2-Kosten per locatie'!$A$14:$C$61,3,FALSE)</f>
        <v>0</v>
      </c>
      <c r="R812" s="410" t="e">
        <f>IF(O812&gt;0,O812*K812/U812,0)*VLOOKUP(B812,'2-Kosten per locatie'!$A$14:$C$61,3,FALSE)</f>
        <v>#DIV/0!</v>
      </c>
      <c r="S812" s="411">
        <f>IF(M812="nio",0,IF(M812&gt;0,VLOOKUP(I812,'3-Productie normen'!A:P,VLOOKUP(M812,'3-Productie normen'!$B$38:$C$48,2,FALSE),FALSE)))</f>
        <v>0</v>
      </c>
      <c r="T812" s="411">
        <f t="shared" si="63"/>
        <v>0</v>
      </c>
      <c r="U812" s="411">
        <f t="shared" si="66"/>
        <v>0</v>
      </c>
      <c r="V812" s="412"/>
      <c r="X812" s="413">
        <f t="shared" si="64"/>
        <v>4416</v>
      </c>
    </row>
    <row r="813" spans="1:24" ht="14.1" customHeight="1">
      <c r="A813" s="70">
        <f t="shared" si="65"/>
        <v>813</v>
      </c>
      <c r="B813" s="399" t="s">
        <v>79</v>
      </c>
      <c r="C813" s="399" t="s">
        <v>693</v>
      </c>
      <c r="D813" s="354" t="s">
        <v>165</v>
      </c>
      <c r="E813" s="404" t="s">
        <v>444</v>
      </c>
      <c r="F813" s="404" t="s">
        <v>213</v>
      </c>
      <c r="G813" s="422" t="s">
        <v>251</v>
      </c>
      <c r="H813" s="399" t="s">
        <v>430</v>
      </c>
      <c r="I813" s="399" t="s">
        <v>124</v>
      </c>
      <c r="J813" s="399" t="s">
        <v>179</v>
      </c>
      <c r="K813" s="399"/>
      <c r="L813" s="408">
        <f t="shared" si="67"/>
        <v>0</v>
      </c>
      <c r="M813" s="409" t="s">
        <v>242</v>
      </c>
      <c r="N813" s="306"/>
      <c r="O813" s="409"/>
      <c r="P813" s="410">
        <f>IF(M813="nio",0,IF(M813&gt;0,M813*K813/S813,0))*VLOOKUP(B813,'2-Kosten per locatie'!$A$14:$C$61,3,FALSE)</f>
        <v>0</v>
      </c>
      <c r="Q813" s="410">
        <f>IF(N813&gt;0,N813*K813/T813,0)*VLOOKUP(B813,'2-Kosten per locatie'!$A$14:$C$61,3,FALSE)</f>
        <v>0</v>
      </c>
      <c r="R813" s="410">
        <f>IF(O813&gt;0,O813*K813/U813,0)*VLOOKUP(B813,'2-Kosten per locatie'!$A$14:$C$61,3,FALSE)</f>
        <v>0</v>
      </c>
      <c r="S813" s="411">
        <f>IF(M813="nio",0,IF(M813&gt;0,VLOOKUP(I813,'3-Productie normen'!A:P,VLOOKUP(M813,'3-Productie normen'!$B$38:$C$48,2,FALSE),FALSE)))</f>
        <v>0</v>
      </c>
      <c r="T813" s="411">
        <f t="shared" si="63"/>
        <v>0</v>
      </c>
      <c r="U813" s="411">
        <f t="shared" si="66"/>
        <v>0</v>
      </c>
      <c r="V813" s="412"/>
      <c r="X813" s="413">
        <f t="shared" si="64"/>
        <v>0</v>
      </c>
    </row>
    <row r="814" spans="1:24" ht="14.1" customHeight="1">
      <c r="A814" s="70">
        <f t="shared" si="65"/>
        <v>814</v>
      </c>
      <c r="B814" s="399" t="s">
        <v>79</v>
      </c>
      <c r="C814" s="399" t="s">
        <v>693</v>
      </c>
      <c r="D814" s="354" t="s">
        <v>165</v>
      </c>
      <c r="E814" s="404" t="s">
        <v>444</v>
      </c>
      <c r="F814" s="404" t="s">
        <v>213</v>
      </c>
      <c r="G814" s="422" t="s">
        <v>474</v>
      </c>
      <c r="H814" s="399" t="s">
        <v>430</v>
      </c>
      <c r="I814" s="399" t="s">
        <v>124</v>
      </c>
      <c r="J814" s="399" t="s">
        <v>179</v>
      </c>
      <c r="K814" s="399"/>
      <c r="L814" s="408">
        <f t="shared" si="67"/>
        <v>0</v>
      </c>
      <c r="M814" s="409" t="s">
        <v>242</v>
      </c>
      <c r="N814" s="306"/>
      <c r="O814" s="409"/>
      <c r="P814" s="410">
        <f>IF(M814="nio",0,IF(M814&gt;0,M814*K814/S814,0))*VLOOKUP(B814,'2-Kosten per locatie'!$A$14:$C$61,3,FALSE)</f>
        <v>0</v>
      </c>
      <c r="Q814" s="410">
        <f>IF(N814&gt;0,N814*K814/T814,0)*VLOOKUP(B814,'2-Kosten per locatie'!$A$14:$C$61,3,FALSE)</f>
        <v>0</v>
      </c>
      <c r="R814" s="410">
        <f>IF(O814&gt;0,O814*K814/U814,0)*VLOOKUP(B814,'2-Kosten per locatie'!$A$14:$C$61,3,FALSE)</f>
        <v>0</v>
      </c>
      <c r="S814" s="411">
        <f>IF(M814="nio",0,IF(M814&gt;0,VLOOKUP(I814,'3-Productie normen'!A:P,VLOOKUP(M814,'3-Productie normen'!$B$38:$C$48,2,FALSE),FALSE)))</f>
        <v>0</v>
      </c>
      <c r="T814" s="411">
        <f t="shared" si="63"/>
        <v>0</v>
      </c>
      <c r="U814" s="411">
        <f t="shared" si="66"/>
        <v>0</v>
      </c>
      <c r="V814" s="412"/>
      <c r="X814" s="413">
        <f t="shared" si="64"/>
        <v>0</v>
      </c>
    </row>
    <row r="815" spans="1:24" ht="14.1" customHeight="1">
      <c r="A815" s="70">
        <f t="shared" si="65"/>
        <v>815</v>
      </c>
      <c r="B815" s="399" t="s">
        <v>79</v>
      </c>
      <c r="C815" s="399" t="s">
        <v>693</v>
      </c>
      <c r="D815" s="354" t="s">
        <v>165</v>
      </c>
      <c r="E815" s="404" t="s">
        <v>444</v>
      </c>
      <c r="F815" s="404" t="s">
        <v>213</v>
      </c>
      <c r="G815" s="422" t="s">
        <v>476</v>
      </c>
      <c r="H815" s="399" t="s">
        <v>683</v>
      </c>
      <c r="I815" s="383" t="s">
        <v>111</v>
      </c>
      <c r="J815" s="399" t="s">
        <v>179</v>
      </c>
      <c r="K815" s="399">
        <v>8</v>
      </c>
      <c r="L815" s="408">
        <f t="shared" si="67"/>
        <v>276</v>
      </c>
      <c r="M815" s="409">
        <v>230</v>
      </c>
      <c r="N815" s="306"/>
      <c r="O815" s="409">
        <v>46</v>
      </c>
      <c r="P815" s="410" t="e">
        <f>IF(M815="nio",0,IF(M815&gt;0,M815*K815/S815,0))*VLOOKUP(B815,'2-Kosten per locatie'!$A$14:$C$61,3,FALSE)</f>
        <v>#DIV/0!</v>
      </c>
      <c r="Q815" s="410">
        <f>IF(N815&gt;0,N815*K815/T815,0)*VLOOKUP(B815,'2-Kosten per locatie'!$A$14:$C$61,3,FALSE)</f>
        <v>0</v>
      </c>
      <c r="R815" s="410" t="e">
        <f>IF(O815&gt;0,O815*K815/U815,0)*VLOOKUP(B815,'2-Kosten per locatie'!$A$14:$C$61,3,FALSE)</f>
        <v>#DIV/0!</v>
      </c>
      <c r="S815" s="411">
        <f>IF(M815="nio",0,IF(M815&gt;0,VLOOKUP(I815,'3-Productie normen'!A:P,VLOOKUP(M815,'3-Productie normen'!$B$38:$C$48,2,FALSE),FALSE)))</f>
        <v>0</v>
      </c>
      <c r="T815" s="411">
        <f t="shared" si="63"/>
        <v>0</v>
      </c>
      <c r="U815" s="411">
        <f t="shared" si="66"/>
        <v>0</v>
      </c>
      <c r="V815" s="412"/>
      <c r="X815" s="413">
        <f t="shared" ref="X815:X841" si="68">L815*K815</f>
        <v>2208</v>
      </c>
    </row>
    <row r="816" spans="1:24" ht="14.1" customHeight="1">
      <c r="A816" s="70">
        <f t="shared" si="65"/>
        <v>816</v>
      </c>
      <c r="B816" s="399" t="s">
        <v>80</v>
      </c>
      <c r="C816" s="399" t="s">
        <v>701</v>
      </c>
      <c r="D816" s="354" t="s">
        <v>165</v>
      </c>
      <c r="E816" s="404" t="s">
        <v>702</v>
      </c>
      <c r="F816" s="404" t="s">
        <v>213</v>
      </c>
      <c r="G816" s="422" t="s">
        <v>446</v>
      </c>
      <c r="H816" s="399" t="s">
        <v>703</v>
      </c>
      <c r="I816" s="399" t="s">
        <v>111</v>
      </c>
      <c r="J816" s="399" t="s">
        <v>179</v>
      </c>
      <c r="K816" s="399">
        <v>24.7</v>
      </c>
      <c r="L816" s="408">
        <f t="shared" si="67"/>
        <v>130</v>
      </c>
      <c r="M816" s="409">
        <v>130</v>
      </c>
      <c r="N816" s="423"/>
      <c r="O816" s="423"/>
      <c r="P816" s="410" t="e">
        <f>IF(M816="nio",0,IF(M816&gt;0,M816*K816/S816,0))*VLOOKUP(B816,'2-Kosten per locatie'!$A$14:$C$61,3,FALSE)</f>
        <v>#DIV/0!</v>
      </c>
      <c r="Q816" s="410">
        <f>IF(N816&gt;0,N816*K816/T816,0)*VLOOKUP(B816,'2-Kosten per locatie'!$A$14:$C$61,3,FALSE)</f>
        <v>0</v>
      </c>
      <c r="R816" s="410">
        <f>IF(O816&gt;0,O816*K816/U816,0)*VLOOKUP(B816,'2-Kosten per locatie'!$A$14:$C$61,3,FALSE)</f>
        <v>0</v>
      </c>
      <c r="S816" s="411">
        <f>IF(M816="nio",0,IF(M816&gt;0,VLOOKUP(I816,'3-Productie normen'!A:P,VLOOKUP(M816,'3-Productie normen'!$B$38:$C$48,2,FALSE),FALSE)))</f>
        <v>0</v>
      </c>
      <c r="T816" s="411">
        <f t="shared" si="63"/>
        <v>0</v>
      </c>
      <c r="U816" s="411">
        <f t="shared" si="66"/>
        <v>0</v>
      </c>
      <c r="V816" s="412"/>
      <c r="X816" s="413">
        <f t="shared" si="68"/>
        <v>3211</v>
      </c>
    </row>
    <row r="817" spans="1:24" ht="14.1" customHeight="1">
      <c r="A817" s="70">
        <f t="shared" si="65"/>
        <v>817</v>
      </c>
      <c r="B817" s="399" t="s">
        <v>80</v>
      </c>
      <c r="C817" s="399" t="s">
        <v>701</v>
      </c>
      <c r="D817" s="354" t="s">
        <v>165</v>
      </c>
      <c r="E817" s="404" t="s">
        <v>702</v>
      </c>
      <c r="F817" s="404" t="s">
        <v>213</v>
      </c>
      <c r="G817" s="422" t="s">
        <v>194</v>
      </c>
      <c r="H817" s="399" t="s">
        <v>600</v>
      </c>
      <c r="I817" s="399" t="s">
        <v>119</v>
      </c>
      <c r="J817" s="399" t="s">
        <v>179</v>
      </c>
      <c r="K817" s="399">
        <v>12.8</v>
      </c>
      <c r="L817" s="408">
        <f t="shared" si="67"/>
        <v>130</v>
      </c>
      <c r="M817" s="409">
        <v>130</v>
      </c>
      <c r="N817" s="423"/>
      <c r="O817" s="423"/>
      <c r="P817" s="410" t="e">
        <f>IF(M817="nio",0,IF(M817&gt;0,M817*K817/S817,0))*VLOOKUP(B817,'2-Kosten per locatie'!$A$14:$C$61,3,FALSE)</f>
        <v>#DIV/0!</v>
      </c>
      <c r="Q817" s="410">
        <f>IF(N817&gt;0,N817*K817/T817,0)*VLOOKUP(B817,'2-Kosten per locatie'!$A$14:$C$61,3,FALSE)</f>
        <v>0</v>
      </c>
      <c r="R817" s="410">
        <f>IF(O817&gt;0,O817*K817/U817,0)*VLOOKUP(B817,'2-Kosten per locatie'!$A$14:$C$61,3,FALSE)</f>
        <v>0</v>
      </c>
      <c r="S817" s="411">
        <f>IF(M817="nio",0,IF(M817&gt;0,VLOOKUP(I817,'3-Productie normen'!A:P,VLOOKUP(M817,'3-Productie normen'!$B$38:$C$48,2,FALSE),FALSE)))</f>
        <v>0</v>
      </c>
      <c r="T817" s="411">
        <f t="shared" si="63"/>
        <v>0</v>
      </c>
      <c r="U817" s="411">
        <f t="shared" si="66"/>
        <v>0</v>
      </c>
      <c r="V817" s="412"/>
      <c r="X817" s="413">
        <f t="shared" si="68"/>
        <v>1664</v>
      </c>
    </row>
    <row r="818" spans="1:24" ht="14.1" customHeight="1">
      <c r="A818" s="70">
        <f t="shared" si="65"/>
        <v>818</v>
      </c>
      <c r="B818" s="399" t="s">
        <v>80</v>
      </c>
      <c r="C818" s="399" t="s">
        <v>701</v>
      </c>
      <c r="D818" s="354" t="s">
        <v>165</v>
      </c>
      <c r="E818" s="404" t="s">
        <v>702</v>
      </c>
      <c r="F818" s="404" t="s">
        <v>213</v>
      </c>
      <c r="G818" s="422" t="s">
        <v>196</v>
      </c>
      <c r="H818" s="399" t="s">
        <v>250</v>
      </c>
      <c r="I818" s="399" t="s">
        <v>106</v>
      </c>
      <c r="J818" s="399" t="s">
        <v>179</v>
      </c>
      <c r="K818" s="399">
        <v>1.1000000000000001</v>
      </c>
      <c r="L818" s="408">
        <f t="shared" si="67"/>
        <v>130</v>
      </c>
      <c r="M818" s="409">
        <v>130</v>
      </c>
      <c r="N818" s="423"/>
      <c r="O818" s="423"/>
      <c r="P818" s="410" t="e">
        <f>IF(M818="nio",0,IF(M818&gt;0,M818*K818/S818,0))*VLOOKUP(B818,'2-Kosten per locatie'!$A$14:$C$61,3,FALSE)</f>
        <v>#DIV/0!</v>
      </c>
      <c r="Q818" s="410">
        <f>IF(N818&gt;0,N818*K818/T818,0)*VLOOKUP(B818,'2-Kosten per locatie'!$A$14:$C$61,3,FALSE)</f>
        <v>0</v>
      </c>
      <c r="R818" s="410">
        <f>IF(O818&gt;0,O818*K818/U818,0)*VLOOKUP(B818,'2-Kosten per locatie'!$A$14:$C$61,3,FALSE)</f>
        <v>0</v>
      </c>
      <c r="S818" s="411">
        <f>IF(M818="nio",0,IF(M818&gt;0,VLOOKUP(I818,'3-Productie normen'!A:P,VLOOKUP(M818,'3-Productie normen'!$B$38:$C$48,2,FALSE),FALSE)))</f>
        <v>0</v>
      </c>
      <c r="T818" s="411">
        <f t="shared" si="63"/>
        <v>0</v>
      </c>
      <c r="U818" s="411">
        <f t="shared" si="66"/>
        <v>0</v>
      </c>
      <c r="V818" s="412"/>
      <c r="X818" s="413">
        <f t="shared" si="68"/>
        <v>143</v>
      </c>
    </row>
    <row r="819" spans="1:24" ht="14.1" customHeight="1">
      <c r="A819" s="70">
        <f t="shared" si="65"/>
        <v>819</v>
      </c>
      <c r="B819" s="399" t="s">
        <v>80</v>
      </c>
      <c r="C819" s="399" t="s">
        <v>701</v>
      </c>
      <c r="D819" s="354" t="s">
        <v>165</v>
      </c>
      <c r="E819" s="404" t="s">
        <v>702</v>
      </c>
      <c r="F819" s="404" t="s">
        <v>213</v>
      </c>
      <c r="G819" s="422" t="s">
        <v>198</v>
      </c>
      <c r="H819" s="399" t="s">
        <v>703</v>
      </c>
      <c r="I819" s="399" t="s">
        <v>111</v>
      </c>
      <c r="J819" s="399" t="s">
        <v>179</v>
      </c>
      <c r="K819" s="399">
        <v>24.9</v>
      </c>
      <c r="L819" s="408">
        <f t="shared" si="67"/>
        <v>130</v>
      </c>
      <c r="M819" s="409">
        <v>130</v>
      </c>
      <c r="N819" s="423"/>
      <c r="O819" s="423"/>
      <c r="P819" s="410" t="e">
        <f>IF(M819="nio",0,IF(M819&gt;0,M819*K819/S819,0))*VLOOKUP(B819,'2-Kosten per locatie'!$A$14:$C$61,3,FALSE)</f>
        <v>#DIV/0!</v>
      </c>
      <c r="Q819" s="410">
        <f>IF(N819&gt;0,N819*K819/T819,0)*VLOOKUP(B819,'2-Kosten per locatie'!$A$14:$C$61,3,FALSE)</f>
        <v>0</v>
      </c>
      <c r="R819" s="410">
        <f>IF(O819&gt;0,O819*K819/U819,0)*VLOOKUP(B819,'2-Kosten per locatie'!$A$14:$C$61,3,FALSE)</f>
        <v>0</v>
      </c>
      <c r="S819" s="411">
        <f>IF(M819="nio",0,IF(M819&gt;0,VLOOKUP(I819,'3-Productie normen'!A:P,VLOOKUP(M819,'3-Productie normen'!$B$38:$C$48,2,FALSE),FALSE)))</f>
        <v>0</v>
      </c>
      <c r="T819" s="411">
        <f t="shared" si="63"/>
        <v>0</v>
      </c>
      <c r="U819" s="411">
        <f t="shared" si="66"/>
        <v>0</v>
      </c>
      <c r="V819" s="412"/>
      <c r="X819" s="413">
        <f t="shared" si="68"/>
        <v>3237</v>
      </c>
    </row>
    <row r="820" spans="1:24" ht="14.1" customHeight="1">
      <c r="A820" s="70">
        <f t="shared" si="65"/>
        <v>820</v>
      </c>
      <c r="B820" s="399" t="s">
        <v>80</v>
      </c>
      <c r="C820" s="399" t="s">
        <v>701</v>
      </c>
      <c r="D820" s="354" t="s">
        <v>165</v>
      </c>
      <c r="E820" s="404" t="s">
        <v>702</v>
      </c>
      <c r="F820" s="404" t="s">
        <v>213</v>
      </c>
      <c r="G820" s="422" t="s">
        <v>199</v>
      </c>
      <c r="H820" s="399" t="s">
        <v>600</v>
      </c>
      <c r="I820" s="399" t="s">
        <v>119</v>
      </c>
      <c r="J820" s="399" t="s">
        <v>179</v>
      </c>
      <c r="K820" s="399">
        <v>12.9</v>
      </c>
      <c r="L820" s="408">
        <f t="shared" si="67"/>
        <v>130</v>
      </c>
      <c r="M820" s="409">
        <v>130</v>
      </c>
      <c r="N820" s="423"/>
      <c r="O820" s="423"/>
      <c r="P820" s="410" t="e">
        <f>IF(M820="nio",0,IF(M820&gt;0,M820*K820/S820,0))*VLOOKUP(B820,'2-Kosten per locatie'!$A$14:$C$61,3,FALSE)</f>
        <v>#DIV/0!</v>
      </c>
      <c r="Q820" s="410">
        <f>IF(N820&gt;0,N820*K820/T820,0)*VLOOKUP(B820,'2-Kosten per locatie'!$A$14:$C$61,3,FALSE)</f>
        <v>0</v>
      </c>
      <c r="R820" s="410">
        <f>IF(O820&gt;0,O820*K820/U820,0)*VLOOKUP(B820,'2-Kosten per locatie'!$A$14:$C$61,3,FALSE)</f>
        <v>0</v>
      </c>
      <c r="S820" s="411">
        <f>IF(M820="nio",0,IF(M820&gt;0,VLOOKUP(I820,'3-Productie normen'!A:P,VLOOKUP(M820,'3-Productie normen'!$B$38:$C$48,2,FALSE),FALSE)))</f>
        <v>0</v>
      </c>
      <c r="T820" s="411">
        <f t="shared" si="63"/>
        <v>0</v>
      </c>
      <c r="U820" s="411">
        <f t="shared" si="66"/>
        <v>0</v>
      </c>
      <c r="V820" s="412"/>
      <c r="X820" s="413">
        <f t="shared" si="68"/>
        <v>1677</v>
      </c>
    </row>
    <row r="821" spans="1:24" ht="14.1" customHeight="1">
      <c r="A821" s="70">
        <f t="shared" si="65"/>
        <v>821</v>
      </c>
      <c r="B821" s="399" t="s">
        <v>80</v>
      </c>
      <c r="C821" s="399" t="s">
        <v>701</v>
      </c>
      <c r="D821" s="354" t="s">
        <v>165</v>
      </c>
      <c r="E821" s="404" t="s">
        <v>702</v>
      </c>
      <c r="F821" s="404" t="s">
        <v>213</v>
      </c>
      <c r="G821" s="422" t="s">
        <v>202</v>
      </c>
      <c r="H821" s="399" t="s">
        <v>250</v>
      </c>
      <c r="I821" s="399" t="s">
        <v>106</v>
      </c>
      <c r="J821" s="399" t="s">
        <v>179</v>
      </c>
      <c r="K821" s="399">
        <v>1.1000000000000001</v>
      </c>
      <c r="L821" s="408">
        <f t="shared" si="67"/>
        <v>130</v>
      </c>
      <c r="M821" s="409">
        <v>130</v>
      </c>
      <c r="N821" s="423"/>
      <c r="O821" s="423"/>
      <c r="P821" s="410" t="e">
        <f>IF(M821="nio",0,IF(M821&gt;0,M821*K821/S821,0))*VLOOKUP(B821,'2-Kosten per locatie'!$A$14:$C$61,3,FALSE)</f>
        <v>#DIV/0!</v>
      </c>
      <c r="Q821" s="410">
        <f>IF(N821&gt;0,N821*K821/T821,0)*VLOOKUP(B821,'2-Kosten per locatie'!$A$14:$C$61,3,FALSE)</f>
        <v>0</v>
      </c>
      <c r="R821" s="410">
        <f>IF(O821&gt;0,O821*K821/U821,0)*VLOOKUP(B821,'2-Kosten per locatie'!$A$14:$C$61,3,FALSE)</f>
        <v>0</v>
      </c>
      <c r="S821" s="411">
        <f>IF(M821="nio",0,IF(M821&gt;0,VLOOKUP(I821,'3-Productie normen'!A:P,VLOOKUP(M821,'3-Productie normen'!$B$38:$C$48,2,FALSE),FALSE)))</f>
        <v>0</v>
      </c>
      <c r="T821" s="411">
        <f t="shared" si="63"/>
        <v>0</v>
      </c>
      <c r="U821" s="411">
        <f t="shared" si="66"/>
        <v>0</v>
      </c>
      <c r="V821" s="412"/>
      <c r="X821" s="413">
        <f t="shared" si="68"/>
        <v>143</v>
      </c>
    </row>
    <row r="822" spans="1:24" ht="14.1" customHeight="1">
      <c r="A822" s="70">
        <f t="shared" si="65"/>
        <v>822</v>
      </c>
      <c r="B822" s="399" t="s">
        <v>80</v>
      </c>
      <c r="C822" s="399" t="s">
        <v>701</v>
      </c>
      <c r="D822" s="354" t="s">
        <v>165</v>
      </c>
      <c r="E822" s="404" t="s">
        <v>702</v>
      </c>
      <c r="F822" s="404" t="s">
        <v>213</v>
      </c>
      <c r="G822" s="422" t="s">
        <v>203</v>
      </c>
      <c r="H822" s="399" t="s">
        <v>703</v>
      </c>
      <c r="I822" s="399" t="s">
        <v>111</v>
      </c>
      <c r="J822" s="399" t="s">
        <v>179</v>
      </c>
      <c r="K822" s="399">
        <v>24.9</v>
      </c>
      <c r="L822" s="408">
        <f t="shared" si="67"/>
        <v>130</v>
      </c>
      <c r="M822" s="409">
        <v>130</v>
      </c>
      <c r="N822" s="423"/>
      <c r="O822" s="423"/>
      <c r="P822" s="410" t="e">
        <f>IF(M822="nio",0,IF(M822&gt;0,M822*K822/S822,0))*VLOOKUP(B822,'2-Kosten per locatie'!$A$14:$C$61,3,FALSE)</f>
        <v>#DIV/0!</v>
      </c>
      <c r="Q822" s="410">
        <f>IF(N822&gt;0,N822*K822/T822,0)*VLOOKUP(B822,'2-Kosten per locatie'!$A$14:$C$61,3,FALSE)</f>
        <v>0</v>
      </c>
      <c r="R822" s="410">
        <f>IF(O822&gt;0,O822*K822/U822,0)*VLOOKUP(B822,'2-Kosten per locatie'!$A$14:$C$61,3,FALSE)</f>
        <v>0</v>
      </c>
      <c r="S822" s="411">
        <f>IF(M822="nio",0,IF(M822&gt;0,VLOOKUP(I822,'3-Productie normen'!A:P,VLOOKUP(M822,'3-Productie normen'!$B$38:$C$48,2,FALSE),FALSE)))</f>
        <v>0</v>
      </c>
      <c r="T822" s="411">
        <f t="shared" si="63"/>
        <v>0</v>
      </c>
      <c r="U822" s="411">
        <f t="shared" si="66"/>
        <v>0</v>
      </c>
      <c r="V822" s="412"/>
      <c r="X822" s="413">
        <f t="shared" si="68"/>
        <v>3237</v>
      </c>
    </row>
    <row r="823" spans="1:24" ht="14.1" customHeight="1">
      <c r="A823" s="70">
        <f t="shared" si="65"/>
        <v>823</v>
      </c>
      <c r="B823" s="399" t="s">
        <v>80</v>
      </c>
      <c r="C823" s="399" t="s">
        <v>701</v>
      </c>
      <c r="D823" s="354" t="s">
        <v>165</v>
      </c>
      <c r="E823" s="404" t="s">
        <v>702</v>
      </c>
      <c r="F823" s="404" t="s">
        <v>213</v>
      </c>
      <c r="G823" s="422" t="s">
        <v>204</v>
      </c>
      <c r="H823" s="399" t="s">
        <v>600</v>
      </c>
      <c r="I823" s="399" t="s">
        <v>119</v>
      </c>
      <c r="J823" s="399" t="s">
        <v>179</v>
      </c>
      <c r="K823" s="399">
        <v>12.9</v>
      </c>
      <c r="L823" s="408">
        <f t="shared" si="67"/>
        <v>130</v>
      </c>
      <c r="M823" s="409">
        <v>130</v>
      </c>
      <c r="N823" s="423"/>
      <c r="O823" s="423"/>
      <c r="P823" s="410" t="e">
        <f>IF(M823="nio",0,IF(M823&gt;0,M823*K823/S823,0))*VLOOKUP(B823,'2-Kosten per locatie'!$A$14:$C$61,3,FALSE)</f>
        <v>#DIV/0!</v>
      </c>
      <c r="Q823" s="410">
        <f>IF(N823&gt;0,N823*K823/T823,0)*VLOOKUP(B823,'2-Kosten per locatie'!$A$14:$C$61,3,FALSE)</f>
        <v>0</v>
      </c>
      <c r="R823" s="410">
        <f>IF(O823&gt;0,O823*K823/U823,0)*VLOOKUP(B823,'2-Kosten per locatie'!$A$14:$C$61,3,FALSE)</f>
        <v>0</v>
      </c>
      <c r="S823" s="411">
        <f>IF(M823="nio",0,IF(M823&gt;0,VLOOKUP(I823,'3-Productie normen'!A:P,VLOOKUP(M823,'3-Productie normen'!$B$38:$C$48,2,FALSE),FALSE)))</f>
        <v>0</v>
      </c>
      <c r="T823" s="411">
        <f t="shared" si="63"/>
        <v>0</v>
      </c>
      <c r="U823" s="411">
        <f t="shared" si="66"/>
        <v>0</v>
      </c>
      <c r="V823" s="412"/>
      <c r="X823" s="413">
        <f t="shared" si="68"/>
        <v>1677</v>
      </c>
    </row>
    <row r="824" spans="1:24" ht="14.1" customHeight="1">
      <c r="A824" s="70">
        <f t="shared" si="65"/>
        <v>824</v>
      </c>
      <c r="B824" s="399" t="s">
        <v>80</v>
      </c>
      <c r="C824" s="399" t="s">
        <v>701</v>
      </c>
      <c r="D824" s="354" t="s">
        <v>165</v>
      </c>
      <c r="E824" s="404" t="s">
        <v>702</v>
      </c>
      <c r="F824" s="404" t="s">
        <v>213</v>
      </c>
      <c r="G824" s="422" t="s">
        <v>205</v>
      </c>
      <c r="H824" s="399" t="s">
        <v>250</v>
      </c>
      <c r="I824" s="399" t="s">
        <v>106</v>
      </c>
      <c r="J824" s="399" t="s">
        <v>179</v>
      </c>
      <c r="K824" s="399">
        <v>1.1000000000000001</v>
      </c>
      <c r="L824" s="408">
        <f t="shared" si="67"/>
        <v>130</v>
      </c>
      <c r="M824" s="409">
        <v>130</v>
      </c>
      <c r="N824" s="423"/>
      <c r="O824" s="423"/>
      <c r="P824" s="410" t="e">
        <f>IF(M824="nio",0,IF(M824&gt;0,M824*K824/S824,0))*VLOOKUP(B824,'2-Kosten per locatie'!$A$14:$C$61,3,FALSE)</f>
        <v>#DIV/0!</v>
      </c>
      <c r="Q824" s="410">
        <f>IF(N824&gt;0,N824*K824/T824,0)*VLOOKUP(B824,'2-Kosten per locatie'!$A$14:$C$61,3,FALSE)</f>
        <v>0</v>
      </c>
      <c r="R824" s="410">
        <f>IF(O824&gt;0,O824*K824/U824,0)*VLOOKUP(B824,'2-Kosten per locatie'!$A$14:$C$61,3,FALSE)</f>
        <v>0</v>
      </c>
      <c r="S824" s="411">
        <f>IF(M824="nio",0,IF(M824&gt;0,VLOOKUP(I824,'3-Productie normen'!A:P,VLOOKUP(M824,'3-Productie normen'!$B$38:$C$48,2,FALSE),FALSE)))</f>
        <v>0</v>
      </c>
      <c r="T824" s="411">
        <f t="shared" si="63"/>
        <v>0</v>
      </c>
      <c r="U824" s="411">
        <f t="shared" si="66"/>
        <v>0</v>
      </c>
      <c r="V824" s="412"/>
      <c r="X824" s="413">
        <f t="shared" si="68"/>
        <v>143</v>
      </c>
    </row>
    <row r="825" spans="1:24" ht="14.1" customHeight="1">
      <c r="A825" s="70">
        <f t="shared" si="65"/>
        <v>825</v>
      </c>
      <c r="B825" s="399" t="s">
        <v>80</v>
      </c>
      <c r="C825" s="399" t="s">
        <v>701</v>
      </c>
      <c r="D825" s="354" t="s">
        <v>165</v>
      </c>
      <c r="E825" s="404" t="s">
        <v>702</v>
      </c>
      <c r="F825" s="404" t="s">
        <v>213</v>
      </c>
      <c r="G825" s="422" t="s">
        <v>180</v>
      </c>
      <c r="H825" s="399" t="s">
        <v>703</v>
      </c>
      <c r="I825" s="399" t="s">
        <v>111</v>
      </c>
      <c r="J825" s="399" t="s">
        <v>179</v>
      </c>
      <c r="K825" s="399">
        <v>24.9</v>
      </c>
      <c r="L825" s="408">
        <f t="shared" si="67"/>
        <v>130</v>
      </c>
      <c r="M825" s="409">
        <v>130</v>
      </c>
      <c r="N825" s="423"/>
      <c r="O825" s="423"/>
      <c r="P825" s="410" t="e">
        <f>IF(M825="nio",0,IF(M825&gt;0,M825*K825/S825,0))*VLOOKUP(B825,'2-Kosten per locatie'!$A$14:$C$61,3,FALSE)</f>
        <v>#DIV/0!</v>
      </c>
      <c r="Q825" s="410">
        <f>IF(N825&gt;0,N825*K825/T825,0)*VLOOKUP(B825,'2-Kosten per locatie'!$A$14:$C$61,3,FALSE)</f>
        <v>0</v>
      </c>
      <c r="R825" s="410">
        <f>IF(O825&gt;0,O825*K825/U825,0)*VLOOKUP(B825,'2-Kosten per locatie'!$A$14:$C$61,3,FALSE)</f>
        <v>0</v>
      </c>
      <c r="S825" s="411">
        <f>IF(M825="nio",0,IF(M825&gt;0,VLOOKUP(I825,'3-Productie normen'!A:P,VLOOKUP(M825,'3-Productie normen'!$B$38:$C$48,2,FALSE),FALSE)))</f>
        <v>0</v>
      </c>
      <c r="T825" s="411">
        <f t="shared" si="63"/>
        <v>0</v>
      </c>
      <c r="U825" s="411">
        <f t="shared" si="66"/>
        <v>0</v>
      </c>
      <c r="V825" s="412"/>
      <c r="X825" s="413">
        <f t="shared" si="68"/>
        <v>3237</v>
      </c>
    </row>
    <row r="826" spans="1:24" ht="14.1" customHeight="1">
      <c r="A826" s="70">
        <f t="shared" si="65"/>
        <v>826</v>
      </c>
      <c r="B826" s="399" t="s">
        <v>80</v>
      </c>
      <c r="C826" s="399" t="s">
        <v>701</v>
      </c>
      <c r="D826" s="354" t="s">
        <v>165</v>
      </c>
      <c r="E826" s="404" t="s">
        <v>702</v>
      </c>
      <c r="F826" s="404" t="s">
        <v>213</v>
      </c>
      <c r="G826" s="422" t="s">
        <v>182</v>
      </c>
      <c r="H826" s="399" t="s">
        <v>600</v>
      </c>
      <c r="I826" s="399" t="s">
        <v>119</v>
      </c>
      <c r="J826" s="399" t="s">
        <v>179</v>
      </c>
      <c r="K826" s="399">
        <v>12.9</v>
      </c>
      <c r="L826" s="408">
        <f t="shared" si="67"/>
        <v>130</v>
      </c>
      <c r="M826" s="409">
        <v>130</v>
      </c>
      <c r="N826" s="423"/>
      <c r="O826" s="423"/>
      <c r="P826" s="410" t="e">
        <f>IF(M826="nio",0,IF(M826&gt;0,M826*K826/S826,0))*VLOOKUP(B826,'2-Kosten per locatie'!$A$14:$C$61,3,FALSE)</f>
        <v>#DIV/0!</v>
      </c>
      <c r="Q826" s="410">
        <f>IF(N826&gt;0,N826*K826/T826,0)*VLOOKUP(B826,'2-Kosten per locatie'!$A$14:$C$61,3,FALSE)</f>
        <v>0</v>
      </c>
      <c r="R826" s="410">
        <f>IF(O826&gt;0,O826*K826/U826,0)*VLOOKUP(B826,'2-Kosten per locatie'!$A$14:$C$61,3,FALSE)</f>
        <v>0</v>
      </c>
      <c r="S826" s="411">
        <f>IF(M826="nio",0,IF(M826&gt;0,VLOOKUP(I826,'3-Productie normen'!A:P,VLOOKUP(M826,'3-Productie normen'!$B$38:$C$48,2,FALSE),FALSE)))</f>
        <v>0</v>
      </c>
      <c r="T826" s="411">
        <f t="shared" si="63"/>
        <v>0</v>
      </c>
      <c r="U826" s="411">
        <f t="shared" si="66"/>
        <v>0</v>
      </c>
      <c r="V826" s="412"/>
      <c r="X826" s="413">
        <f t="shared" si="68"/>
        <v>1677</v>
      </c>
    </row>
    <row r="827" spans="1:24" ht="14.1" customHeight="1">
      <c r="A827" s="70">
        <f t="shared" si="65"/>
        <v>827</v>
      </c>
      <c r="B827" s="399" t="s">
        <v>80</v>
      </c>
      <c r="C827" s="399" t="s">
        <v>701</v>
      </c>
      <c r="D827" s="354" t="s">
        <v>165</v>
      </c>
      <c r="E827" s="404" t="s">
        <v>702</v>
      </c>
      <c r="F827" s="404" t="s">
        <v>235</v>
      </c>
      <c r="G827" s="422" t="s">
        <v>207</v>
      </c>
      <c r="H827" s="399" t="s">
        <v>250</v>
      </c>
      <c r="I827" s="399" t="s">
        <v>106</v>
      </c>
      <c r="J827" s="399" t="s">
        <v>179</v>
      </c>
      <c r="K827" s="399">
        <v>1.1000000000000001</v>
      </c>
      <c r="L827" s="408">
        <f t="shared" si="67"/>
        <v>130</v>
      </c>
      <c r="M827" s="409">
        <v>130</v>
      </c>
      <c r="N827" s="423"/>
      <c r="O827" s="423"/>
      <c r="P827" s="410" t="e">
        <f>IF(M827="nio",0,IF(M827&gt;0,M827*K827/S827,0))*VLOOKUP(B827,'2-Kosten per locatie'!$A$14:$C$61,3,FALSE)</f>
        <v>#DIV/0!</v>
      </c>
      <c r="Q827" s="410">
        <f>IF(N827&gt;0,N827*K827/T827,0)*VLOOKUP(B827,'2-Kosten per locatie'!$A$14:$C$61,3,FALSE)</f>
        <v>0</v>
      </c>
      <c r="R827" s="410">
        <f>IF(O827&gt;0,O827*K827/U827,0)*VLOOKUP(B827,'2-Kosten per locatie'!$A$14:$C$61,3,FALSE)</f>
        <v>0</v>
      </c>
      <c r="S827" s="411">
        <f>IF(M827="nio",0,IF(M827&gt;0,VLOOKUP(I827,'3-Productie normen'!A:P,VLOOKUP(M827,'3-Productie normen'!$B$38:$C$48,2,FALSE),FALSE)))</f>
        <v>0</v>
      </c>
      <c r="T827" s="411">
        <f t="shared" si="63"/>
        <v>0</v>
      </c>
      <c r="U827" s="411">
        <f t="shared" si="66"/>
        <v>0</v>
      </c>
      <c r="V827" s="412"/>
      <c r="X827" s="413">
        <f t="shared" si="68"/>
        <v>143</v>
      </c>
    </row>
    <row r="828" spans="1:24" ht="14.1" customHeight="1">
      <c r="A828" s="70">
        <f t="shared" si="65"/>
        <v>828</v>
      </c>
      <c r="B828" s="399" t="s">
        <v>80</v>
      </c>
      <c r="C828" s="399" t="s">
        <v>701</v>
      </c>
      <c r="D828" s="354" t="s">
        <v>165</v>
      </c>
      <c r="E828" s="404" t="s">
        <v>702</v>
      </c>
      <c r="F828" s="404" t="s">
        <v>213</v>
      </c>
      <c r="G828" s="422" t="s">
        <v>246</v>
      </c>
      <c r="H828" s="399" t="s">
        <v>250</v>
      </c>
      <c r="I828" s="399" t="s">
        <v>106</v>
      </c>
      <c r="J828" s="399" t="s">
        <v>179</v>
      </c>
      <c r="K828" s="399">
        <v>2.2000000000000002</v>
      </c>
      <c r="L828" s="408">
        <f t="shared" si="67"/>
        <v>130</v>
      </c>
      <c r="M828" s="409">
        <v>130</v>
      </c>
      <c r="N828" s="423"/>
      <c r="O828" s="423"/>
      <c r="P828" s="410" t="e">
        <f>IF(M828="nio",0,IF(M828&gt;0,M828*K828/S828,0))*VLOOKUP(B828,'2-Kosten per locatie'!$A$14:$C$61,3,FALSE)</f>
        <v>#DIV/0!</v>
      </c>
      <c r="Q828" s="410">
        <f>IF(N828&gt;0,N828*K828/T828,0)*VLOOKUP(B828,'2-Kosten per locatie'!$A$14:$C$61,3,FALSE)</f>
        <v>0</v>
      </c>
      <c r="R828" s="410">
        <f>IF(O828&gt;0,O828*K828/U828,0)*VLOOKUP(B828,'2-Kosten per locatie'!$A$14:$C$61,3,FALSE)</f>
        <v>0</v>
      </c>
      <c r="S828" s="411">
        <f>IF(M828="nio",0,IF(M828&gt;0,VLOOKUP(I828,'3-Productie normen'!A:P,VLOOKUP(M828,'3-Productie normen'!$B$38:$C$48,2,FALSE),FALSE)))</f>
        <v>0</v>
      </c>
      <c r="T828" s="411">
        <f t="shared" si="63"/>
        <v>0</v>
      </c>
      <c r="U828" s="411">
        <f t="shared" si="66"/>
        <v>0</v>
      </c>
      <c r="V828" s="412"/>
      <c r="X828" s="413">
        <f t="shared" si="68"/>
        <v>286</v>
      </c>
    </row>
    <row r="829" spans="1:24" ht="14.1" customHeight="1">
      <c r="A829" s="70">
        <f t="shared" si="65"/>
        <v>829</v>
      </c>
      <c r="B829" s="399" t="s">
        <v>80</v>
      </c>
      <c r="C829" s="399" t="s">
        <v>701</v>
      </c>
      <c r="D829" s="354" t="s">
        <v>165</v>
      </c>
      <c r="E829" s="404" t="s">
        <v>702</v>
      </c>
      <c r="F829" s="404" t="s">
        <v>213</v>
      </c>
      <c r="G829" s="422" t="s">
        <v>247</v>
      </c>
      <c r="H829" s="399" t="s">
        <v>250</v>
      </c>
      <c r="I829" s="399" t="s">
        <v>106</v>
      </c>
      <c r="J829" s="399" t="s">
        <v>179</v>
      </c>
      <c r="K829" s="399">
        <v>3.5</v>
      </c>
      <c r="L829" s="408">
        <f t="shared" si="67"/>
        <v>130</v>
      </c>
      <c r="M829" s="409">
        <v>130</v>
      </c>
      <c r="N829" s="423"/>
      <c r="O829" s="423"/>
      <c r="P829" s="410" t="e">
        <f>IF(M829="nio",0,IF(M829&gt;0,M829*K829/S829,0))*VLOOKUP(B829,'2-Kosten per locatie'!$A$14:$C$61,3,FALSE)</f>
        <v>#DIV/0!</v>
      </c>
      <c r="Q829" s="410">
        <f>IF(N829&gt;0,N829*K829/T829,0)*VLOOKUP(B829,'2-Kosten per locatie'!$A$14:$C$61,3,FALSE)</f>
        <v>0</v>
      </c>
      <c r="R829" s="410">
        <f>IF(O829&gt;0,O829*K829/U829,0)*VLOOKUP(B829,'2-Kosten per locatie'!$A$14:$C$61,3,FALSE)</f>
        <v>0</v>
      </c>
      <c r="S829" s="411">
        <f>IF(M829="nio",0,IF(M829&gt;0,VLOOKUP(I829,'3-Productie normen'!A:P,VLOOKUP(M829,'3-Productie normen'!$B$38:$C$48,2,FALSE),FALSE)))</f>
        <v>0</v>
      </c>
      <c r="T829" s="411">
        <f t="shared" si="63"/>
        <v>0</v>
      </c>
      <c r="U829" s="411">
        <f t="shared" si="66"/>
        <v>0</v>
      </c>
      <c r="V829" s="412"/>
      <c r="X829" s="413">
        <f t="shared" si="68"/>
        <v>455</v>
      </c>
    </row>
    <row r="830" spans="1:24" ht="14.1" customHeight="1">
      <c r="A830" s="70">
        <f t="shared" si="65"/>
        <v>830</v>
      </c>
      <c r="B830" s="399" t="s">
        <v>80</v>
      </c>
      <c r="C830" s="399" t="s">
        <v>701</v>
      </c>
      <c r="D830" s="354" t="s">
        <v>165</v>
      </c>
      <c r="E830" s="404" t="s">
        <v>702</v>
      </c>
      <c r="F830" s="404" t="s">
        <v>213</v>
      </c>
      <c r="G830" s="422" t="s">
        <v>212</v>
      </c>
      <c r="H830" s="399" t="s">
        <v>684</v>
      </c>
      <c r="I830" s="399" t="s">
        <v>105</v>
      </c>
      <c r="J830" s="399" t="s">
        <v>179</v>
      </c>
      <c r="K830" s="399">
        <v>7</v>
      </c>
      <c r="L830" s="408">
        <f t="shared" si="67"/>
        <v>130</v>
      </c>
      <c r="M830" s="409">
        <v>130</v>
      </c>
      <c r="N830" s="423"/>
      <c r="O830" s="423"/>
      <c r="P830" s="410" t="e">
        <f>IF(M830="nio",0,IF(M830&gt;0,M830*K830/S830,0))*VLOOKUP(B830,'2-Kosten per locatie'!$A$14:$C$61,3,FALSE)</f>
        <v>#DIV/0!</v>
      </c>
      <c r="Q830" s="410">
        <f>IF(N830&gt;0,N830*K830/T830,0)*VLOOKUP(B830,'2-Kosten per locatie'!$A$14:$C$61,3,FALSE)</f>
        <v>0</v>
      </c>
      <c r="R830" s="410">
        <f>IF(O830&gt;0,O830*K830/U830,0)*VLOOKUP(B830,'2-Kosten per locatie'!$A$14:$C$61,3,FALSE)</f>
        <v>0</v>
      </c>
      <c r="S830" s="411">
        <f>IF(M830="nio",0,IF(M830&gt;0,VLOOKUP(I830,'3-Productie normen'!A:P,VLOOKUP(M830,'3-Productie normen'!$B$38:$C$48,2,FALSE),FALSE)))</f>
        <v>0</v>
      </c>
      <c r="T830" s="411">
        <f t="shared" si="63"/>
        <v>0</v>
      </c>
      <c r="U830" s="411">
        <f t="shared" si="66"/>
        <v>0</v>
      </c>
      <c r="V830" s="412"/>
      <c r="X830" s="413">
        <f t="shared" si="68"/>
        <v>910</v>
      </c>
    </row>
    <row r="831" spans="1:24" ht="14.1" customHeight="1">
      <c r="A831" s="70">
        <f t="shared" si="65"/>
        <v>831</v>
      </c>
      <c r="B831" s="399" t="s">
        <v>80</v>
      </c>
      <c r="C831" s="399" t="s">
        <v>701</v>
      </c>
      <c r="D831" s="354" t="s">
        <v>165</v>
      </c>
      <c r="E831" s="404" t="s">
        <v>702</v>
      </c>
      <c r="F831" s="404" t="s">
        <v>213</v>
      </c>
      <c r="G831" s="422" t="s">
        <v>249</v>
      </c>
      <c r="H831" s="399" t="s">
        <v>704</v>
      </c>
      <c r="I831" s="399" t="s">
        <v>106</v>
      </c>
      <c r="J831" s="399" t="s">
        <v>179</v>
      </c>
      <c r="K831" s="399">
        <v>8.6</v>
      </c>
      <c r="L831" s="408">
        <f t="shared" si="67"/>
        <v>130</v>
      </c>
      <c r="M831" s="409">
        <v>130</v>
      </c>
      <c r="N831" s="423"/>
      <c r="O831" s="423"/>
      <c r="P831" s="410" t="e">
        <f>IF(M831="nio",0,IF(M831&gt;0,M831*K831/S831,0))*VLOOKUP(B831,'2-Kosten per locatie'!$A$14:$C$61,3,FALSE)</f>
        <v>#DIV/0!</v>
      </c>
      <c r="Q831" s="410">
        <f>IF(N831&gt;0,N831*K831/T831,0)*VLOOKUP(B831,'2-Kosten per locatie'!$A$14:$C$61,3,FALSE)</f>
        <v>0</v>
      </c>
      <c r="R831" s="410">
        <f>IF(O831&gt;0,O831*K831/U831,0)*VLOOKUP(B831,'2-Kosten per locatie'!$A$14:$C$61,3,FALSE)</f>
        <v>0</v>
      </c>
      <c r="S831" s="411">
        <f>IF(M831="nio",0,IF(M831&gt;0,VLOOKUP(I831,'3-Productie normen'!A:P,VLOOKUP(M831,'3-Productie normen'!$B$38:$C$48,2,FALSE),FALSE)))</f>
        <v>0</v>
      </c>
      <c r="T831" s="411">
        <f t="shared" si="63"/>
        <v>0</v>
      </c>
      <c r="U831" s="411">
        <f t="shared" si="66"/>
        <v>0</v>
      </c>
      <c r="V831" s="412"/>
      <c r="X831" s="413">
        <f t="shared" si="68"/>
        <v>1118</v>
      </c>
    </row>
    <row r="832" spans="1:24" ht="14.1" customHeight="1">
      <c r="A832" s="70">
        <f t="shared" si="65"/>
        <v>832</v>
      </c>
      <c r="B832" s="399" t="s">
        <v>80</v>
      </c>
      <c r="C832" s="399" t="s">
        <v>701</v>
      </c>
      <c r="D832" s="354" t="s">
        <v>165</v>
      </c>
      <c r="E832" s="404" t="s">
        <v>702</v>
      </c>
      <c r="F832" s="404" t="s">
        <v>213</v>
      </c>
      <c r="G832" s="422" t="s">
        <v>251</v>
      </c>
      <c r="H832" s="399" t="s">
        <v>704</v>
      </c>
      <c r="I832" s="399" t="s">
        <v>106</v>
      </c>
      <c r="J832" s="399" t="s">
        <v>179</v>
      </c>
      <c r="K832" s="399">
        <v>8.6</v>
      </c>
      <c r="L832" s="408">
        <f t="shared" si="67"/>
        <v>130</v>
      </c>
      <c r="M832" s="409">
        <v>130</v>
      </c>
      <c r="N832" s="423"/>
      <c r="O832" s="423"/>
      <c r="P832" s="410" t="e">
        <f>IF(M832="nio",0,IF(M832&gt;0,M832*K832/S832,0))*VLOOKUP(B832,'2-Kosten per locatie'!$A$14:$C$61,3,FALSE)</f>
        <v>#DIV/0!</v>
      </c>
      <c r="Q832" s="410">
        <f>IF(N832&gt;0,N832*K832/T832,0)*VLOOKUP(B832,'2-Kosten per locatie'!$A$14:$C$61,3,FALSE)</f>
        <v>0</v>
      </c>
      <c r="R832" s="410">
        <f>IF(O832&gt;0,O832*K832/U832,0)*VLOOKUP(B832,'2-Kosten per locatie'!$A$14:$C$61,3,FALSE)</f>
        <v>0</v>
      </c>
      <c r="S832" s="411">
        <f>IF(M832="nio",0,IF(M832&gt;0,VLOOKUP(I832,'3-Productie normen'!A:P,VLOOKUP(M832,'3-Productie normen'!$B$38:$C$48,2,FALSE),FALSE)))</f>
        <v>0</v>
      </c>
      <c r="T832" s="411">
        <f t="shared" si="63"/>
        <v>0</v>
      </c>
      <c r="U832" s="411">
        <f t="shared" si="66"/>
        <v>0</v>
      </c>
      <c r="V832" s="412"/>
      <c r="X832" s="413">
        <f t="shared" si="68"/>
        <v>1118</v>
      </c>
    </row>
    <row r="833" spans="1:24" ht="14.1" customHeight="1">
      <c r="A833" s="70">
        <f t="shared" si="65"/>
        <v>833</v>
      </c>
      <c r="B833" s="399" t="s">
        <v>81</v>
      </c>
      <c r="C833" s="399" t="s">
        <v>705</v>
      </c>
      <c r="D833" s="354" t="s">
        <v>165</v>
      </c>
      <c r="E833" s="404" t="s">
        <v>702</v>
      </c>
      <c r="F833" s="404" t="s">
        <v>213</v>
      </c>
      <c r="G833" s="422" t="s">
        <v>257</v>
      </c>
      <c r="H833" s="399" t="s">
        <v>252</v>
      </c>
      <c r="I833" s="399" t="s">
        <v>107</v>
      </c>
      <c r="J833" s="399" t="s">
        <v>463</v>
      </c>
      <c r="K833" s="399">
        <v>12.32</v>
      </c>
      <c r="L833" s="408">
        <f t="shared" si="67"/>
        <v>130</v>
      </c>
      <c r="M833" s="409">
        <v>130</v>
      </c>
      <c r="N833" s="423"/>
      <c r="O833" s="423"/>
      <c r="P833" s="410" t="e">
        <f>IF(M833="nio",0,IF(M833&gt;0,M833*K833/S833,0))*VLOOKUP(B833,'2-Kosten per locatie'!$A$14:$C$61,3,FALSE)</f>
        <v>#DIV/0!</v>
      </c>
      <c r="Q833" s="410">
        <f>IF(N833&gt;0,N833*K833/T833,0)*VLOOKUP(B833,'2-Kosten per locatie'!$A$14:$C$61,3,FALSE)</f>
        <v>0</v>
      </c>
      <c r="R833" s="410">
        <f>IF(O833&gt;0,O833*K833/U833,0)*VLOOKUP(B833,'2-Kosten per locatie'!$A$14:$C$61,3,FALSE)</f>
        <v>0</v>
      </c>
      <c r="S833" s="411">
        <f>IF(M833="nio",0,IF(M833&gt;0,VLOOKUP(I833,'3-Productie normen'!A:P,VLOOKUP(M833,'3-Productie normen'!$B$38:$C$48,2,FALSE),FALSE)))</f>
        <v>0</v>
      </c>
      <c r="T833" s="399"/>
      <c r="U833" s="411">
        <f t="shared" si="66"/>
        <v>0</v>
      </c>
      <c r="V833" s="399"/>
      <c r="X833" s="413">
        <f t="shared" si="68"/>
        <v>1601.6000000000001</v>
      </c>
    </row>
    <row r="834" spans="1:24" ht="14.1" customHeight="1">
      <c r="A834" s="70">
        <f t="shared" si="65"/>
        <v>834</v>
      </c>
      <c r="B834" s="399" t="s">
        <v>81</v>
      </c>
      <c r="C834" s="399" t="s">
        <v>705</v>
      </c>
      <c r="D834" s="354" t="s">
        <v>165</v>
      </c>
      <c r="E834" s="404" t="s">
        <v>702</v>
      </c>
      <c r="F834" s="404" t="s">
        <v>213</v>
      </c>
      <c r="G834" s="422" t="s">
        <v>258</v>
      </c>
      <c r="H834" s="399" t="s">
        <v>706</v>
      </c>
      <c r="I834" s="399" t="s">
        <v>106</v>
      </c>
      <c r="J834" s="399" t="s">
        <v>179</v>
      </c>
      <c r="K834" s="399">
        <v>15.01</v>
      </c>
      <c r="L834" s="408">
        <f t="shared" si="67"/>
        <v>130</v>
      </c>
      <c r="M834" s="409">
        <v>130</v>
      </c>
      <c r="N834" s="423"/>
      <c r="O834" s="423"/>
      <c r="P834" s="410" t="e">
        <f>IF(M834="nio",0,IF(M834&gt;0,M834*K834/S834,0))*VLOOKUP(B834,'2-Kosten per locatie'!$A$14:$C$61,3,FALSE)</f>
        <v>#DIV/0!</v>
      </c>
      <c r="Q834" s="410">
        <f>IF(N834&gt;0,N834*K834/T834,0)*VLOOKUP(B834,'2-Kosten per locatie'!$A$14:$C$61,3,FALSE)</f>
        <v>0</v>
      </c>
      <c r="R834" s="410">
        <f>IF(O834&gt;0,O834*K834/U834,0)*VLOOKUP(B834,'2-Kosten per locatie'!$A$14:$C$61,3,FALSE)</f>
        <v>0</v>
      </c>
      <c r="S834" s="411">
        <f>IF(M834="nio",0,IF(M834&gt;0,VLOOKUP(I834,'3-Productie normen'!A:P,VLOOKUP(M834,'3-Productie normen'!$B$38:$C$48,2,FALSE),FALSE)))</f>
        <v>0</v>
      </c>
      <c r="T834" s="399"/>
      <c r="U834" s="411">
        <f t="shared" si="66"/>
        <v>0</v>
      </c>
      <c r="V834" s="399"/>
      <c r="X834" s="413">
        <f t="shared" si="68"/>
        <v>1951.3</v>
      </c>
    </row>
    <row r="835" spans="1:24" ht="14.1" customHeight="1">
      <c r="A835" s="70">
        <f t="shared" si="65"/>
        <v>835</v>
      </c>
      <c r="B835" s="399" t="s">
        <v>81</v>
      </c>
      <c r="C835" s="399" t="s">
        <v>705</v>
      </c>
      <c r="D835" s="354" t="s">
        <v>165</v>
      </c>
      <c r="E835" s="404" t="s">
        <v>702</v>
      </c>
      <c r="F835" s="404" t="s">
        <v>213</v>
      </c>
      <c r="G835" s="422" t="s">
        <v>259</v>
      </c>
      <c r="H835" s="399" t="s">
        <v>707</v>
      </c>
      <c r="I835" s="399" t="s">
        <v>106</v>
      </c>
      <c r="J835" s="399" t="s">
        <v>179</v>
      </c>
      <c r="K835" s="399">
        <v>10.76</v>
      </c>
      <c r="L835" s="408">
        <f t="shared" si="67"/>
        <v>130</v>
      </c>
      <c r="M835" s="409">
        <v>130</v>
      </c>
      <c r="N835" s="423"/>
      <c r="O835" s="423"/>
      <c r="P835" s="410" t="e">
        <f>IF(M835="nio",0,IF(M835&gt;0,M835*K835/S835,0))*VLOOKUP(B835,'2-Kosten per locatie'!$A$14:$C$61,3,FALSE)</f>
        <v>#DIV/0!</v>
      </c>
      <c r="Q835" s="410">
        <f>IF(N835&gt;0,N835*K835/T835,0)*VLOOKUP(B835,'2-Kosten per locatie'!$A$14:$C$61,3,FALSE)</f>
        <v>0</v>
      </c>
      <c r="R835" s="410">
        <f>IF(O835&gt;0,O835*K835/U835,0)*VLOOKUP(B835,'2-Kosten per locatie'!$A$14:$C$61,3,FALSE)</f>
        <v>0</v>
      </c>
      <c r="S835" s="411">
        <f>IF(M835="nio",0,IF(M835&gt;0,VLOOKUP(I835,'3-Productie normen'!A:P,VLOOKUP(M835,'3-Productie normen'!$B$38:$C$48,2,FALSE),FALSE)))</f>
        <v>0</v>
      </c>
      <c r="T835" s="399"/>
      <c r="U835" s="411">
        <f t="shared" si="66"/>
        <v>0</v>
      </c>
      <c r="V835" s="399"/>
      <c r="X835" s="413">
        <f t="shared" si="68"/>
        <v>1398.8</v>
      </c>
    </row>
    <row r="836" spans="1:24" ht="14.1" customHeight="1">
      <c r="A836" s="70">
        <f t="shared" si="65"/>
        <v>836</v>
      </c>
      <c r="B836" s="399" t="s">
        <v>81</v>
      </c>
      <c r="C836" s="399" t="s">
        <v>705</v>
      </c>
      <c r="D836" s="354" t="s">
        <v>165</v>
      </c>
      <c r="E836" s="404" t="s">
        <v>702</v>
      </c>
      <c r="F836" s="404">
        <v>-1</v>
      </c>
      <c r="G836" s="422" t="s">
        <v>708</v>
      </c>
      <c r="H836" s="399" t="s">
        <v>703</v>
      </c>
      <c r="I836" s="399" t="s">
        <v>111</v>
      </c>
      <c r="J836" s="399" t="s">
        <v>179</v>
      </c>
      <c r="K836" s="399">
        <v>29.5</v>
      </c>
      <c r="L836" s="408">
        <f t="shared" si="67"/>
        <v>130</v>
      </c>
      <c r="M836" s="409">
        <v>130</v>
      </c>
      <c r="N836" s="423"/>
      <c r="O836" s="423"/>
      <c r="P836" s="410" t="e">
        <f>IF(M836="nio",0,IF(M836&gt;0,M836*K836/S836,0))*VLOOKUP(B836,'2-Kosten per locatie'!$A$14:$C$61,3,FALSE)</f>
        <v>#DIV/0!</v>
      </c>
      <c r="Q836" s="410">
        <f>IF(N836&gt;0,N836*K836/T836,0)*VLOOKUP(B836,'2-Kosten per locatie'!$A$14:$C$61,3,FALSE)</f>
        <v>0</v>
      </c>
      <c r="R836" s="410">
        <f>IF(O836&gt;0,O836*K836/U836,0)*VLOOKUP(B836,'2-Kosten per locatie'!$A$14:$C$61,3,FALSE)</f>
        <v>0</v>
      </c>
      <c r="S836" s="411">
        <f>IF(M836="nio",0,IF(M836&gt;0,VLOOKUP(I836,'3-Productie normen'!A:P,VLOOKUP(M836,'3-Productie normen'!$B$38:$C$48,2,FALSE),FALSE)))</f>
        <v>0</v>
      </c>
      <c r="T836" s="399"/>
      <c r="U836" s="411">
        <f t="shared" si="66"/>
        <v>0</v>
      </c>
      <c r="V836" s="399"/>
      <c r="X836" s="413">
        <f t="shared" si="68"/>
        <v>3835</v>
      </c>
    </row>
    <row r="837" spans="1:24" ht="14.1" customHeight="1">
      <c r="A837" s="70">
        <f t="shared" si="65"/>
        <v>837</v>
      </c>
      <c r="B837" s="399" t="s">
        <v>81</v>
      </c>
      <c r="C837" s="399" t="s">
        <v>705</v>
      </c>
      <c r="D837" s="354" t="s">
        <v>165</v>
      </c>
      <c r="E837" s="404" t="s">
        <v>702</v>
      </c>
      <c r="F837" s="404">
        <v>-1</v>
      </c>
      <c r="G837" s="422" t="s">
        <v>709</v>
      </c>
      <c r="H837" s="399" t="s">
        <v>703</v>
      </c>
      <c r="I837" s="399" t="s">
        <v>111</v>
      </c>
      <c r="J837" s="399" t="s">
        <v>179</v>
      </c>
      <c r="K837" s="399">
        <v>15</v>
      </c>
      <c r="L837" s="408">
        <f t="shared" si="67"/>
        <v>130</v>
      </c>
      <c r="M837" s="409">
        <v>130</v>
      </c>
      <c r="N837" s="423"/>
      <c r="O837" s="423"/>
      <c r="P837" s="410" t="e">
        <f>IF(M837="nio",0,IF(M837&gt;0,M837*K837/S837,0))*VLOOKUP(B837,'2-Kosten per locatie'!$A$14:$C$61,3,FALSE)</f>
        <v>#DIV/0!</v>
      </c>
      <c r="Q837" s="410">
        <f>IF(N837&gt;0,N837*K837/T837,0)*VLOOKUP(B837,'2-Kosten per locatie'!$A$14:$C$61,3,FALSE)</f>
        <v>0</v>
      </c>
      <c r="R837" s="410">
        <f>IF(O837&gt;0,O837*K837/U837,0)*VLOOKUP(B837,'2-Kosten per locatie'!$A$14:$C$61,3,FALSE)</f>
        <v>0</v>
      </c>
      <c r="S837" s="411">
        <f>IF(M837="nio",0,IF(M837&gt;0,VLOOKUP(I837,'3-Productie normen'!A:P,VLOOKUP(M837,'3-Productie normen'!$B$38:$C$48,2,FALSE),FALSE)))</f>
        <v>0</v>
      </c>
      <c r="T837" s="399"/>
      <c r="U837" s="411">
        <f t="shared" si="66"/>
        <v>0</v>
      </c>
      <c r="V837" s="399"/>
      <c r="X837" s="413">
        <f t="shared" si="68"/>
        <v>1950</v>
      </c>
    </row>
    <row r="838" spans="1:24" ht="14.1" customHeight="1">
      <c r="A838" s="70">
        <f t="shared" si="65"/>
        <v>838</v>
      </c>
      <c r="B838" s="399" t="s">
        <v>81</v>
      </c>
      <c r="C838" s="399" t="s">
        <v>705</v>
      </c>
      <c r="D838" s="354" t="s">
        <v>165</v>
      </c>
      <c r="E838" s="404" t="s">
        <v>702</v>
      </c>
      <c r="F838" s="404">
        <v>-1</v>
      </c>
      <c r="G838" s="422" t="s">
        <v>710</v>
      </c>
      <c r="H838" s="399" t="s">
        <v>703</v>
      </c>
      <c r="I838" s="399" t="s">
        <v>111</v>
      </c>
      <c r="J838" s="399" t="s">
        <v>179</v>
      </c>
      <c r="K838" s="399">
        <v>29.5</v>
      </c>
      <c r="L838" s="408">
        <f t="shared" si="67"/>
        <v>130</v>
      </c>
      <c r="M838" s="409">
        <v>130</v>
      </c>
      <c r="N838" s="423"/>
      <c r="O838" s="423"/>
      <c r="P838" s="410" t="e">
        <f>IF(M838="nio",0,IF(M838&gt;0,M838*K838/S838,0))*VLOOKUP(B838,'2-Kosten per locatie'!$A$14:$C$61,3,FALSE)</f>
        <v>#DIV/0!</v>
      </c>
      <c r="Q838" s="410">
        <f>IF(N838&gt;0,N838*K838/T838,0)*VLOOKUP(B838,'2-Kosten per locatie'!$A$14:$C$61,3,FALSE)</f>
        <v>0</v>
      </c>
      <c r="R838" s="410">
        <f>IF(O838&gt;0,O838*K838/U838,0)*VLOOKUP(B838,'2-Kosten per locatie'!$A$14:$C$61,3,FALSE)</f>
        <v>0</v>
      </c>
      <c r="S838" s="411">
        <f>IF(M838="nio",0,IF(M838&gt;0,VLOOKUP(I838,'3-Productie normen'!A:P,VLOOKUP(M838,'3-Productie normen'!$B$38:$C$48,2,FALSE),FALSE)))</f>
        <v>0</v>
      </c>
      <c r="T838" s="399"/>
      <c r="U838" s="411">
        <f t="shared" si="66"/>
        <v>0</v>
      </c>
      <c r="V838" s="399"/>
      <c r="X838" s="413">
        <f t="shared" si="68"/>
        <v>3835</v>
      </c>
    </row>
    <row r="839" spans="1:24" ht="14.1" customHeight="1">
      <c r="A839" s="70">
        <f t="shared" si="65"/>
        <v>839</v>
      </c>
      <c r="B839" s="399" t="s">
        <v>81</v>
      </c>
      <c r="C839" s="399" t="s">
        <v>705</v>
      </c>
      <c r="D839" s="354" t="s">
        <v>165</v>
      </c>
      <c r="E839" s="404" t="s">
        <v>702</v>
      </c>
      <c r="F839" s="404">
        <v>-1</v>
      </c>
      <c r="G839" s="422" t="s">
        <v>711</v>
      </c>
      <c r="H839" s="399" t="s">
        <v>703</v>
      </c>
      <c r="I839" s="399" t="s">
        <v>111</v>
      </c>
      <c r="J839" s="399" t="s">
        <v>179</v>
      </c>
      <c r="K839" s="399">
        <v>29.5</v>
      </c>
      <c r="L839" s="408">
        <f t="shared" si="67"/>
        <v>130</v>
      </c>
      <c r="M839" s="409">
        <v>130</v>
      </c>
      <c r="N839" s="423"/>
      <c r="O839" s="423"/>
      <c r="P839" s="410" t="e">
        <f>IF(M839="nio",0,IF(M839&gt;0,M839*K839/S839,0))*VLOOKUP(B839,'2-Kosten per locatie'!$A$14:$C$61,3,FALSE)</f>
        <v>#DIV/0!</v>
      </c>
      <c r="Q839" s="410">
        <f>IF(N839&gt;0,N839*K839/T839,0)*VLOOKUP(B839,'2-Kosten per locatie'!$A$14:$C$61,3,FALSE)</f>
        <v>0</v>
      </c>
      <c r="R839" s="410">
        <f>IF(O839&gt;0,O839*K839/U839,0)*VLOOKUP(B839,'2-Kosten per locatie'!$A$14:$C$61,3,FALSE)</f>
        <v>0</v>
      </c>
      <c r="S839" s="411">
        <f>IF(M839="nio",0,IF(M839&gt;0,VLOOKUP(I839,'3-Productie normen'!A:P,VLOOKUP(M839,'3-Productie normen'!$B$38:$C$48,2,FALSE),FALSE)))</f>
        <v>0</v>
      </c>
      <c r="T839" s="399"/>
      <c r="U839" s="411">
        <f t="shared" si="66"/>
        <v>0</v>
      </c>
      <c r="V839" s="399"/>
      <c r="X839" s="413">
        <f t="shared" si="68"/>
        <v>3835</v>
      </c>
    </row>
    <row r="840" spans="1:24" ht="14.1" customHeight="1">
      <c r="A840" s="70">
        <f t="shared" si="65"/>
        <v>840</v>
      </c>
      <c r="B840" s="399" t="s">
        <v>81</v>
      </c>
      <c r="C840" s="399" t="s">
        <v>705</v>
      </c>
      <c r="D840" s="354" t="s">
        <v>165</v>
      </c>
      <c r="E840" s="404" t="s">
        <v>702</v>
      </c>
      <c r="F840" s="404">
        <v>-1</v>
      </c>
      <c r="G840" s="422" t="s">
        <v>712</v>
      </c>
      <c r="H840" s="399" t="s">
        <v>703</v>
      </c>
      <c r="I840" s="399" t="s">
        <v>111</v>
      </c>
      <c r="J840" s="399" t="s">
        <v>179</v>
      </c>
      <c r="K840" s="399">
        <v>15</v>
      </c>
      <c r="L840" s="408">
        <f t="shared" si="67"/>
        <v>130</v>
      </c>
      <c r="M840" s="409">
        <v>130</v>
      </c>
      <c r="N840" s="423"/>
      <c r="O840" s="423"/>
      <c r="P840" s="410" t="e">
        <f>IF(M840="nio",0,IF(M840&gt;0,M840*K840/S840,0))*VLOOKUP(B840,'2-Kosten per locatie'!$A$14:$C$61,3,FALSE)</f>
        <v>#DIV/0!</v>
      </c>
      <c r="Q840" s="410">
        <f>IF(N840&gt;0,N840*K840/T840,0)*VLOOKUP(B840,'2-Kosten per locatie'!$A$14:$C$61,3,FALSE)</f>
        <v>0</v>
      </c>
      <c r="R840" s="410">
        <f>IF(O840&gt;0,O840*K840/U840,0)*VLOOKUP(B840,'2-Kosten per locatie'!$A$14:$C$61,3,FALSE)</f>
        <v>0</v>
      </c>
      <c r="S840" s="411">
        <f>IF(M840="nio",0,IF(M840&gt;0,VLOOKUP(I840,'3-Productie normen'!A:P,VLOOKUP(M840,'3-Productie normen'!$B$38:$C$48,2,FALSE),FALSE)))</f>
        <v>0</v>
      </c>
      <c r="T840" s="399"/>
      <c r="U840" s="411">
        <f t="shared" si="66"/>
        <v>0</v>
      </c>
      <c r="V840" s="399"/>
      <c r="X840" s="413">
        <f t="shared" si="68"/>
        <v>1950</v>
      </c>
    </row>
    <row r="841" spans="1:24" ht="14.1" customHeight="1">
      <c r="A841" s="70">
        <f t="shared" si="65"/>
        <v>841</v>
      </c>
      <c r="B841" s="399" t="s">
        <v>81</v>
      </c>
      <c r="C841" s="399" t="s">
        <v>705</v>
      </c>
      <c r="D841" s="354" t="s">
        <v>165</v>
      </c>
      <c r="E841" s="404" t="s">
        <v>702</v>
      </c>
      <c r="F841" s="404">
        <v>-1</v>
      </c>
      <c r="G841" s="422" t="s">
        <v>713</v>
      </c>
      <c r="H841" s="399" t="s">
        <v>703</v>
      </c>
      <c r="I841" s="399" t="s">
        <v>111</v>
      </c>
      <c r="J841" s="399" t="s">
        <v>179</v>
      </c>
      <c r="K841" s="399">
        <v>29.5</v>
      </c>
      <c r="L841" s="408">
        <f t="shared" si="67"/>
        <v>130</v>
      </c>
      <c r="M841" s="409">
        <v>130</v>
      </c>
      <c r="N841" s="423"/>
      <c r="O841" s="423"/>
      <c r="P841" s="410" t="e">
        <f>IF(M841="nio",0,IF(M841&gt;0,M841*K841/S841,0))*VLOOKUP(B841,'2-Kosten per locatie'!$A$14:$C$61,3,FALSE)</f>
        <v>#DIV/0!</v>
      </c>
      <c r="Q841" s="410">
        <f>IF(N841&gt;0,N841*K841/T841,0)*VLOOKUP(B841,'2-Kosten per locatie'!$A$14:$C$61,3,FALSE)</f>
        <v>0</v>
      </c>
      <c r="R841" s="410">
        <f>IF(O841&gt;0,O841*K841/U841,0)*VLOOKUP(B841,'2-Kosten per locatie'!$A$14:$C$61,3,FALSE)</f>
        <v>0</v>
      </c>
      <c r="S841" s="411">
        <f>IF(M841="nio",0,IF(M841&gt;0,VLOOKUP(I841,'3-Productie normen'!A:P,VLOOKUP(M841,'3-Productie normen'!$B$38:$C$48,2,FALSE),FALSE)))</f>
        <v>0</v>
      </c>
      <c r="T841" s="399"/>
      <c r="U841" s="411">
        <f t="shared" si="66"/>
        <v>0</v>
      </c>
      <c r="V841" s="399"/>
      <c r="X841" s="413">
        <f t="shared" si="68"/>
        <v>3835</v>
      </c>
    </row>
  </sheetData>
  <autoFilter ref="B9:X841" xr:uid="{00000000-0009-0000-0000-000004000000}"/>
  <mergeCells count="1">
    <mergeCell ref="T6:U7"/>
  </mergeCells>
  <phoneticPr fontId="13"/>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7" manualBreakCount="7">
    <brk id="36" min="1" max="21" man="1"/>
    <brk id="118" min="1" max="21" man="1"/>
    <brk id="180" min="1" max="21" man="1"/>
    <brk id="230" min="1" max="21" man="1"/>
    <brk id="280" min="1" max="21" man="1"/>
    <brk id="331" min="1" max="21" man="1"/>
    <brk id="380"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26" activePane="bottomLeft" state="frozen"/>
      <selection activeCell="S18" sqref="S18"/>
      <selection pane="bottomLeft" activeCell="B61" sqref="B61"/>
    </sheetView>
  </sheetViews>
  <sheetFormatPr defaultColWidth="9.44140625" defaultRowHeight="13.2"/>
  <cols>
    <col min="1" max="1" width="45.5546875" style="56" customWidth="1"/>
    <col min="2" max="3" width="18.44140625" style="56" customWidth="1"/>
    <col min="4" max="4" width="10.5546875" style="2" customWidth="1"/>
    <col min="5" max="5" width="11.109375" style="2" customWidth="1"/>
    <col min="6" max="6" width="2.109375" style="2" customWidth="1"/>
    <col min="7" max="7" width="7.88671875" style="2" customWidth="1"/>
    <col min="8" max="8" width="27" style="2" bestFit="1" customWidth="1"/>
    <col min="9" max="16384" width="9.44140625" style="2"/>
  </cols>
  <sheetData>
    <row r="1" spans="1:8">
      <c r="A1" s="424" t="s">
        <v>4</v>
      </c>
      <c r="B1" s="86"/>
      <c r="C1" s="87"/>
      <c r="D1" s="1"/>
      <c r="E1" s="1"/>
      <c r="F1" s="1"/>
      <c r="G1" s="1"/>
    </row>
    <row r="2" spans="1:8">
      <c r="A2" s="87"/>
      <c r="B2" s="87"/>
      <c r="C2" s="87"/>
      <c r="D2" s="1"/>
      <c r="E2" s="1"/>
      <c r="F2" s="1"/>
      <c r="G2" s="1"/>
    </row>
    <row r="3" spans="1:8" ht="15.6">
      <c r="A3" s="38" t="str">
        <f>'2-Kosten per locatie'!A3</f>
        <v>Naam opdrachtgever</v>
      </c>
      <c r="B3" s="47" t="str">
        <f>'2-Kosten per locatie'!B3</f>
        <v>Gemeente Zoetermeer</v>
      </c>
      <c r="C3" s="87"/>
      <c r="D3" s="1"/>
      <c r="E3" s="32"/>
      <c r="F3" s="1"/>
      <c r="G3" s="1"/>
    </row>
    <row r="4" spans="1:8" ht="15.6">
      <c r="A4" s="38" t="str">
        <f>'2-Kosten per locatie'!A4</f>
        <v>Calculatie onderdeel</v>
      </c>
      <c r="B4" s="47" t="str">
        <f ca="1">MID(CELL("bestandsnaam",$C$9),SEARCH("]",CELL("bestandsnaam",$C$9),1)+1,256)</f>
        <v>5-Premies en opslagen</v>
      </c>
      <c r="C4" s="88"/>
      <c r="D4" s="16"/>
      <c r="E4" s="4"/>
      <c r="F4" s="4"/>
      <c r="G4" s="4"/>
    </row>
    <row r="5" spans="1:8" ht="15.6">
      <c r="A5" s="38" t="str">
        <f>'2-Kosten per locatie'!A5</f>
        <v>Gebouw/plaats</v>
      </c>
      <c r="B5" s="47" t="str">
        <f>'2-Kosten per locatie'!B5</f>
        <v>Diversen Zoetermeer</v>
      </c>
      <c r="C5" s="38"/>
      <c r="D5" s="8"/>
      <c r="E5" s="17"/>
      <c r="F5" s="5"/>
      <c r="G5" s="4"/>
    </row>
    <row r="6" spans="1:8" ht="15.6">
      <c r="A6" s="38" t="str">
        <f>'2-Kosten per locatie'!A6</f>
        <v>Referentie nummer</v>
      </c>
      <c r="B6" s="47" t="str">
        <f>'2-Kosten per locatie'!B6</f>
        <v>2025-045275 </v>
      </c>
      <c r="C6" s="72"/>
      <c r="D6" s="8"/>
      <c r="E6" s="34"/>
      <c r="F6" s="33"/>
      <c r="G6" s="35"/>
      <c r="H6" s="36"/>
    </row>
    <row r="7" spans="1:8" ht="15.6">
      <c r="A7" s="38" t="str">
        <f>'2-Kosten per locatie'!A7</f>
        <v>Naam dienstverlener</v>
      </c>
      <c r="B7" s="47">
        <f>'2-Kosten per locatie'!B7</f>
        <v>0</v>
      </c>
      <c r="C7" s="72"/>
      <c r="D7" s="8"/>
      <c r="E7" s="17"/>
      <c r="F7" s="5"/>
      <c r="G7" s="4"/>
    </row>
    <row r="8" spans="1:8" ht="15.6">
      <c r="A8" s="38" t="str">
        <f>'2-Kosten per locatie'!A8</f>
        <v>Prijspeil</v>
      </c>
      <c r="B8" s="320">
        <f>'2-Kosten per locatie'!B8</f>
        <v>2026</v>
      </c>
      <c r="C8" s="89"/>
      <c r="D8" s="17"/>
      <c r="E8" s="17"/>
      <c r="F8" s="5"/>
      <c r="G8" s="4"/>
    </row>
    <row r="9" spans="1:8" ht="18.600000000000001">
      <c r="A9" s="178"/>
      <c r="B9" s="89"/>
      <c r="C9" s="89"/>
      <c r="D9" s="17"/>
      <c r="E9" s="17"/>
      <c r="F9" s="5"/>
      <c r="G9" s="4"/>
    </row>
    <row r="10" spans="1:8" ht="21">
      <c r="A10" s="230" t="s">
        <v>714</v>
      </c>
      <c r="B10" s="231"/>
      <c r="C10" s="232"/>
      <c r="D10" s="17"/>
      <c r="E10" s="17"/>
      <c r="F10" s="5"/>
      <c r="G10" s="4"/>
    </row>
    <row r="11" spans="1:8">
      <c r="A11" s="90"/>
      <c r="B11" s="91"/>
      <c r="C11" s="91"/>
      <c r="D11" s="17"/>
      <c r="E11" s="17"/>
      <c r="F11" s="4"/>
      <c r="G11" s="4"/>
    </row>
    <row r="12" spans="1:8">
      <c r="A12" s="233"/>
      <c r="B12" s="228"/>
      <c r="C12" s="234" t="s">
        <v>715</v>
      </c>
      <c r="D12" s="17"/>
      <c r="E12" s="17"/>
      <c r="F12" s="5"/>
      <c r="G12" s="4"/>
    </row>
    <row r="13" spans="1:8">
      <c r="A13" s="92" t="s">
        <v>716</v>
      </c>
      <c r="B13" s="228"/>
      <c r="C13" s="425"/>
      <c r="D13" s="17"/>
      <c r="E13" s="17"/>
      <c r="F13" s="18"/>
      <c r="G13" s="4"/>
    </row>
    <row r="14" spans="1:8">
      <c r="A14" s="92" t="s">
        <v>717</v>
      </c>
      <c r="B14" s="228"/>
      <c r="C14" s="425"/>
      <c r="D14" s="17"/>
      <c r="E14" s="17"/>
      <c r="F14" s="18"/>
      <c r="G14" s="4"/>
    </row>
    <row r="15" spans="1:8">
      <c r="A15" s="92" t="s">
        <v>718</v>
      </c>
      <c r="B15" s="228"/>
      <c r="C15" s="425"/>
      <c r="D15" s="17"/>
      <c r="E15" s="17"/>
      <c r="F15" s="18"/>
      <c r="G15" s="4"/>
    </row>
    <row r="16" spans="1:8">
      <c r="A16" s="235" t="s">
        <v>83</v>
      </c>
      <c r="B16" s="236"/>
      <c r="C16" s="426">
        <f>SUM(C13:C15)</f>
        <v>0</v>
      </c>
      <c r="D16" s="17"/>
      <c r="E16" s="17"/>
      <c r="F16" s="4"/>
    </row>
    <row r="17" spans="1:7">
      <c r="A17" s="235"/>
      <c r="B17" s="236"/>
      <c r="C17" s="426"/>
      <c r="D17" s="17"/>
      <c r="E17" s="17"/>
      <c r="F17" s="4"/>
    </row>
    <row r="18" spans="1:7">
      <c r="A18" s="524" t="s">
        <v>719</v>
      </c>
      <c r="B18" s="525"/>
      <c r="C18" s="425"/>
      <c r="D18" s="17"/>
      <c r="E18" s="17"/>
      <c r="F18" s="4"/>
    </row>
    <row r="19" spans="1:7">
      <c r="A19" s="92" t="s">
        <v>720</v>
      </c>
      <c r="B19" s="93"/>
      <c r="C19" s="425"/>
      <c r="D19" s="17"/>
      <c r="E19" s="17"/>
      <c r="F19" s="4"/>
    </row>
    <row r="20" spans="1:7">
      <c r="A20" s="524" t="s">
        <v>721</v>
      </c>
      <c r="B20" s="525"/>
      <c r="C20" s="425"/>
      <c r="D20" s="17"/>
      <c r="E20" s="17"/>
      <c r="F20" s="4"/>
    </row>
    <row r="21" spans="1:7">
      <c r="A21" s="524" t="s">
        <v>722</v>
      </c>
      <c r="B21" s="525"/>
      <c r="C21" s="427" t="e">
        <f>C34</f>
        <v>#DIV/0!</v>
      </c>
      <c r="D21" s="17"/>
      <c r="E21" s="17"/>
      <c r="F21" s="4"/>
    </row>
    <row r="22" spans="1:7">
      <c r="A22" s="524" t="s">
        <v>723</v>
      </c>
      <c r="B22" s="525"/>
      <c r="C22" s="425"/>
      <c r="D22" s="17"/>
      <c r="E22" s="17"/>
      <c r="F22" s="4"/>
    </row>
    <row r="23" spans="1:7">
      <c r="A23" s="524" t="s">
        <v>724</v>
      </c>
      <c r="B23" s="525"/>
      <c r="C23" s="425"/>
      <c r="D23" s="17"/>
      <c r="E23" s="17"/>
      <c r="F23" s="4"/>
    </row>
    <row r="24" spans="1:7">
      <c r="A24" s="526" t="s">
        <v>725</v>
      </c>
      <c r="B24" s="527"/>
      <c r="C24" s="237" t="e">
        <f>SUM(C16:C23)</f>
        <v>#DIV/0!</v>
      </c>
      <c r="D24" s="17"/>
      <c r="E24" s="17"/>
      <c r="F24" s="4"/>
    </row>
    <row r="25" spans="1:7">
      <c r="A25" s="94"/>
      <c r="B25" s="95"/>
      <c r="C25" s="96"/>
      <c r="D25" s="17"/>
      <c r="E25" s="17"/>
      <c r="F25" s="7"/>
      <c r="G25" s="4"/>
    </row>
    <row r="26" spans="1:7" ht="21">
      <c r="A26" s="230" t="s">
        <v>726</v>
      </c>
      <c r="B26" s="231"/>
      <c r="C26" s="232"/>
      <c r="D26" s="17"/>
      <c r="E26" s="17"/>
      <c r="F26" s="5"/>
      <c r="G26" s="4"/>
    </row>
    <row r="27" spans="1:7">
      <c r="A27" s="90"/>
      <c r="B27" s="91"/>
      <c r="C27" s="91"/>
      <c r="D27" s="17"/>
      <c r="E27" s="17"/>
      <c r="F27" s="4"/>
      <c r="G27" s="4"/>
    </row>
    <row r="28" spans="1:7">
      <c r="A28" s="91"/>
      <c r="B28" s="91"/>
      <c r="C28" s="428" t="s">
        <v>727</v>
      </c>
      <c r="D28" s="17"/>
      <c r="E28" s="17"/>
      <c r="F28" s="4"/>
      <c r="G28" s="4"/>
    </row>
    <row r="29" spans="1:7">
      <c r="A29" s="92" t="s">
        <v>728</v>
      </c>
      <c r="B29" s="228"/>
      <c r="C29" s="429">
        <f>'6-Opbouw uurtarief productie'!E21</f>
        <v>0</v>
      </c>
      <c r="D29" s="17"/>
      <c r="E29" s="17"/>
      <c r="G29" s="4"/>
    </row>
    <row r="30" spans="1:7">
      <c r="A30" s="92" t="s">
        <v>729</v>
      </c>
      <c r="B30" s="97" t="s">
        <v>730</v>
      </c>
      <c r="C30" s="430"/>
      <c r="D30" s="17"/>
      <c r="E30" s="17"/>
      <c r="F30" s="5"/>
      <c r="G30" s="4"/>
    </row>
    <row r="31" spans="1:7">
      <c r="A31" s="92" t="s">
        <v>731</v>
      </c>
      <c r="B31" s="228"/>
      <c r="C31" s="210">
        <f>C29+C30</f>
        <v>0</v>
      </c>
      <c r="D31" s="17"/>
      <c r="E31" s="17"/>
      <c r="F31" s="5"/>
      <c r="G31" s="4"/>
    </row>
    <row r="32" spans="1:7">
      <c r="A32" s="238" t="s">
        <v>732</v>
      </c>
      <c r="B32" s="98"/>
      <c r="C32" s="431"/>
      <c r="E32" s="19"/>
      <c r="F32" s="5"/>
      <c r="G32" s="4"/>
    </row>
    <row r="33" spans="1:7">
      <c r="A33" s="90"/>
      <c r="B33" s="239"/>
      <c r="C33" s="211"/>
      <c r="E33" s="3"/>
      <c r="F33" s="4"/>
      <c r="G33" s="4"/>
    </row>
    <row r="34" spans="1:7">
      <c r="A34" s="240" t="s">
        <v>733</v>
      </c>
      <c r="B34" s="241"/>
      <c r="C34" s="432" t="e">
        <f>(C31/C29)*C32</f>
        <v>#DIV/0!</v>
      </c>
      <c r="E34" s="20"/>
      <c r="F34" s="5"/>
      <c r="G34" s="21"/>
    </row>
    <row r="35" spans="1:7">
      <c r="A35" s="90"/>
      <c r="B35" s="91"/>
      <c r="C35" s="91"/>
      <c r="E35" s="20"/>
      <c r="F35" s="5"/>
      <c r="G35" s="4"/>
    </row>
    <row r="36" spans="1:7" ht="21">
      <c r="A36" s="242" t="s">
        <v>734</v>
      </c>
      <c r="B36" s="243"/>
      <c r="C36" s="244"/>
      <c r="E36" s="20"/>
      <c r="F36" s="5"/>
      <c r="G36" s="4"/>
    </row>
    <row r="37" spans="1:7">
      <c r="A37" s="94"/>
      <c r="B37" s="95"/>
      <c r="C37" s="96"/>
      <c r="E37" s="20"/>
      <c r="F37" s="5"/>
      <c r="G37" s="4"/>
    </row>
    <row r="38" spans="1:7" ht="16.2">
      <c r="A38" s="94"/>
      <c r="B38" s="433" t="s">
        <v>735</v>
      </c>
      <c r="C38" s="96"/>
      <c r="E38" s="20"/>
      <c r="F38" s="5"/>
      <c r="G38" s="4"/>
    </row>
    <row r="39" spans="1:7">
      <c r="A39" s="434" t="s">
        <v>736</v>
      </c>
      <c r="B39" s="435">
        <v>365</v>
      </c>
      <c r="C39" s="96"/>
      <c r="E39" s="20"/>
      <c r="F39" s="5"/>
      <c r="G39" s="9"/>
    </row>
    <row r="40" spans="1:7">
      <c r="A40" s="434" t="s">
        <v>737</v>
      </c>
      <c r="B40" s="435">
        <v>104</v>
      </c>
      <c r="C40" s="96"/>
      <c r="E40" s="20"/>
      <c r="F40" s="5"/>
      <c r="G40" s="9"/>
    </row>
    <row r="41" spans="1:7">
      <c r="A41" s="436" t="s">
        <v>738</v>
      </c>
      <c r="B41" s="437">
        <f>B39-B40</f>
        <v>261</v>
      </c>
      <c r="C41" s="96"/>
      <c r="E41" s="20"/>
      <c r="F41" s="5"/>
      <c r="G41" s="6"/>
    </row>
    <row r="42" spans="1:7">
      <c r="A42" s="438"/>
      <c r="B42" s="439"/>
      <c r="C42" s="96"/>
      <c r="E42" s="20"/>
      <c r="F42" s="5"/>
      <c r="G42" s="6"/>
    </row>
    <row r="43" spans="1:7">
      <c r="A43" s="434" t="s">
        <v>739</v>
      </c>
      <c r="B43" s="440"/>
      <c r="C43" s="96"/>
      <c r="E43" s="20"/>
      <c r="F43" s="5"/>
      <c r="G43" s="6"/>
    </row>
    <row r="44" spans="1:7">
      <c r="A44" s="434" t="s">
        <v>740</v>
      </c>
      <c r="B44" s="440"/>
      <c r="C44" s="96"/>
      <c r="E44" s="20"/>
      <c r="F44" s="5"/>
      <c r="G44" s="6"/>
    </row>
    <row r="45" spans="1:7">
      <c r="A45" s="434" t="s">
        <v>741</v>
      </c>
      <c r="B45" s="440"/>
      <c r="C45" s="96"/>
      <c r="E45" s="20"/>
      <c r="F45" s="5"/>
      <c r="G45" s="6"/>
    </row>
    <row r="46" spans="1:7">
      <c r="A46" s="434" t="s">
        <v>742</v>
      </c>
      <c r="B46" s="440"/>
      <c r="C46" s="96"/>
      <c r="E46" s="20"/>
      <c r="F46" s="5"/>
      <c r="G46" s="6"/>
    </row>
    <row r="47" spans="1:7">
      <c r="A47" s="436" t="s">
        <v>743</v>
      </c>
      <c r="B47" s="437">
        <f>B41-SUM(B43:B46)</f>
        <v>261</v>
      </c>
      <c r="C47" s="96"/>
      <c r="E47" s="20"/>
      <c r="F47" s="5"/>
      <c r="G47" s="6"/>
    </row>
    <row r="48" spans="1:7">
      <c r="A48" s="441"/>
      <c r="B48" s="439"/>
      <c r="C48" s="96"/>
      <c r="E48" s="20"/>
      <c r="F48" s="5"/>
      <c r="G48" s="6"/>
    </row>
    <row r="49" spans="1:7">
      <c r="A49" s="442" t="s">
        <v>744</v>
      </c>
      <c r="B49" s="443">
        <f>IF(B43=0,0,B43/$B$47)</f>
        <v>0</v>
      </c>
      <c r="C49" s="96"/>
      <c r="E49" s="20"/>
      <c r="F49" s="5"/>
      <c r="G49" s="6"/>
    </row>
    <row r="50" spans="1:7">
      <c r="A50" s="442" t="s">
        <v>740</v>
      </c>
      <c r="B50" s="443">
        <f>IF(B44=0,0,B44/$B$47)</f>
        <v>0</v>
      </c>
      <c r="C50" s="96"/>
      <c r="E50" s="20"/>
      <c r="F50" s="5"/>
      <c r="G50" s="6"/>
    </row>
    <row r="51" spans="1:7">
      <c r="A51" s="434" t="s">
        <v>741</v>
      </c>
      <c r="B51" s="443">
        <f>IF(B45=0,0,B45/$B$47)</f>
        <v>0</v>
      </c>
      <c r="C51" s="96"/>
      <c r="E51" s="20"/>
      <c r="F51" s="5"/>
      <c r="G51" s="6"/>
    </row>
    <row r="52" spans="1:7">
      <c r="A52" s="442" t="s">
        <v>742</v>
      </c>
      <c r="B52" s="443">
        <f>IF(B46=0,0,B46/$B$47)</f>
        <v>0</v>
      </c>
      <c r="C52" s="96"/>
      <c r="E52" s="20"/>
      <c r="F52" s="5"/>
      <c r="G52" s="10"/>
    </row>
    <row r="53" spans="1:7">
      <c r="A53" s="436" t="s">
        <v>745</v>
      </c>
      <c r="B53" s="444">
        <f>SUM(B49:B52)</f>
        <v>0</v>
      </c>
      <c r="C53" s="96"/>
      <c r="E53" s="20"/>
      <c r="F53" s="5"/>
      <c r="G53" s="11"/>
    </row>
    <row r="54" spans="1:7">
      <c r="A54" s="99"/>
      <c r="B54" s="99"/>
      <c r="C54" s="99"/>
      <c r="E54" s="20"/>
      <c r="F54" s="5"/>
      <c r="G54" s="1"/>
    </row>
    <row r="55" spans="1:7" ht="31.35" customHeight="1">
      <c r="A55" s="521" t="s">
        <v>746</v>
      </c>
      <c r="B55" s="522"/>
      <c r="C55" s="523"/>
      <c r="E55" s="20"/>
      <c r="F55" s="5"/>
      <c r="G55" s="1"/>
    </row>
    <row r="58" spans="1:7" ht="13.8">
      <c r="A58" s="100"/>
      <c r="B58" s="101"/>
    </row>
    <row r="59" spans="1:7" ht="13.8">
      <c r="A59" s="100"/>
      <c r="B59" s="101"/>
    </row>
    <row r="60" spans="1:7" ht="13.8">
      <c r="A60" s="100"/>
      <c r="B60" s="101"/>
    </row>
    <row r="61" spans="1:7" ht="13.8">
      <c r="A61" s="100"/>
      <c r="B61" s="101"/>
    </row>
    <row r="62" spans="1:7" ht="13.8">
      <c r="A62" s="102"/>
      <c r="B62" s="101"/>
    </row>
    <row r="63" spans="1:7" ht="13.8">
      <c r="A63" s="101"/>
      <c r="B63" s="101"/>
    </row>
    <row r="64" spans="1:7" ht="13.8">
      <c r="A64" s="101"/>
      <c r="B64" s="101"/>
    </row>
    <row r="65" spans="1:3" ht="13.8">
      <c r="A65" s="101"/>
      <c r="B65" s="101"/>
    </row>
    <row r="66" spans="1:3" ht="13.8">
      <c r="A66" s="101"/>
      <c r="B66" s="101"/>
    </row>
    <row r="67" spans="1:3" ht="13.8">
      <c r="A67" s="101"/>
      <c r="B67" s="101"/>
    </row>
    <row r="68" spans="1:3" ht="13.8">
      <c r="A68" s="101"/>
      <c r="B68" s="101"/>
    </row>
    <row r="69" spans="1:3" ht="13.8">
      <c r="A69" s="101"/>
      <c r="B69" s="101"/>
    </row>
    <row r="70" spans="1:3" ht="13.8">
      <c r="A70" s="101"/>
      <c r="B70" s="103"/>
    </row>
    <row r="71" spans="1:3" ht="13.8">
      <c r="A71" s="101"/>
      <c r="B71" s="101"/>
    </row>
    <row r="72" spans="1:3" ht="13.8">
      <c r="B72" s="101"/>
    </row>
    <row r="73" spans="1:3" ht="13.8">
      <c r="A73" s="101"/>
      <c r="B73" s="101"/>
      <c r="C73" s="101"/>
    </row>
    <row r="74" spans="1:3" ht="13.8">
      <c r="A74" s="104"/>
      <c r="B74" s="101"/>
      <c r="C74" s="104"/>
    </row>
    <row r="75" spans="1:3" ht="13.8">
      <c r="A75" s="101"/>
      <c r="B75" s="101"/>
      <c r="C75" s="101"/>
    </row>
    <row r="76" spans="1:3" ht="13.8">
      <c r="A76" s="101"/>
      <c r="B76" s="101"/>
      <c r="C76" s="101"/>
    </row>
    <row r="77" spans="1:3" ht="13.8">
      <c r="A77" s="101"/>
      <c r="B77" s="101"/>
      <c r="C77" s="101"/>
    </row>
    <row r="78" spans="1:3" ht="13.8">
      <c r="A78" s="104"/>
      <c r="B78" s="101"/>
      <c r="C78" s="104"/>
    </row>
    <row r="79" spans="1:3" ht="13.8">
      <c r="A79" s="104"/>
      <c r="B79" s="101"/>
      <c r="C79" s="104"/>
    </row>
    <row r="80" spans="1:3" ht="13.8">
      <c r="A80" s="104"/>
      <c r="B80" s="101"/>
      <c r="C80" s="104"/>
    </row>
    <row r="81" spans="1:2" ht="13.8">
      <c r="A81" s="101"/>
      <c r="B81" s="101"/>
    </row>
    <row r="82" spans="1:2" ht="13.8">
      <c r="A82" s="101"/>
      <c r="B82" s="101"/>
    </row>
    <row r="83" spans="1:2" ht="13.8">
      <c r="A83" s="101"/>
      <c r="B83" s="101"/>
    </row>
  </sheetData>
  <dataConsolidate/>
  <mergeCells count="7">
    <mergeCell ref="A55:C55"/>
    <mergeCell ref="A18:B18"/>
    <mergeCell ref="A24:B24"/>
    <mergeCell ref="A21:B21"/>
    <mergeCell ref="A20:B20"/>
    <mergeCell ref="A23:B23"/>
    <mergeCell ref="A22:B22"/>
  </mergeCells>
  <phoneticPr fontId="13"/>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Q72"/>
  <sheetViews>
    <sheetView showGridLines="0" showZeros="0" showOutlineSymbols="0" zoomScale="90" zoomScaleNormal="90" zoomScalePageLayoutView="50" workbookViewId="0">
      <pane ySplit="10" topLeftCell="A11" activePane="bottomLeft" state="frozen"/>
      <selection activeCell="S18" sqref="S18"/>
      <selection pane="bottomLeft" activeCell="F16" sqref="F16"/>
    </sheetView>
  </sheetViews>
  <sheetFormatPr defaultColWidth="11.44140625" defaultRowHeight="13.5" customHeight="1"/>
  <cols>
    <col min="1" max="1" width="35.88671875" style="56" customWidth="1"/>
    <col min="2" max="2" width="21.5546875" style="56" customWidth="1"/>
    <col min="3" max="3" width="19.44140625" style="56" bestFit="1" customWidth="1"/>
    <col min="4" max="4" width="2" style="56" customWidth="1"/>
    <col min="5" max="5" width="14.44140625" style="56" customWidth="1"/>
    <col min="6" max="6" width="12.44140625" style="56" customWidth="1"/>
    <col min="7" max="7" width="6" style="56" customWidth="1"/>
    <col min="8" max="8" width="27.5546875" style="56" customWidth="1"/>
    <col min="9" max="16" width="11.44140625" style="56"/>
    <col min="17" max="16384" width="11.44140625" style="2"/>
  </cols>
  <sheetData>
    <row r="1" spans="1:17" ht="12.75" customHeight="1">
      <c r="A1" s="424" t="s">
        <v>4</v>
      </c>
      <c r="B1" s="86"/>
      <c r="C1" s="87"/>
      <c r="D1" s="87"/>
      <c r="E1" s="87"/>
      <c r="F1" s="87"/>
      <c r="H1" s="532"/>
      <c r="I1" s="532"/>
      <c r="J1" s="532"/>
      <c r="K1" s="532"/>
      <c r="L1" s="532"/>
      <c r="M1" s="532"/>
      <c r="N1" s="532"/>
    </row>
    <row r="2" spans="1:17" ht="13.2">
      <c r="A2" s="87"/>
      <c r="B2" s="105"/>
      <c r="C2" s="106"/>
      <c r="D2" s="105"/>
      <c r="E2" s="107"/>
      <c r="F2" s="108"/>
      <c r="H2" s="532"/>
      <c r="I2" s="532"/>
      <c r="J2" s="532"/>
      <c r="K2" s="532"/>
      <c r="L2" s="532"/>
      <c r="M2" s="532"/>
      <c r="N2" s="532"/>
    </row>
    <row r="3" spans="1:17" ht="14.25" customHeight="1">
      <c r="A3" s="38" t="str">
        <f>'2-Kosten per locatie'!A3</f>
        <v>Naam opdrachtgever</v>
      </c>
      <c r="B3" s="109" t="str">
        <f>'2-Kosten per locatie'!B3</f>
        <v>Gemeente Zoetermeer</v>
      </c>
      <c r="C3" s="110"/>
      <c r="D3" s="105"/>
      <c r="E3" s="111"/>
      <c r="F3" s="112"/>
      <c r="H3" s="532"/>
      <c r="I3" s="532"/>
      <c r="J3" s="532"/>
      <c r="K3" s="532"/>
      <c r="L3" s="532"/>
      <c r="M3" s="532"/>
      <c r="N3" s="532"/>
    </row>
    <row r="4" spans="1:17" ht="15.75" customHeight="1">
      <c r="A4" s="38" t="str">
        <f>'2-Kosten per locatie'!A4</f>
        <v>Calculatie onderdeel</v>
      </c>
      <c r="B4" s="113" t="str">
        <f ca="1">MID(CELL("bestandsnaam",$C$9),SEARCH("]",CELL("bestandsnaam",$C$9),1)+1,256)</f>
        <v>6-Opbouw uurtarief productie</v>
      </c>
      <c r="C4" s="114"/>
      <c r="D4" s="115"/>
      <c r="H4" s="532"/>
      <c r="I4" s="532"/>
      <c r="J4" s="532"/>
      <c r="K4" s="532"/>
      <c r="L4" s="532"/>
      <c r="M4" s="532"/>
      <c r="N4" s="532"/>
    </row>
    <row r="5" spans="1:17" ht="15.6">
      <c r="A5" s="38" t="str">
        <f>'2-Kosten per locatie'!A5</f>
        <v>Gebouw/plaats</v>
      </c>
      <c r="B5" s="109" t="str">
        <f>'2-Kosten per locatie'!B5</f>
        <v>Diversen Zoetermeer</v>
      </c>
      <c r="C5" s="114"/>
      <c r="D5" s="115"/>
      <c r="H5" s="532"/>
      <c r="I5" s="532"/>
      <c r="J5" s="532"/>
      <c r="K5" s="532"/>
      <c r="L5" s="532"/>
      <c r="M5" s="532"/>
      <c r="N5" s="532"/>
    </row>
    <row r="6" spans="1:17" ht="15.6">
      <c r="A6" s="38" t="str">
        <f>'2-Kosten per locatie'!A6</f>
        <v>Referentie nummer</v>
      </c>
      <c r="B6" s="109" t="str">
        <f>'2-Kosten per locatie'!B6</f>
        <v>2025-045275 </v>
      </c>
      <c r="C6" s="114"/>
      <c r="D6" s="115"/>
      <c r="H6" s="116"/>
      <c r="I6" s="116"/>
      <c r="J6" s="116"/>
      <c r="K6" s="116"/>
      <c r="L6" s="116"/>
      <c r="M6" s="116"/>
      <c r="N6" s="116"/>
    </row>
    <row r="7" spans="1:17" ht="15.6">
      <c r="A7" s="38" t="str">
        <f>'2-Kosten per locatie'!A7</f>
        <v>Naam dienstverlener</v>
      </c>
      <c r="B7" s="109">
        <f>'2-Kosten per locatie'!B7</f>
        <v>0</v>
      </c>
      <c r="C7" s="114"/>
      <c r="D7" s="115"/>
      <c r="H7" s="116"/>
      <c r="I7" s="116"/>
      <c r="J7" s="116"/>
      <c r="K7" s="116"/>
      <c r="L7" s="116"/>
      <c r="M7" s="116"/>
      <c r="N7" s="116"/>
    </row>
    <row r="8" spans="1:17" ht="15.6">
      <c r="A8" s="38" t="str">
        <f>'2-Kosten per locatie'!A8</f>
        <v>Prijspeil</v>
      </c>
      <c r="B8" s="320">
        <f>'2-Kosten per locatie'!B8</f>
        <v>2026</v>
      </c>
      <c r="C8" s="114"/>
      <c r="D8" s="115"/>
      <c r="J8" s="116"/>
      <c r="K8" s="116"/>
      <c r="L8" s="116"/>
      <c r="M8" s="116"/>
      <c r="N8" s="116"/>
      <c r="O8" s="117"/>
      <c r="P8" s="117"/>
    </row>
    <row r="9" spans="1:17" ht="15.6">
      <c r="A9" s="118"/>
      <c r="B9" s="119"/>
      <c r="C9" s="120"/>
      <c r="D9" s="115"/>
      <c r="E9" s="121"/>
      <c r="F9" s="122"/>
    </row>
    <row r="10" spans="1:17" s="22" customFormat="1" ht="30.75" customHeight="1">
      <c r="A10" s="181" t="s">
        <v>747</v>
      </c>
      <c r="B10" s="245"/>
      <c r="C10" s="246"/>
      <c r="D10" s="179"/>
      <c r="E10" s="530" t="s">
        <v>748</v>
      </c>
      <c r="F10" s="531"/>
      <c r="G10" s="180"/>
      <c r="H10" s="181" t="s">
        <v>749</v>
      </c>
      <c r="I10" s="533" t="s">
        <v>750</v>
      </c>
      <c r="J10" s="534"/>
      <c r="K10" s="534"/>
      <c r="L10" s="534"/>
      <c r="M10" s="534"/>
      <c r="N10" s="534"/>
      <c r="O10" s="117"/>
      <c r="P10" s="117"/>
    </row>
    <row r="11" spans="1:17" ht="30" customHeight="1">
      <c r="A11" s="128"/>
      <c r="B11" s="247" t="s">
        <v>751</v>
      </c>
      <c r="C11" s="248" t="s">
        <v>751</v>
      </c>
      <c r="D11" s="115"/>
      <c r="E11" s="445"/>
      <c r="F11" s="342"/>
      <c r="H11" s="128"/>
      <c r="I11" s="446">
        <v>1</v>
      </c>
      <c r="J11" s="446">
        <v>2</v>
      </c>
      <c r="K11" s="446">
        <v>3</v>
      </c>
      <c r="L11" s="446">
        <v>4</v>
      </c>
      <c r="M11" s="446">
        <v>5</v>
      </c>
      <c r="N11" s="446">
        <v>6</v>
      </c>
    </row>
    <row r="12" spans="1:17" ht="13.2">
      <c r="A12" s="128" t="s">
        <v>752</v>
      </c>
      <c r="B12" s="249" t="s">
        <v>753</v>
      </c>
      <c r="C12" s="250"/>
      <c r="D12" s="115"/>
      <c r="E12" s="447">
        <f>SUM(I40:N40)</f>
        <v>0</v>
      </c>
      <c r="F12" s="212"/>
      <c r="H12" s="128" t="s">
        <v>754</v>
      </c>
      <c r="I12" s="448"/>
      <c r="J12" s="448"/>
      <c r="K12" s="448"/>
      <c r="L12" s="448"/>
      <c r="M12" s="448"/>
      <c r="N12" s="448"/>
      <c r="Q12" s="302"/>
    </row>
    <row r="13" spans="1:17" ht="13.2">
      <c r="A13" s="128" t="s">
        <v>755</v>
      </c>
      <c r="B13" s="249" t="s">
        <v>753</v>
      </c>
      <c r="C13" s="251"/>
      <c r="D13" s="115"/>
      <c r="E13" s="449"/>
      <c r="F13" s="212"/>
      <c r="H13" s="128" t="s">
        <v>756</v>
      </c>
      <c r="I13" s="448"/>
      <c r="J13" s="448"/>
      <c r="K13" s="448"/>
      <c r="L13" s="448"/>
      <c r="M13" s="448"/>
      <c r="N13" s="448"/>
      <c r="Q13" s="302"/>
    </row>
    <row r="14" spans="1:17" ht="13.2">
      <c r="A14" s="123" t="s">
        <v>757</v>
      </c>
      <c r="B14" s="249" t="s">
        <v>753</v>
      </c>
      <c r="C14" s="124"/>
      <c r="D14" s="115"/>
      <c r="E14" s="453"/>
      <c r="F14" s="212"/>
      <c r="H14" s="128" t="s">
        <v>758</v>
      </c>
      <c r="I14" s="448"/>
      <c r="J14" s="448"/>
      <c r="K14" s="448"/>
      <c r="L14" s="448"/>
      <c r="M14" s="448"/>
      <c r="N14" s="448"/>
      <c r="Q14" s="302"/>
    </row>
    <row r="15" spans="1:17" ht="13.2">
      <c r="A15" s="252" t="s">
        <v>759</v>
      </c>
      <c r="B15" s="253"/>
      <c r="C15" s="254"/>
      <c r="D15" s="125"/>
      <c r="E15" s="450">
        <f>SUM(E12:E14)</f>
        <v>0</v>
      </c>
      <c r="F15" s="212"/>
      <c r="H15" s="128" t="s">
        <v>760</v>
      </c>
      <c r="I15" s="448"/>
      <c r="J15" s="448"/>
      <c r="K15" s="448"/>
      <c r="L15" s="448"/>
      <c r="M15" s="448"/>
      <c r="N15" s="448"/>
      <c r="Q15" s="302"/>
    </row>
    <row r="16" spans="1:17" ht="13.2">
      <c r="A16" s="123"/>
      <c r="B16" s="255"/>
      <c r="C16" s="256"/>
      <c r="D16" s="115"/>
      <c r="E16" s="451"/>
      <c r="F16" s="212"/>
      <c r="H16" s="128" t="s">
        <v>761</v>
      </c>
      <c r="I16" s="448"/>
      <c r="J16" s="448"/>
      <c r="K16" s="448"/>
      <c r="L16" s="448"/>
      <c r="M16" s="448"/>
      <c r="N16" s="448"/>
      <c r="Q16" s="302"/>
    </row>
    <row r="17" spans="1:17" ht="13.2">
      <c r="A17" s="257" t="s">
        <v>762</v>
      </c>
      <c r="B17" s="249" t="s">
        <v>753</v>
      </c>
      <c r="C17" s="452"/>
      <c r="D17" s="115"/>
      <c r="E17" s="453">
        <f>$C17*E15</f>
        <v>0</v>
      </c>
      <c r="F17" s="212"/>
      <c r="H17" s="128" t="s">
        <v>763</v>
      </c>
      <c r="I17" s="448"/>
      <c r="J17" s="448"/>
      <c r="K17" s="448"/>
      <c r="L17" s="448"/>
      <c r="M17" s="448"/>
      <c r="N17" s="448"/>
      <c r="Q17" s="302"/>
    </row>
    <row r="18" spans="1:17" ht="13.2">
      <c r="A18" s="257" t="s">
        <v>764</v>
      </c>
      <c r="B18" s="249" t="s">
        <v>753</v>
      </c>
      <c r="C18" s="452"/>
      <c r="D18" s="115"/>
      <c r="E18" s="454">
        <f>$C18*E15</f>
        <v>0</v>
      </c>
      <c r="F18" s="212"/>
      <c r="H18" s="128" t="s">
        <v>765</v>
      </c>
      <c r="I18" s="448"/>
      <c r="J18" s="448"/>
      <c r="K18" s="448"/>
      <c r="L18" s="448"/>
      <c r="M18" s="448"/>
      <c r="N18" s="448"/>
      <c r="Q18" s="302"/>
    </row>
    <row r="19" spans="1:17" ht="13.2">
      <c r="A19" s="252" t="s">
        <v>766</v>
      </c>
      <c r="B19" s="258"/>
      <c r="C19" s="124"/>
      <c r="D19" s="115"/>
      <c r="E19" s="450">
        <f>SUM(E15:E18)</f>
        <v>0</v>
      </c>
      <c r="F19" s="455">
        <f>IF(E19=0,0,E19/E$47)</f>
        <v>0</v>
      </c>
      <c r="Q19" s="302"/>
    </row>
    <row r="20" spans="1:17" ht="15">
      <c r="A20" s="123"/>
      <c r="B20" s="255"/>
      <c r="C20" s="256"/>
      <c r="D20" s="115"/>
      <c r="E20" s="451"/>
      <c r="F20" s="212"/>
      <c r="H20" s="181" t="s">
        <v>749</v>
      </c>
      <c r="I20" s="535" t="s">
        <v>767</v>
      </c>
      <c r="J20" s="536"/>
      <c r="K20" s="536"/>
      <c r="L20" s="536"/>
      <c r="M20" s="536"/>
      <c r="N20" s="537"/>
    </row>
    <row r="21" spans="1:17" ht="13.2">
      <c r="A21" s="259" t="s">
        <v>768</v>
      </c>
      <c r="B21" s="260"/>
      <c r="C21" s="256"/>
      <c r="D21" s="126"/>
      <c r="E21" s="456">
        <f>E19*0.96</f>
        <v>0</v>
      </c>
      <c r="F21" s="213"/>
      <c r="G21" s="127"/>
      <c r="H21" s="128"/>
      <c r="I21" s="446">
        <v>1</v>
      </c>
      <c r="J21" s="446">
        <v>2</v>
      </c>
      <c r="K21" s="446">
        <v>3</v>
      </c>
      <c r="L21" s="446">
        <v>4</v>
      </c>
      <c r="M21" s="446">
        <v>5</v>
      </c>
      <c r="N21" s="446">
        <v>6</v>
      </c>
      <c r="O21" s="220"/>
      <c r="P21" s="220"/>
    </row>
    <row r="22" spans="1:17" s="14" customFormat="1" ht="13.2">
      <c r="A22" s="257" t="s">
        <v>769</v>
      </c>
      <c r="B22" s="260"/>
      <c r="C22" s="261" t="s">
        <v>770</v>
      </c>
      <c r="D22" s="115"/>
      <c r="E22" s="453" t="e">
        <f>E21*'5-Premies en opslagen'!$C24</f>
        <v>#DIV/0!</v>
      </c>
      <c r="F22" s="212"/>
      <c r="G22" s="56"/>
      <c r="H22" s="128" t="s">
        <v>754</v>
      </c>
      <c r="I22" s="457"/>
      <c r="J22" s="457"/>
      <c r="K22" s="457"/>
      <c r="L22" s="457"/>
      <c r="M22" s="457"/>
      <c r="N22" s="457"/>
      <c r="O22" s="201"/>
      <c r="P22" s="201"/>
    </row>
    <row r="23" spans="1:17" ht="14.25" customHeight="1">
      <c r="A23" s="252" t="s">
        <v>771</v>
      </c>
      <c r="B23" s="262"/>
      <c r="C23" s="124"/>
      <c r="D23" s="115"/>
      <c r="E23" s="450" t="e">
        <f>E22+E19</f>
        <v>#DIV/0!</v>
      </c>
      <c r="F23" s="455" t="e">
        <f>IF(E23=0,0,E23/E$47)</f>
        <v>#DIV/0!</v>
      </c>
      <c r="H23" s="128" t="s">
        <v>756</v>
      </c>
      <c r="I23" s="457"/>
      <c r="J23" s="457"/>
      <c r="K23" s="457"/>
      <c r="L23" s="457"/>
      <c r="M23" s="457"/>
      <c r="N23" s="457"/>
      <c r="O23" s="201"/>
      <c r="P23" s="201"/>
    </row>
    <row r="24" spans="1:17" ht="12.75" customHeight="1">
      <c r="A24" s="123"/>
      <c r="B24" s="258"/>
      <c r="C24" s="124"/>
      <c r="D24" s="115"/>
      <c r="E24" s="445"/>
      <c r="F24" s="212"/>
      <c r="H24" s="128" t="s">
        <v>758</v>
      </c>
      <c r="I24" s="457"/>
      <c r="J24" s="457"/>
      <c r="K24" s="457"/>
      <c r="L24" s="457"/>
      <c r="M24" s="457"/>
      <c r="N24" s="457"/>
      <c r="O24" s="201"/>
    </row>
    <row r="25" spans="1:17" ht="12.75" customHeight="1">
      <c r="A25" s="257" t="s">
        <v>772</v>
      </c>
      <c r="B25" s="260"/>
      <c r="C25" s="261" t="s">
        <v>770</v>
      </c>
      <c r="D25" s="115"/>
      <c r="E25" s="453" t="e">
        <f>E23*'5-Premies en opslagen'!$B53</f>
        <v>#DIV/0!</v>
      </c>
      <c r="F25" s="212"/>
      <c r="H25" s="128" t="s">
        <v>760</v>
      </c>
      <c r="I25" s="457"/>
      <c r="J25" s="457"/>
      <c r="K25" s="457"/>
      <c r="L25" s="457"/>
      <c r="M25" s="457"/>
      <c r="N25" s="457"/>
      <c r="O25" s="201"/>
    </row>
    <row r="26" spans="1:17" ht="13.2">
      <c r="A26" s="252" t="s">
        <v>773</v>
      </c>
      <c r="B26" s="258"/>
      <c r="C26" s="124"/>
      <c r="D26" s="115"/>
      <c r="E26" s="450" t="e">
        <f>SUM(E23:E25)</f>
        <v>#DIV/0!</v>
      </c>
      <c r="F26" s="455" t="e">
        <f>IF(E26=0,0,E26/E$47)</f>
        <v>#DIV/0!</v>
      </c>
      <c r="H26" s="128" t="s">
        <v>761</v>
      </c>
      <c r="I26" s="457"/>
      <c r="J26" s="457"/>
      <c r="K26" s="457"/>
      <c r="L26" s="457"/>
      <c r="M26" s="457"/>
      <c r="N26" s="457"/>
      <c r="O26" s="201"/>
    </row>
    <row r="27" spans="1:17" ht="13.2">
      <c r="A27" s="123"/>
      <c r="B27" s="258"/>
      <c r="C27" s="124"/>
      <c r="D27" s="115"/>
      <c r="E27" s="445"/>
      <c r="F27" s="212"/>
      <c r="H27" s="128" t="s">
        <v>763</v>
      </c>
      <c r="I27" s="457"/>
      <c r="J27" s="457"/>
      <c r="K27" s="457"/>
      <c r="L27" s="457"/>
      <c r="M27" s="457"/>
      <c r="N27" s="457"/>
      <c r="O27" s="201"/>
    </row>
    <row r="28" spans="1:17" ht="13.2">
      <c r="A28" s="123" t="s">
        <v>774</v>
      </c>
      <c r="B28" s="263"/>
      <c r="C28" s="251" t="s">
        <v>775</v>
      </c>
      <c r="D28" s="115"/>
      <c r="E28" s="449"/>
      <c r="F28" s="212">
        <v>0</v>
      </c>
      <c r="H28" s="128" t="s">
        <v>765</v>
      </c>
      <c r="I28" s="457"/>
      <c r="J28" s="457"/>
      <c r="K28" s="457"/>
      <c r="L28" s="457"/>
      <c r="M28" s="457"/>
      <c r="N28" s="457"/>
      <c r="O28" s="201"/>
    </row>
    <row r="29" spans="1:17" ht="13.2">
      <c r="A29" s="123" t="s">
        <v>776</v>
      </c>
      <c r="B29" s="264"/>
      <c r="C29" s="251" t="s">
        <v>775</v>
      </c>
      <c r="D29" s="115"/>
      <c r="E29" s="449"/>
      <c r="F29" s="212">
        <v>0</v>
      </c>
      <c r="H29" s="458" t="s">
        <v>777</v>
      </c>
      <c r="I29" s="459">
        <f t="shared" ref="I29:N29" si="0">SUM(I22:I28)</f>
        <v>0</v>
      </c>
      <c r="J29" s="459">
        <f t="shared" si="0"/>
        <v>0</v>
      </c>
      <c r="K29" s="459">
        <f t="shared" si="0"/>
        <v>0</v>
      </c>
      <c r="L29" s="459">
        <f t="shared" si="0"/>
        <v>0</v>
      </c>
      <c r="M29" s="459">
        <f t="shared" si="0"/>
        <v>0</v>
      </c>
      <c r="N29" s="459">
        <f t="shared" si="0"/>
        <v>0</v>
      </c>
      <c r="O29" s="460">
        <f>SUM(I29:N29)</f>
        <v>0</v>
      </c>
    </row>
    <row r="30" spans="1:17" ht="13.2">
      <c r="A30" s="123" t="s">
        <v>778</v>
      </c>
      <c r="B30" s="258"/>
      <c r="C30" s="124" t="s">
        <v>751</v>
      </c>
      <c r="D30" s="115"/>
      <c r="E30" s="449"/>
      <c r="F30" s="212"/>
      <c r="H30" s="127"/>
      <c r="I30" s="127"/>
      <c r="J30" s="127"/>
      <c r="K30" s="127"/>
      <c r="L30" s="127"/>
      <c r="M30" s="127"/>
      <c r="N30" s="127"/>
    </row>
    <row r="31" spans="1:17" ht="12.75" customHeight="1">
      <c r="A31" s="265"/>
      <c r="B31" s="266"/>
      <c r="C31" s="267" t="s">
        <v>751</v>
      </c>
      <c r="D31" s="115"/>
      <c r="E31" s="449"/>
      <c r="F31" s="212"/>
      <c r="H31" s="328" t="s">
        <v>749</v>
      </c>
      <c r="I31" s="528" t="s">
        <v>779</v>
      </c>
      <c r="J31" s="529"/>
      <c r="K31" s="529"/>
      <c r="L31" s="529"/>
      <c r="M31" s="529"/>
      <c r="N31" s="529"/>
    </row>
    <row r="32" spans="1:17" ht="12.75" customHeight="1">
      <c r="A32" s="252" t="s">
        <v>780</v>
      </c>
      <c r="B32" s="258"/>
      <c r="C32" s="124"/>
      <c r="D32" s="115"/>
      <c r="E32" s="450" t="e">
        <f>SUM(E26:E31)</f>
        <v>#DIV/0!</v>
      </c>
      <c r="F32" s="455" t="e">
        <f>IF(E32=0,0,E32/E$47)</f>
        <v>#DIV/0!</v>
      </c>
      <c r="H32" s="329"/>
      <c r="I32" s="330">
        <v>1</v>
      </c>
      <c r="J32" s="330">
        <v>2</v>
      </c>
      <c r="K32" s="330">
        <v>3</v>
      </c>
      <c r="L32" s="330">
        <v>4</v>
      </c>
      <c r="M32" s="330">
        <v>5</v>
      </c>
      <c r="N32" s="330">
        <v>6</v>
      </c>
    </row>
    <row r="33" spans="1:16" ht="12.75" customHeight="1">
      <c r="A33" s="123"/>
      <c r="B33" s="258"/>
      <c r="C33" s="124"/>
      <c r="D33" s="115"/>
      <c r="E33" s="445"/>
      <c r="F33" s="212"/>
      <c r="H33" s="329" t="s">
        <v>754</v>
      </c>
      <c r="I33" s="331">
        <f>I22*I12</f>
        <v>0</v>
      </c>
      <c r="J33" s="331">
        <f t="shared" ref="J33:N33" si="1">J22*J12</f>
        <v>0</v>
      </c>
      <c r="K33" s="331">
        <f t="shared" si="1"/>
        <v>0</v>
      </c>
      <c r="L33" s="331">
        <f t="shared" si="1"/>
        <v>0</v>
      </c>
      <c r="M33" s="331">
        <f t="shared" si="1"/>
        <v>0</v>
      </c>
      <c r="N33" s="331">
        <f t="shared" si="1"/>
        <v>0</v>
      </c>
    </row>
    <row r="34" spans="1:16" ht="12.75" customHeight="1">
      <c r="A34" s="123" t="s">
        <v>781</v>
      </c>
      <c r="B34" s="258"/>
      <c r="C34" s="268"/>
      <c r="D34" s="115"/>
      <c r="E34" s="449"/>
      <c r="F34" s="214" t="e">
        <f t="shared" ref="F34:F42" si="2">E34/$E$47</f>
        <v>#DIV/0!</v>
      </c>
      <c r="H34" s="329" t="s">
        <v>756</v>
      </c>
      <c r="I34" s="331">
        <f t="shared" ref="I34:N34" si="3">I23*I13</f>
        <v>0</v>
      </c>
      <c r="J34" s="331">
        <f t="shared" si="3"/>
        <v>0</v>
      </c>
      <c r="K34" s="331">
        <f t="shared" si="3"/>
        <v>0</v>
      </c>
      <c r="L34" s="331">
        <f t="shared" si="3"/>
        <v>0</v>
      </c>
      <c r="M34" s="331">
        <f t="shared" si="3"/>
        <v>0</v>
      </c>
      <c r="N34" s="331">
        <f t="shared" si="3"/>
        <v>0</v>
      </c>
    </row>
    <row r="35" spans="1:16" ht="12.75" customHeight="1">
      <c r="A35" s="123" t="s">
        <v>782</v>
      </c>
      <c r="B35" s="258"/>
      <c r="C35" s="268"/>
      <c r="D35" s="115"/>
      <c r="E35" s="449"/>
      <c r="F35" s="214" t="e">
        <f t="shared" si="2"/>
        <v>#DIV/0!</v>
      </c>
      <c r="H35" s="329" t="s">
        <v>758</v>
      </c>
      <c r="I35" s="331">
        <f t="shared" ref="I35:N35" si="4">I24*I14</f>
        <v>0</v>
      </c>
      <c r="J35" s="331">
        <f t="shared" si="4"/>
        <v>0</v>
      </c>
      <c r="K35" s="331">
        <f t="shared" si="4"/>
        <v>0</v>
      </c>
      <c r="L35" s="331">
        <f t="shared" si="4"/>
        <v>0</v>
      </c>
      <c r="M35" s="331">
        <f t="shared" si="4"/>
        <v>0</v>
      </c>
      <c r="N35" s="331">
        <f t="shared" si="4"/>
        <v>0</v>
      </c>
      <c r="O35" s="127"/>
      <c r="P35" s="127"/>
    </row>
    <row r="36" spans="1:16" ht="14.25" customHeight="1">
      <c r="A36" s="123" t="s">
        <v>783</v>
      </c>
      <c r="B36" s="258"/>
      <c r="C36" s="268"/>
      <c r="D36" s="115"/>
      <c r="E36" s="449"/>
      <c r="F36" s="214" t="e">
        <f t="shared" si="2"/>
        <v>#DIV/0!</v>
      </c>
      <c r="H36" s="329" t="s">
        <v>760</v>
      </c>
      <c r="I36" s="331">
        <f t="shared" ref="I36:N36" si="5">I25*I15</f>
        <v>0</v>
      </c>
      <c r="J36" s="331">
        <f t="shared" si="5"/>
        <v>0</v>
      </c>
      <c r="K36" s="331">
        <f t="shared" si="5"/>
        <v>0</v>
      </c>
      <c r="L36" s="331">
        <f t="shared" si="5"/>
        <v>0</v>
      </c>
      <c r="M36" s="331">
        <f t="shared" si="5"/>
        <v>0</v>
      </c>
      <c r="N36" s="331">
        <f t="shared" si="5"/>
        <v>0</v>
      </c>
      <c r="O36" s="127"/>
      <c r="P36" s="127"/>
    </row>
    <row r="37" spans="1:16" ht="13.2">
      <c r="A37" s="123" t="s">
        <v>784</v>
      </c>
      <c r="B37" s="258"/>
      <c r="C37" s="269"/>
      <c r="D37" s="115"/>
      <c r="E37" s="449"/>
      <c r="F37" s="214" t="e">
        <f t="shared" si="2"/>
        <v>#DIV/0!</v>
      </c>
      <c r="H37" s="329" t="s">
        <v>761</v>
      </c>
      <c r="I37" s="331">
        <f t="shared" ref="I37:N37" si="6">I26*I16</f>
        <v>0</v>
      </c>
      <c r="J37" s="331">
        <f t="shared" si="6"/>
        <v>0</v>
      </c>
      <c r="K37" s="331">
        <f t="shared" si="6"/>
        <v>0</v>
      </c>
      <c r="L37" s="331">
        <f t="shared" si="6"/>
        <v>0</v>
      </c>
      <c r="M37" s="331">
        <f t="shared" si="6"/>
        <v>0</v>
      </c>
      <c r="N37" s="331">
        <f t="shared" si="6"/>
        <v>0</v>
      </c>
      <c r="O37" s="127"/>
      <c r="P37" s="127"/>
    </row>
    <row r="38" spans="1:16" ht="13.2">
      <c r="A38" s="123" t="s">
        <v>785</v>
      </c>
      <c r="B38" s="258"/>
      <c r="C38" s="268"/>
      <c r="D38" s="115"/>
      <c r="E38" s="449"/>
      <c r="F38" s="214" t="e">
        <f t="shared" si="2"/>
        <v>#DIV/0!</v>
      </c>
      <c r="H38" s="329" t="s">
        <v>763</v>
      </c>
      <c r="I38" s="331">
        <f t="shared" ref="I38:N38" si="7">I27*I17</f>
        <v>0</v>
      </c>
      <c r="J38" s="331">
        <f t="shared" si="7"/>
        <v>0</v>
      </c>
      <c r="K38" s="331">
        <f t="shared" si="7"/>
        <v>0</v>
      </c>
      <c r="L38" s="331">
        <f t="shared" si="7"/>
        <v>0</v>
      </c>
      <c r="M38" s="331">
        <f t="shared" si="7"/>
        <v>0</v>
      </c>
      <c r="N38" s="331">
        <f t="shared" si="7"/>
        <v>0</v>
      </c>
      <c r="O38" s="127"/>
      <c r="P38" s="127"/>
    </row>
    <row r="39" spans="1:16" ht="13.2">
      <c r="A39" s="123" t="s">
        <v>786</v>
      </c>
      <c r="B39" s="258"/>
      <c r="C39" s="269"/>
      <c r="D39" s="115"/>
      <c r="E39" s="449"/>
      <c r="F39" s="214" t="e">
        <f t="shared" si="2"/>
        <v>#DIV/0!</v>
      </c>
      <c r="H39" s="329" t="s">
        <v>765</v>
      </c>
      <c r="I39" s="331">
        <f t="shared" ref="I39:N39" si="8">I28*I18</f>
        <v>0</v>
      </c>
      <c r="J39" s="331">
        <f t="shared" si="8"/>
        <v>0</v>
      </c>
      <c r="K39" s="331">
        <f t="shared" si="8"/>
        <v>0</v>
      </c>
      <c r="L39" s="331">
        <f t="shared" si="8"/>
        <v>0</v>
      </c>
      <c r="M39" s="331">
        <f t="shared" si="8"/>
        <v>0</v>
      </c>
      <c r="N39" s="331">
        <f t="shared" si="8"/>
        <v>0</v>
      </c>
      <c r="O39" s="127"/>
      <c r="P39" s="127"/>
    </row>
    <row r="40" spans="1:16" ht="13.2">
      <c r="A40" s="123" t="s">
        <v>787</v>
      </c>
      <c r="B40" s="258"/>
      <c r="C40" s="251" t="s">
        <v>775</v>
      </c>
      <c r="D40" s="115"/>
      <c r="E40" s="449"/>
      <c r="F40" s="214" t="e">
        <f t="shared" si="2"/>
        <v>#DIV/0!</v>
      </c>
      <c r="H40" s="332" t="s">
        <v>777</v>
      </c>
      <c r="I40" s="333">
        <f t="shared" ref="I40:N40" si="9">SUM(I33:I39)</f>
        <v>0</v>
      </c>
      <c r="J40" s="333">
        <f t="shared" si="9"/>
        <v>0</v>
      </c>
      <c r="K40" s="333">
        <f t="shared" si="9"/>
        <v>0</v>
      </c>
      <c r="L40" s="333">
        <f t="shared" si="9"/>
        <v>0</v>
      </c>
      <c r="M40" s="333">
        <f t="shared" si="9"/>
        <v>0</v>
      </c>
      <c r="N40" s="333">
        <f t="shared" si="9"/>
        <v>0</v>
      </c>
      <c r="O40" s="127"/>
      <c r="P40" s="127"/>
    </row>
    <row r="41" spans="1:16" ht="13.2">
      <c r="A41" s="123" t="s">
        <v>788</v>
      </c>
      <c r="B41" s="258"/>
      <c r="C41" s="251"/>
      <c r="D41" s="115"/>
      <c r="E41" s="449"/>
      <c r="F41" s="214" t="e">
        <f t="shared" si="2"/>
        <v>#DIV/0!</v>
      </c>
      <c r="H41" s="127"/>
      <c r="I41" s="127"/>
      <c r="J41" s="127"/>
      <c r="K41" s="127"/>
      <c r="L41" s="127"/>
      <c r="M41" s="127"/>
      <c r="N41" s="127"/>
      <c r="O41" s="127"/>
      <c r="P41" s="127"/>
    </row>
    <row r="42" spans="1:16" ht="13.2">
      <c r="A42" s="265"/>
      <c r="B42" s="266"/>
      <c r="C42" s="270"/>
      <c r="D42" s="115"/>
      <c r="E42" s="449"/>
      <c r="F42" s="212" t="e">
        <f t="shared" si="2"/>
        <v>#DIV/0!</v>
      </c>
      <c r="H42" s="127"/>
      <c r="I42" s="127"/>
      <c r="J42" s="127"/>
      <c r="K42" s="127"/>
      <c r="L42" s="127"/>
      <c r="M42" s="127"/>
      <c r="N42" s="127"/>
      <c r="O42" s="127"/>
      <c r="P42" s="127"/>
    </row>
    <row r="43" spans="1:16" ht="45">
      <c r="A43" s="252" t="s">
        <v>789</v>
      </c>
      <c r="B43" s="258"/>
      <c r="C43" s="124"/>
      <c r="D43" s="115"/>
      <c r="E43" s="450" t="e">
        <f>SUM(E32:E42)</f>
        <v>#DIV/0!</v>
      </c>
      <c r="F43" s="455" t="e">
        <f>IF(E43=0,0,E43/E$47)</f>
        <v>#DIV/0!</v>
      </c>
      <c r="H43" s="181" t="s">
        <v>790</v>
      </c>
      <c r="I43" s="245"/>
      <c r="J43" s="246"/>
      <c r="K43" s="461" t="s">
        <v>748</v>
      </c>
      <c r="L43" s="127"/>
      <c r="M43" s="127"/>
      <c r="N43" s="127"/>
    </row>
    <row r="44" spans="1:16" ht="13.2">
      <c r="A44" s="123"/>
      <c r="B44" s="258"/>
      <c r="C44" s="124"/>
      <c r="D44" s="115"/>
      <c r="E44" s="445"/>
      <c r="F44" s="215"/>
      <c r="H44" s="128"/>
      <c r="I44" s="247" t="s">
        <v>751</v>
      </c>
      <c r="J44" s="248" t="s">
        <v>751</v>
      </c>
      <c r="K44" s="445"/>
      <c r="L44" s="127"/>
      <c r="M44" s="127"/>
      <c r="N44" s="127"/>
    </row>
    <row r="45" spans="1:16" ht="13.2">
      <c r="A45" s="123" t="s">
        <v>791</v>
      </c>
      <c r="B45" s="258"/>
      <c r="C45" s="269"/>
      <c r="D45" s="115"/>
      <c r="E45" s="449"/>
      <c r="F45" s="455">
        <f>(IF(E45=0,0,E45/E$47))</f>
        <v>0</v>
      </c>
      <c r="H45" s="130" t="s">
        <v>759</v>
      </c>
      <c r="I45" s="131"/>
      <c r="J45" s="132"/>
      <c r="K45" s="450">
        <f>E15</f>
        <v>0</v>
      </c>
      <c r="L45" s="127"/>
      <c r="M45" s="127"/>
      <c r="N45" s="127"/>
    </row>
    <row r="46" spans="1:16" ht="30" customHeight="1">
      <c r="A46" s="123"/>
      <c r="B46" s="271"/>
      <c r="C46" s="124"/>
      <c r="D46" s="115"/>
      <c r="E46" s="445"/>
      <c r="F46" s="212"/>
      <c r="H46" s="133" t="s">
        <v>762</v>
      </c>
      <c r="I46" s="134"/>
      <c r="J46" s="135"/>
      <c r="K46" s="453">
        <f>E17</f>
        <v>0</v>
      </c>
      <c r="L46" s="127"/>
      <c r="M46" s="127"/>
      <c r="N46" s="127"/>
    </row>
    <row r="47" spans="1:16" ht="13.2">
      <c r="A47" s="252" t="s">
        <v>792</v>
      </c>
      <c r="B47" s="272"/>
      <c r="C47" s="273"/>
      <c r="D47" s="115"/>
      <c r="E47" s="216" t="e">
        <f>SUM(E43:E46)</f>
        <v>#DIV/0!</v>
      </c>
      <c r="F47" s="217" t="e">
        <f>SUM(F43:F46)</f>
        <v>#DIV/0!</v>
      </c>
      <c r="H47" s="257" t="s">
        <v>764</v>
      </c>
      <c r="I47" s="134"/>
      <c r="J47" s="135"/>
      <c r="K47" s="454">
        <f>E18</f>
        <v>0</v>
      </c>
      <c r="L47" s="127"/>
      <c r="M47" s="127"/>
      <c r="N47" s="127"/>
      <c r="O47" s="127"/>
      <c r="P47" s="127"/>
    </row>
    <row r="48" spans="1:16" ht="13.2">
      <c r="B48" s="129"/>
      <c r="C48" s="343"/>
      <c r="D48" s="115"/>
      <c r="E48" s="201"/>
      <c r="F48" s="218"/>
      <c r="H48" s="257" t="s">
        <v>769</v>
      </c>
      <c r="I48" s="134"/>
      <c r="J48" s="135"/>
      <c r="K48" s="453" t="e">
        <f>E22</f>
        <v>#DIV/0!</v>
      </c>
      <c r="L48" s="127"/>
      <c r="M48" s="127"/>
      <c r="N48" s="127"/>
      <c r="O48" s="127"/>
      <c r="P48" s="127"/>
    </row>
    <row r="49" spans="1:17" ht="13.2">
      <c r="A49" s="274" t="s">
        <v>793</v>
      </c>
      <c r="B49" s="275"/>
      <c r="C49" s="276"/>
      <c r="D49" s="127"/>
      <c r="E49" s="462" t="e">
        <f>(E$26*1.3)+($E$47-$E$26)</f>
        <v>#DIV/0!</v>
      </c>
      <c r="F49" s="219"/>
      <c r="G49" s="127"/>
      <c r="H49" s="257" t="s">
        <v>772</v>
      </c>
      <c r="I49" s="260"/>
      <c r="J49" s="261"/>
      <c r="K49" s="453" t="e">
        <f>E25</f>
        <v>#DIV/0!</v>
      </c>
      <c r="L49" s="127"/>
      <c r="M49" s="127"/>
      <c r="N49" s="127"/>
      <c r="O49" s="127"/>
      <c r="P49" s="127"/>
    </row>
    <row r="50" spans="1:17" s="14" customFormat="1" ht="13.2">
      <c r="A50" s="127"/>
      <c r="B50" s="136"/>
      <c r="C50" s="137"/>
      <c r="D50" s="127"/>
      <c r="E50" s="220"/>
      <c r="F50" s="220"/>
      <c r="G50" s="127"/>
      <c r="H50" s="123" t="s">
        <v>774</v>
      </c>
      <c r="I50" s="263"/>
      <c r="J50" s="251"/>
      <c r="K50" s="447">
        <f>E28</f>
        <v>0</v>
      </c>
      <c r="L50" s="127"/>
      <c r="M50" s="127"/>
      <c r="N50" s="127"/>
      <c r="O50" s="127"/>
      <c r="P50" s="127"/>
      <c r="Q50" s="2"/>
    </row>
    <row r="51" spans="1:17" s="14" customFormat="1" ht="13.2">
      <c r="A51" s="274" t="s">
        <v>794</v>
      </c>
      <c r="B51" s="275"/>
      <c r="C51" s="276"/>
      <c r="D51" s="127"/>
      <c r="E51" s="462" t="e">
        <f>(E$26*1.5)+($E$47-$E$26)</f>
        <v>#DIV/0!</v>
      </c>
      <c r="F51" s="219"/>
      <c r="G51" s="127"/>
      <c r="H51" s="123" t="s">
        <v>776</v>
      </c>
      <c r="I51" s="264"/>
      <c r="J51" s="251"/>
      <c r="K51" s="447">
        <f t="shared" ref="K51:K52" si="10">E29</f>
        <v>0</v>
      </c>
      <c r="L51" s="127"/>
      <c r="M51" s="56"/>
      <c r="N51" s="127"/>
      <c r="O51" s="127"/>
      <c r="P51" s="127"/>
    </row>
    <row r="52" spans="1:17" s="14" customFormat="1" ht="13.2">
      <c r="A52" s="127"/>
      <c r="B52" s="136"/>
      <c r="C52" s="137"/>
      <c r="D52" s="127"/>
      <c r="E52" s="220"/>
      <c r="F52" s="220"/>
      <c r="G52" s="127"/>
      <c r="H52" s="123" t="s">
        <v>778</v>
      </c>
      <c r="I52" s="258"/>
      <c r="J52" s="124" t="s">
        <v>751</v>
      </c>
      <c r="K52" s="447">
        <f t="shared" si="10"/>
        <v>0</v>
      </c>
      <c r="L52" s="127"/>
      <c r="M52" s="56"/>
      <c r="N52" s="127"/>
      <c r="O52" s="127"/>
      <c r="P52" s="127"/>
    </row>
    <row r="53" spans="1:17" s="14" customFormat="1" ht="13.2">
      <c r="A53" s="274" t="s">
        <v>795</v>
      </c>
      <c r="B53" s="275"/>
      <c r="C53" s="276"/>
      <c r="D53" s="127"/>
      <c r="E53" s="462" t="e">
        <f>(E$26*2.5)+($E$47-$E$26)</f>
        <v>#DIV/0!</v>
      </c>
      <c r="F53" s="220"/>
      <c r="G53" s="127"/>
      <c r="H53" s="123" t="s">
        <v>781</v>
      </c>
      <c r="I53" s="258"/>
      <c r="J53" s="268"/>
      <c r="K53" s="447">
        <f>E34</f>
        <v>0</v>
      </c>
      <c r="L53" s="127"/>
      <c r="M53" s="56"/>
      <c r="N53" s="127"/>
      <c r="O53" s="127"/>
      <c r="P53" s="127"/>
    </row>
    <row r="54" spans="1:17" s="14" customFormat="1" ht="13.2">
      <c r="A54" s="127"/>
      <c r="B54" s="136"/>
      <c r="C54" s="138"/>
      <c r="D54" s="127"/>
      <c r="E54" s="127"/>
      <c r="F54" s="139"/>
      <c r="G54" s="127"/>
      <c r="H54" s="123" t="s">
        <v>782</v>
      </c>
      <c r="I54" s="258"/>
      <c r="J54" s="268"/>
      <c r="K54" s="447">
        <f t="shared" ref="K54:K60" si="11">E35</f>
        <v>0</v>
      </c>
      <c r="L54" s="127"/>
      <c r="M54" s="56"/>
      <c r="N54" s="127"/>
      <c r="O54" s="127"/>
      <c r="P54" s="127"/>
    </row>
    <row r="55" spans="1:17" s="14" customFormat="1" ht="13.2">
      <c r="A55" s="127"/>
      <c r="B55" s="136"/>
      <c r="C55" s="138"/>
      <c r="D55" s="127"/>
      <c r="E55" s="127"/>
      <c r="F55" s="139"/>
      <c r="G55" s="127"/>
      <c r="H55" s="123" t="s">
        <v>783</v>
      </c>
      <c r="I55" s="258"/>
      <c r="J55" s="268"/>
      <c r="K55" s="447">
        <f t="shared" si="11"/>
        <v>0</v>
      </c>
      <c r="L55" s="127"/>
      <c r="M55" s="56"/>
      <c r="N55" s="127"/>
      <c r="O55" s="127"/>
      <c r="P55" s="127"/>
    </row>
    <row r="56" spans="1:17" s="14" customFormat="1" ht="13.2">
      <c r="A56" s="127"/>
      <c r="B56" s="127"/>
      <c r="C56" s="140"/>
      <c r="D56" s="127"/>
      <c r="E56" s="127"/>
      <c r="F56" s="139"/>
      <c r="G56" s="127"/>
      <c r="H56" s="123" t="s">
        <v>784</v>
      </c>
      <c r="I56" s="258"/>
      <c r="J56" s="269"/>
      <c r="K56" s="447">
        <f t="shared" si="11"/>
        <v>0</v>
      </c>
      <c r="L56" s="127"/>
      <c r="M56" s="56"/>
      <c r="N56" s="127"/>
      <c r="O56" s="127"/>
      <c r="P56" s="127"/>
    </row>
    <row r="57" spans="1:17" s="14" customFormat="1" ht="13.2">
      <c r="A57" s="127"/>
      <c r="B57" s="127"/>
      <c r="C57" s="140"/>
      <c r="D57" s="127"/>
      <c r="E57" s="127"/>
      <c r="F57" s="139"/>
      <c r="G57" s="127"/>
      <c r="H57" s="123" t="s">
        <v>785</v>
      </c>
      <c r="I57" s="258"/>
      <c r="J57" s="268"/>
      <c r="K57" s="447">
        <f t="shared" si="11"/>
        <v>0</v>
      </c>
      <c r="L57" s="127"/>
      <c r="M57" s="56"/>
      <c r="N57" s="127"/>
      <c r="O57" s="127"/>
      <c r="P57" s="127"/>
    </row>
    <row r="58" spans="1:17" s="14" customFormat="1" ht="13.2">
      <c r="A58" s="56"/>
      <c r="B58" s="127"/>
      <c r="C58" s="140"/>
      <c r="D58" s="127"/>
      <c r="E58" s="127"/>
      <c r="F58" s="139"/>
      <c r="G58" s="127"/>
      <c r="H58" s="123" t="s">
        <v>786</v>
      </c>
      <c r="I58" s="258"/>
      <c r="J58" s="269"/>
      <c r="K58" s="447">
        <f t="shared" si="11"/>
        <v>0</v>
      </c>
      <c r="L58" s="127"/>
      <c r="M58" s="56"/>
      <c r="N58" s="56"/>
      <c r="O58" s="127"/>
      <c r="P58" s="127"/>
    </row>
    <row r="59" spans="1:17" s="14" customFormat="1" ht="13.2">
      <c r="A59" s="127"/>
      <c r="B59" s="127"/>
      <c r="C59" s="140"/>
      <c r="D59" s="127"/>
      <c r="E59" s="323"/>
      <c r="F59" s="139"/>
      <c r="G59" s="127"/>
      <c r="H59" s="123" t="s">
        <v>787</v>
      </c>
      <c r="I59" s="258"/>
      <c r="J59" s="251"/>
      <c r="K59" s="447">
        <f t="shared" si="11"/>
        <v>0</v>
      </c>
      <c r="L59" s="127"/>
      <c r="M59" s="56"/>
      <c r="N59" s="56"/>
      <c r="O59" s="127"/>
      <c r="P59" s="127"/>
    </row>
    <row r="60" spans="1:17" s="14" customFormat="1" ht="13.2">
      <c r="A60" s="127"/>
      <c r="B60" s="127"/>
      <c r="C60" s="140"/>
      <c r="D60" s="127"/>
      <c r="E60" s="127"/>
      <c r="F60" s="139"/>
      <c r="G60" s="127"/>
      <c r="H60" s="123" t="s">
        <v>788</v>
      </c>
      <c r="I60" s="258"/>
      <c r="J60" s="251"/>
      <c r="K60" s="447">
        <f t="shared" si="11"/>
        <v>0</v>
      </c>
      <c r="L60" s="127"/>
      <c r="M60" s="56"/>
      <c r="N60" s="56"/>
      <c r="O60" s="127"/>
      <c r="P60" s="127"/>
    </row>
    <row r="61" spans="1:17" s="14" customFormat="1" ht="13.2">
      <c r="A61" s="127"/>
      <c r="B61" s="127"/>
      <c r="C61" s="140"/>
      <c r="D61" s="127"/>
      <c r="E61" s="127"/>
      <c r="F61" s="139"/>
      <c r="G61" s="127"/>
      <c r="H61" s="123" t="s">
        <v>791</v>
      </c>
      <c r="I61" s="258"/>
      <c r="J61" s="269"/>
      <c r="K61" s="447">
        <f>E45</f>
        <v>0</v>
      </c>
      <c r="L61" s="127"/>
      <c r="M61" s="56"/>
      <c r="N61" s="56"/>
      <c r="O61" s="127"/>
      <c r="P61" s="127"/>
    </row>
    <row r="62" spans="1:17" s="14" customFormat="1" ht="13.2">
      <c r="A62" s="127"/>
      <c r="B62" s="127"/>
      <c r="C62" s="140"/>
      <c r="D62" s="127"/>
      <c r="E62" s="127"/>
      <c r="F62" s="139"/>
      <c r="G62" s="127"/>
      <c r="H62" s="123"/>
      <c r="I62" s="271"/>
      <c r="J62" s="124"/>
      <c r="K62" s="445"/>
      <c r="L62" s="127"/>
      <c r="M62" s="56"/>
      <c r="N62" s="56"/>
      <c r="O62" s="127"/>
      <c r="P62" s="127"/>
    </row>
    <row r="63" spans="1:17" s="14" customFormat="1" ht="13.2">
      <c r="A63" s="127"/>
      <c r="B63" s="127"/>
      <c r="C63" s="140"/>
      <c r="D63" s="127"/>
      <c r="E63" s="127"/>
      <c r="F63" s="139"/>
      <c r="G63" s="127"/>
      <c r="H63" s="252" t="s">
        <v>792</v>
      </c>
      <c r="I63" s="272"/>
      <c r="J63" s="273"/>
      <c r="K63" s="216" t="e">
        <f>SUM(K45:K62)</f>
        <v>#DIV/0!</v>
      </c>
      <c r="L63" s="127"/>
      <c r="M63" s="56"/>
      <c r="N63" s="56"/>
      <c r="O63" s="127"/>
      <c r="P63" s="127"/>
    </row>
    <row r="64" spans="1:17" s="14" customFormat="1" ht="13.2">
      <c r="A64" s="127"/>
      <c r="B64" s="127"/>
      <c r="C64" s="140"/>
      <c r="D64" s="127"/>
      <c r="E64" s="127"/>
      <c r="F64" s="139"/>
      <c r="G64" s="127"/>
      <c r="H64" s="56"/>
      <c r="I64" s="129"/>
      <c r="J64" s="343"/>
      <c r="K64" s="201"/>
      <c r="L64" s="127"/>
      <c r="M64" s="56"/>
      <c r="N64" s="56"/>
      <c r="O64" s="56"/>
      <c r="P64" s="56"/>
    </row>
    <row r="65" spans="1:16" s="14" customFormat="1" ht="13.2">
      <c r="A65" s="127"/>
      <c r="B65" s="127"/>
      <c r="C65" s="140"/>
      <c r="D65" s="127"/>
      <c r="E65" s="56"/>
      <c r="F65" s="139"/>
      <c r="G65" s="127"/>
      <c r="H65" s="274" t="s">
        <v>793</v>
      </c>
      <c r="I65" s="275"/>
      <c r="J65" s="276"/>
      <c r="K65" s="462" t="e">
        <f>E49</f>
        <v>#DIV/0!</v>
      </c>
      <c r="L65" s="127"/>
      <c r="M65" s="56"/>
      <c r="N65" s="56"/>
      <c r="O65" s="56"/>
      <c r="P65" s="56"/>
    </row>
    <row r="66" spans="1:16" s="14" customFormat="1" ht="13.2">
      <c r="A66" s="56"/>
      <c r="B66" s="56"/>
      <c r="C66" s="56"/>
      <c r="D66" s="56"/>
      <c r="E66" s="56"/>
      <c r="F66" s="56"/>
      <c r="G66" s="56"/>
      <c r="H66" s="127"/>
      <c r="I66" s="136"/>
      <c r="J66" s="137"/>
      <c r="K66" s="220"/>
      <c r="L66" s="127"/>
      <c r="M66" s="56"/>
      <c r="N66" s="56"/>
      <c r="O66" s="56"/>
      <c r="P66" s="56"/>
    </row>
    <row r="67" spans="1:16" ht="13.2">
      <c r="H67" s="274" t="s">
        <v>794</v>
      </c>
      <c r="I67" s="275"/>
      <c r="J67" s="276"/>
      <c r="K67" s="462" t="e">
        <f>E51</f>
        <v>#DIV/0!</v>
      </c>
      <c r="L67" s="127"/>
    </row>
    <row r="68" spans="1:16" ht="13.2">
      <c r="H68" s="127"/>
      <c r="I68" s="136"/>
      <c r="J68" s="137"/>
      <c r="K68" s="220"/>
      <c r="L68" s="127"/>
    </row>
    <row r="69" spans="1:16" ht="13.2">
      <c r="H69" s="274" t="s">
        <v>795</v>
      </c>
      <c r="I69" s="275"/>
      <c r="J69" s="276"/>
      <c r="K69" s="462" t="e">
        <f>E53</f>
        <v>#DIV/0!</v>
      </c>
      <c r="L69" s="127"/>
    </row>
    <row r="70" spans="1:16" ht="13.2">
      <c r="L70" s="127"/>
    </row>
    <row r="71" spans="1:16" ht="13.2">
      <c r="L71" s="127"/>
    </row>
    <row r="72" spans="1:16" ht="13.2">
      <c r="L72" s="127"/>
    </row>
  </sheetData>
  <dataConsolidate/>
  <mergeCells count="7">
    <mergeCell ref="I31:N31"/>
    <mergeCell ref="E10:F10"/>
    <mergeCell ref="H1:N2"/>
    <mergeCell ref="H3:N3"/>
    <mergeCell ref="H4:N5"/>
    <mergeCell ref="I10:N10"/>
    <mergeCell ref="I20:N20"/>
  </mergeCells>
  <phoneticPr fontId="13"/>
  <conditionalFormatting sqref="O29">
    <cfRule type="cellIs" dxfId="8" priority="1" operator="greaterThan">
      <formula>1</formula>
    </cfRule>
    <cfRule type="cellIs" dxfId="7" priority="2" operator="between">
      <formula>0.999999</formula>
      <formula>0</formula>
    </cfRule>
    <cfRule type="cellIs" dxfId="6"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10" activePane="bottomLeft" state="frozen"/>
      <selection activeCell="S18" sqref="S18"/>
      <selection pane="bottomLeft" activeCell="E14" sqref="E14"/>
    </sheetView>
  </sheetViews>
  <sheetFormatPr defaultColWidth="11.44140625" defaultRowHeight="13.2"/>
  <cols>
    <col min="1" max="1" width="35.88671875" style="56" customWidth="1"/>
    <col min="2" max="2" width="21.44140625" style="56" customWidth="1"/>
    <col min="3" max="3" width="19.44140625" style="56" bestFit="1" customWidth="1"/>
    <col min="4" max="4" width="2" style="56" customWidth="1"/>
    <col min="5" max="5" width="14.44140625" style="56" customWidth="1"/>
    <col min="6" max="6" width="11.5546875" style="56" customWidth="1"/>
    <col min="7" max="7" width="6" style="56" customWidth="1"/>
    <col min="8" max="8" width="27.88671875" style="56" customWidth="1"/>
    <col min="9" max="15" width="11.44140625" style="56"/>
    <col min="16" max="16384" width="11.44140625" style="2"/>
  </cols>
  <sheetData>
    <row r="1" spans="1:15" ht="12.75" customHeight="1">
      <c r="A1" s="424" t="s">
        <v>4</v>
      </c>
      <c r="B1" s="86"/>
      <c r="C1" s="87"/>
      <c r="D1" s="87"/>
      <c r="E1" s="87"/>
      <c r="F1" s="87"/>
      <c r="H1" s="532"/>
      <c r="I1" s="532"/>
      <c r="J1" s="532"/>
      <c r="K1" s="532"/>
      <c r="L1" s="532"/>
      <c r="M1" s="532"/>
      <c r="N1" s="532"/>
    </row>
    <row r="2" spans="1:15">
      <c r="A2" s="87"/>
      <c r="B2" s="105"/>
      <c r="C2" s="106"/>
      <c r="D2" s="105"/>
      <c r="E2" s="107"/>
      <c r="F2" s="108"/>
      <c r="H2" s="532"/>
      <c r="I2" s="532"/>
      <c r="J2" s="532"/>
      <c r="K2" s="532"/>
      <c r="L2" s="532"/>
      <c r="M2" s="532"/>
      <c r="N2" s="532"/>
    </row>
    <row r="3" spans="1:15" ht="14.25" customHeight="1">
      <c r="A3" s="38" t="str">
        <f>'2-Kosten per locatie'!A3</f>
        <v>Naam opdrachtgever</v>
      </c>
      <c r="B3" s="109" t="str">
        <f>'2-Kosten per locatie'!B3</f>
        <v>Gemeente Zoetermeer</v>
      </c>
      <c r="C3" s="110"/>
      <c r="D3" s="105"/>
      <c r="E3" s="111"/>
      <c r="F3" s="112"/>
      <c r="H3" s="532"/>
      <c r="I3" s="532"/>
      <c r="J3" s="532"/>
      <c r="K3" s="532"/>
      <c r="L3" s="532"/>
      <c r="M3" s="532"/>
      <c r="N3" s="532"/>
    </row>
    <row r="4" spans="1:15" ht="15.75" customHeight="1">
      <c r="A4" s="38" t="str">
        <f>'2-Kosten per locatie'!A4</f>
        <v>Calculatie onderdeel</v>
      </c>
      <c r="B4" s="113" t="str">
        <f ca="1">MID(CELL("bestandsnaam",$C$9),SEARCH("]",CELL("bestandsnaam",$C$9),1)+1,256)</f>
        <v>7-Opbouw uurtarief toezicht</v>
      </c>
      <c r="C4" s="114"/>
      <c r="D4" s="115"/>
      <c r="H4" s="532"/>
      <c r="I4" s="532"/>
      <c r="J4" s="532"/>
      <c r="K4" s="532"/>
      <c r="L4" s="532"/>
      <c r="M4" s="532"/>
      <c r="N4" s="532"/>
    </row>
    <row r="5" spans="1:15" ht="15.6">
      <c r="A5" s="38" t="str">
        <f>'2-Kosten per locatie'!A5</f>
        <v>Gebouw/plaats</v>
      </c>
      <c r="B5" s="109" t="str">
        <f>'2-Kosten per locatie'!B5</f>
        <v>Diversen Zoetermeer</v>
      </c>
      <c r="C5" s="114"/>
      <c r="D5" s="115"/>
      <c r="H5" s="532"/>
      <c r="I5" s="532"/>
      <c r="J5" s="532"/>
      <c r="K5" s="532"/>
      <c r="L5" s="532"/>
      <c r="M5" s="532"/>
      <c r="N5" s="532"/>
    </row>
    <row r="6" spans="1:15" ht="15.6">
      <c r="A6" s="38" t="str">
        <f>'2-Kosten per locatie'!A6</f>
        <v>Referentie nummer</v>
      </c>
      <c r="B6" s="109" t="str">
        <f>'2-Kosten per locatie'!B6</f>
        <v>2025-045275 </v>
      </c>
      <c r="C6" s="114"/>
      <c r="D6" s="115"/>
      <c r="H6" s="116"/>
      <c r="I6" s="116"/>
      <c r="J6" s="116"/>
      <c r="K6" s="116"/>
      <c r="L6" s="116"/>
      <c r="M6" s="116"/>
      <c r="N6" s="116"/>
    </row>
    <row r="7" spans="1:15" ht="15.6">
      <c r="A7" s="38" t="str">
        <f>'2-Kosten per locatie'!A7</f>
        <v>Naam dienstverlener</v>
      </c>
      <c r="B7" s="109">
        <f>'2-Kosten per locatie'!B7</f>
        <v>0</v>
      </c>
      <c r="C7" s="114"/>
      <c r="D7" s="115"/>
      <c r="H7" s="116"/>
      <c r="I7" s="116"/>
      <c r="J7" s="116"/>
      <c r="K7" s="116"/>
      <c r="L7" s="116"/>
      <c r="M7" s="116"/>
      <c r="N7" s="116"/>
    </row>
    <row r="8" spans="1:15" ht="15.6">
      <c r="A8" s="38" t="str">
        <f>'2-Kosten per locatie'!A8</f>
        <v>Prijspeil</v>
      </c>
      <c r="B8" s="320">
        <f>'2-Kosten per locatie'!B8</f>
        <v>2026</v>
      </c>
      <c r="C8" s="114"/>
      <c r="D8" s="115"/>
      <c r="J8" s="116"/>
      <c r="K8" s="116"/>
      <c r="L8" s="116"/>
      <c r="M8" s="116"/>
      <c r="N8" s="116"/>
      <c r="O8" s="117"/>
    </row>
    <row r="9" spans="1:15" ht="15.6">
      <c r="A9" s="118"/>
      <c r="B9" s="119"/>
      <c r="C9" s="120"/>
      <c r="D9" s="115"/>
      <c r="E9" s="121"/>
      <c r="F9" s="122"/>
    </row>
    <row r="10" spans="1:15" s="22" customFormat="1" ht="30.75" customHeight="1">
      <c r="A10" s="277" t="s">
        <v>796</v>
      </c>
      <c r="B10" s="245"/>
      <c r="C10" s="246"/>
      <c r="D10" s="179"/>
      <c r="E10" s="530" t="s">
        <v>797</v>
      </c>
      <c r="F10" s="531"/>
      <c r="G10" s="117"/>
      <c r="H10" s="181" t="s">
        <v>749</v>
      </c>
      <c r="I10" s="533" t="s">
        <v>750</v>
      </c>
      <c r="J10" s="534"/>
      <c r="K10" s="534"/>
      <c r="L10" s="534"/>
      <c r="M10" s="534"/>
      <c r="N10" s="534"/>
      <c r="O10" s="117"/>
    </row>
    <row r="11" spans="1:15" ht="14.4" customHeight="1">
      <c r="A11" s="128"/>
      <c r="B11" s="247" t="s">
        <v>751</v>
      </c>
      <c r="C11" s="248" t="s">
        <v>751</v>
      </c>
      <c r="D11" s="115"/>
      <c r="E11" s="463"/>
      <c r="F11" s="344"/>
      <c r="H11" s="128"/>
      <c r="I11" s="446">
        <v>1</v>
      </c>
      <c r="J11" s="446">
        <v>2</v>
      </c>
      <c r="K11" s="446">
        <v>3</v>
      </c>
      <c r="L11" s="446">
        <v>4</v>
      </c>
      <c r="M11" s="446">
        <v>5</v>
      </c>
      <c r="N11" s="446">
        <v>6</v>
      </c>
    </row>
    <row r="12" spans="1:15" ht="12.75" customHeight="1">
      <c r="A12" s="128" t="s">
        <v>752</v>
      </c>
      <c r="B12" s="249" t="s">
        <v>753</v>
      </c>
      <c r="C12" s="250"/>
      <c r="D12" s="115"/>
      <c r="E12" s="447">
        <f>SUM(I31:N31)</f>
        <v>0</v>
      </c>
      <c r="F12" s="212"/>
      <c r="H12" s="128" t="s">
        <v>760</v>
      </c>
      <c r="I12" s="464"/>
      <c r="J12" s="464"/>
      <c r="K12" s="464"/>
      <c r="L12" s="464"/>
      <c r="M12" s="464"/>
      <c r="N12" s="464"/>
    </row>
    <row r="13" spans="1:15">
      <c r="A13" s="128" t="s">
        <v>755</v>
      </c>
      <c r="B13" s="249" t="s">
        <v>753</v>
      </c>
      <c r="C13" s="251"/>
      <c r="D13" s="115"/>
      <c r="E13" s="449"/>
      <c r="F13" s="212"/>
      <c r="H13" s="128" t="s">
        <v>761</v>
      </c>
      <c r="I13" s="464"/>
      <c r="J13" s="464"/>
      <c r="K13" s="464"/>
      <c r="L13" s="464"/>
      <c r="M13" s="464"/>
      <c r="N13" s="464"/>
    </row>
    <row r="14" spans="1:15">
      <c r="A14" s="123" t="s">
        <v>757</v>
      </c>
      <c r="B14" s="249" t="s">
        <v>753</v>
      </c>
      <c r="C14" s="124"/>
      <c r="D14" s="115"/>
      <c r="E14" s="453"/>
      <c r="F14" s="212"/>
      <c r="H14" s="128" t="s">
        <v>763</v>
      </c>
      <c r="I14" s="464"/>
      <c r="J14" s="464"/>
      <c r="K14" s="464"/>
      <c r="L14" s="464"/>
      <c r="M14" s="464"/>
      <c r="N14" s="464"/>
    </row>
    <row r="15" spans="1:15">
      <c r="A15" s="252" t="s">
        <v>759</v>
      </c>
      <c r="B15" s="253"/>
      <c r="C15" s="254"/>
      <c r="D15" s="125"/>
      <c r="E15" s="450">
        <f>SUM(E12:E14)</f>
        <v>0</v>
      </c>
      <c r="F15" s="212"/>
      <c r="H15" s="128" t="s">
        <v>765</v>
      </c>
      <c r="I15" s="464"/>
      <c r="J15" s="464"/>
      <c r="K15" s="464"/>
      <c r="L15" s="464"/>
      <c r="M15" s="464"/>
      <c r="N15" s="464"/>
    </row>
    <row r="16" spans="1:15">
      <c r="A16" s="123"/>
      <c r="B16" s="255"/>
      <c r="C16" s="256"/>
      <c r="D16" s="115"/>
      <c r="E16" s="451"/>
      <c r="F16" s="212"/>
    </row>
    <row r="17" spans="1:15" ht="14.4" customHeight="1">
      <c r="A17" s="257" t="s">
        <v>762</v>
      </c>
      <c r="B17" s="249" t="s">
        <v>753</v>
      </c>
      <c r="C17" s="452"/>
      <c r="D17" s="115"/>
      <c r="E17" s="453">
        <f>$C17*E15</f>
        <v>0</v>
      </c>
      <c r="F17" s="212"/>
      <c r="H17" s="181" t="s">
        <v>749</v>
      </c>
      <c r="I17" s="535" t="s">
        <v>767</v>
      </c>
      <c r="J17" s="538"/>
      <c r="K17" s="538"/>
      <c r="L17" s="538"/>
      <c r="M17" s="538"/>
      <c r="N17" s="539"/>
    </row>
    <row r="18" spans="1:15" ht="13.35" customHeight="1">
      <c r="A18" s="257" t="s">
        <v>764</v>
      </c>
      <c r="B18" s="249" t="s">
        <v>753</v>
      </c>
      <c r="C18" s="452"/>
      <c r="D18" s="115"/>
      <c r="E18" s="454">
        <f>$C18*E15</f>
        <v>0</v>
      </c>
      <c r="F18" s="212"/>
      <c r="H18" s="128"/>
      <c r="I18" s="446">
        <v>1</v>
      </c>
      <c r="J18" s="446">
        <v>2</v>
      </c>
      <c r="K18" s="446">
        <v>3</v>
      </c>
      <c r="L18" s="446">
        <v>4</v>
      </c>
      <c r="M18" s="446">
        <v>5</v>
      </c>
      <c r="N18" s="446">
        <v>6</v>
      </c>
      <c r="O18" s="201"/>
    </row>
    <row r="19" spans="1:15">
      <c r="A19" s="252" t="s">
        <v>766</v>
      </c>
      <c r="B19" s="258"/>
      <c r="C19" s="124"/>
      <c r="D19" s="115"/>
      <c r="E19" s="450">
        <f>SUM(E15:E18)</f>
        <v>0</v>
      </c>
      <c r="F19" s="455">
        <f>IF(E19=0,0,E19/E$47)</f>
        <v>0</v>
      </c>
      <c r="H19" s="128" t="s">
        <v>760</v>
      </c>
      <c r="I19" s="465"/>
      <c r="J19" s="465"/>
      <c r="K19" s="465"/>
      <c r="L19" s="465"/>
      <c r="M19" s="465"/>
      <c r="N19" s="465"/>
      <c r="O19" s="201"/>
    </row>
    <row r="20" spans="1:15">
      <c r="A20" s="123"/>
      <c r="B20" s="255"/>
      <c r="C20" s="256"/>
      <c r="D20" s="115"/>
      <c r="E20" s="451"/>
      <c r="F20" s="212"/>
      <c r="H20" s="128" t="s">
        <v>761</v>
      </c>
      <c r="I20" s="465"/>
      <c r="J20" s="465"/>
      <c r="K20" s="465"/>
      <c r="L20" s="465"/>
      <c r="M20" s="465"/>
      <c r="N20" s="465"/>
      <c r="O20" s="220"/>
    </row>
    <row r="21" spans="1:15">
      <c r="A21" s="259" t="s">
        <v>768</v>
      </c>
      <c r="B21" s="260"/>
      <c r="C21" s="256"/>
      <c r="D21" s="126"/>
      <c r="E21" s="456">
        <f>E19*0.96</f>
        <v>0</v>
      </c>
      <c r="F21" s="213"/>
      <c r="G21" s="127"/>
      <c r="H21" s="128" t="s">
        <v>763</v>
      </c>
      <c r="I21" s="465"/>
      <c r="J21" s="465"/>
      <c r="K21" s="465"/>
      <c r="L21" s="465"/>
      <c r="M21" s="465"/>
      <c r="N21" s="465"/>
      <c r="O21" s="201"/>
    </row>
    <row r="22" spans="1:15" s="14" customFormat="1">
      <c r="A22" s="257" t="s">
        <v>769</v>
      </c>
      <c r="B22" s="260"/>
      <c r="C22" s="261" t="s">
        <v>770</v>
      </c>
      <c r="D22" s="115"/>
      <c r="E22" s="453" t="e">
        <f>E21*'5-Premies en opslagen'!$C24</f>
        <v>#DIV/0!</v>
      </c>
      <c r="F22" s="212"/>
      <c r="G22" s="56"/>
      <c r="H22" s="128" t="s">
        <v>765</v>
      </c>
      <c r="I22" s="465"/>
      <c r="J22" s="465"/>
      <c r="K22" s="465"/>
      <c r="L22" s="465"/>
      <c r="M22" s="465"/>
      <c r="N22" s="465"/>
      <c r="O22" s="201"/>
    </row>
    <row r="23" spans="1:15" ht="14.25" customHeight="1">
      <c r="A23" s="252" t="s">
        <v>771</v>
      </c>
      <c r="B23" s="262"/>
      <c r="C23" s="124"/>
      <c r="D23" s="115"/>
      <c r="E23" s="450" t="e">
        <f>E22+E19</f>
        <v>#DIV/0!</v>
      </c>
      <c r="F23" s="455" t="e">
        <f>IF(E23=0,0,E23/E$47)</f>
        <v>#DIV/0!</v>
      </c>
      <c r="H23" s="458" t="s">
        <v>777</v>
      </c>
      <c r="I23" s="459">
        <f t="shared" ref="I23:N23" si="0">SUM(I19:I22)</f>
        <v>0</v>
      </c>
      <c r="J23" s="459">
        <f t="shared" si="0"/>
        <v>0</v>
      </c>
      <c r="K23" s="459">
        <f t="shared" si="0"/>
        <v>0</v>
      </c>
      <c r="L23" s="459">
        <f t="shared" si="0"/>
        <v>0</v>
      </c>
      <c r="M23" s="459">
        <f t="shared" si="0"/>
        <v>0</v>
      </c>
      <c r="N23" s="459">
        <f t="shared" si="0"/>
        <v>0</v>
      </c>
      <c r="O23" s="460">
        <f>SUM(I23:N23)</f>
        <v>0</v>
      </c>
    </row>
    <row r="24" spans="1:15" ht="12.75" customHeight="1">
      <c r="A24" s="123"/>
      <c r="B24" s="258"/>
      <c r="C24" s="124"/>
      <c r="D24" s="115"/>
      <c r="E24" s="445"/>
      <c r="F24" s="212"/>
    </row>
    <row r="25" spans="1:15" ht="12.75" customHeight="1">
      <c r="A25" s="257" t="s">
        <v>772</v>
      </c>
      <c r="B25" s="260"/>
      <c r="C25" s="261" t="s">
        <v>770</v>
      </c>
      <c r="D25" s="115"/>
      <c r="E25" s="453" t="e">
        <f>E23*'5-Premies en opslagen'!$B53</f>
        <v>#DIV/0!</v>
      </c>
      <c r="F25" s="212"/>
      <c r="H25" s="181" t="s">
        <v>749</v>
      </c>
      <c r="I25" s="533" t="s">
        <v>779</v>
      </c>
      <c r="J25" s="534"/>
      <c r="K25" s="534"/>
      <c r="L25" s="534"/>
      <c r="M25" s="534"/>
      <c r="N25" s="534"/>
    </row>
    <row r="26" spans="1:15">
      <c r="A26" s="252" t="s">
        <v>773</v>
      </c>
      <c r="B26" s="258"/>
      <c r="C26" s="124"/>
      <c r="D26" s="115"/>
      <c r="E26" s="450" t="e">
        <f>SUM(E23:E25)</f>
        <v>#DIV/0!</v>
      </c>
      <c r="F26" s="455" t="e">
        <f>IF(E26=0,0,E26/E$47)</f>
        <v>#DIV/0!</v>
      </c>
      <c r="H26" s="221"/>
      <c r="I26" s="446">
        <v>1</v>
      </c>
      <c r="J26" s="446">
        <v>2</v>
      </c>
      <c r="K26" s="446">
        <v>3</v>
      </c>
      <c r="L26" s="446">
        <v>4</v>
      </c>
      <c r="M26" s="446">
        <v>5</v>
      </c>
      <c r="N26" s="446">
        <v>6</v>
      </c>
    </row>
    <row r="27" spans="1:15" ht="13.35" customHeight="1">
      <c r="A27" s="123"/>
      <c r="B27" s="258"/>
      <c r="C27" s="124"/>
      <c r="D27" s="115"/>
      <c r="E27" s="445"/>
      <c r="F27" s="212"/>
      <c r="H27" s="128" t="s">
        <v>760</v>
      </c>
      <c r="I27" s="466">
        <f t="shared" ref="I27:N30" si="1">I19*I12</f>
        <v>0</v>
      </c>
      <c r="J27" s="466">
        <f t="shared" si="1"/>
        <v>0</v>
      </c>
      <c r="K27" s="466">
        <f t="shared" si="1"/>
        <v>0</v>
      </c>
      <c r="L27" s="466">
        <f t="shared" si="1"/>
        <v>0</v>
      </c>
      <c r="M27" s="466">
        <f t="shared" si="1"/>
        <v>0</v>
      </c>
      <c r="N27" s="466">
        <f t="shared" si="1"/>
        <v>0</v>
      </c>
    </row>
    <row r="28" spans="1:15">
      <c r="A28" s="123" t="s">
        <v>774</v>
      </c>
      <c r="B28" s="263"/>
      <c r="C28" s="251" t="s">
        <v>775</v>
      </c>
      <c r="D28" s="115"/>
      <c r="E28" s="449"/>
      <c r="F28" s="212">
        <v>0</v>
      </c>
      <c r="H28" s="128" t="s">
        <v>761</v>
      </c>
      <c r="I28" s="466">
        <f t="shared" si="1"/>
        <v>0</v>
      </c>
      <c r="J28" s="466">
        <f t="shared" si="1"/>
        <v>0</v>
      </c>
      <c r="K28" s="466">
        <f t="shared" si="1"/>
        <v>0</v>
      </c>
      <c r="L28" s="466">
        <f t="shared" si="1"/>
        <v>0</v>
      </c>
      <c r="M28" s="466">
        <f t="shared" si="1"/>
        <v>0</v>
      </c>
      <c r="N28" s="466">
        <f t="shared" si="1"/>
        <v>0</v>
      </c>
    </row>
    <row r="29" spans="1:15">
      <c r="A29" s="123" t="s">
        <v>776</v>
      </c>
      <c r="B29" s="264"/>
      <c r="C29" s="251" t="s">
        <v>775</v>
      </c>
      <c r="D29" s="115"/>
      <c r="E29" s="449"/>
      <c r="F29" s="212">
        <v>0</v>
      </c>
      <c r="H29" s="128" t="s">
        <v>763</v>
      </c>
      <c r="I29" s="466">
        <f t="shared" si="1"/>
        <v>0</v>
      </c>
      <c r="J29" s="466">
        <f t="shared" si="1"/>
        <v>0</v>
      </c>
      <c r="K29" s="466">
        <f t="shared" si="1"/>
        <v>0</v>
      </c>
      <c r="L29" s="466">
        <f t="shared" si="1"/>
        <v>0</v>
      </c>
      <c r="M29" s="466">
        <f t="shared" si="1"/>
        <v>0</v>
      </c>
      <c r="N29" s="466">
        <f t="shared" si="1"/>
        <v>0</v>
      </c>
    </row>
    <row r="30" spans="1:15">
      <c r="A30" s="123"/>
      <c r="B30" s="258"/>
      <c r="C30" s="124"/>
      <c r="D30" s="115"/>
      <c r="E30" s="449"/>
      <c r="F30" s="212"/>
      <c r="H30" s="128" t="s">
        <v>765</v>
      </c>
      <c r="I30" s="466">
        <f t="shared" si="1"/>
        <v>0</v>
      </c>
      <c r="J30" s="466">
        <f t="shared" si="1"/>
        <v>0</v>
      </c>
      <c r="K30" s="466">
        <f t="shared" si="1"/>
        <v>0</v>
      </c>
      <c r="L30" s="466">
        <f t="shared" si="1"/>
        <v>0</v>
      </c>
      <c r="M30" s="466">
        <f t="shared" si="1"/>
        <v>0</v>
      </c>
      <c r="N30" s="466">
        <f t="shared" si="1"/>
        <v>0</v>
      </c>
    </row>
    <row r="31" spans="1:15" ht="12.75" customHeight="1">
      <c r="A31" s="265"/>
      <c r="B31" s="266"/>
      <c r="C31" s="267" t="s">
        <v>751</v>
      </c>
      <c r="D31" s="115"/>
      <c r="E31" s="449"/>
      <c r="F31" s="212"/>
      <c r="H31" s="458" t="s">
        <v>777</v>
      </c>
      <c r="I31" s="467">
        <f t="shared" ref="I31:N31" si="2">SUM(I27:I30)</f>
        <v>0</v>
      </c>
      <c r="J31" s="467">
        <f t="shared" si="2"/>
        <v>0</v>
      </c>
      <c r="K31" s="467">
        <f t="shared" si="2"/>
        <v>0</v>
      </c>
      <c r="L31" s="467">
        <f t="shared" si="2"/>
        <v>0</v>
      </c>
      <c r="M31" s="467">
        <f t="shared" si="2"/>
        <v>0</v>
      </c>
      <c r="N31" s="467">
        <f t="shared" si="2"/>
        <v>0</v>
      </c>
    </row>
    <row r="32" spans="1:15" ht="12.75" customHeight="1">
      <c r="A32" s="252" t="s">
        <v>780</v>
      </c>
      <c r="B32" s="258"/>
      <c r="C32" s="124"/>
      <c r="D32" s="115"/>
      <c r="E32" s="450" t="e">
        <f>SUM(E26:E31)</f>
        <v>#DIV/0!</v>
      </c>
      <c r="F32" s="455" t="e">
        <f>IF(E32=0,0,E32/E$47)</f>
        <v>#DIV/0!</v>
      </c>
    </row>
    <row r="33" spans="1:15" ht="12.75" customHeight="1">
      <c r="A33" s="123"/>
      <c r="B33" s="258"/>
      <c r="C33" s="124"/>
      <c r="D33" s="115"/>
      <c r="E33" s="445"/>
      <c r="F33" s="212"/>
    </row>
    <row r="34" spans="1:15" ht="12.75" customHeight="1">
      <c r="A34" s="123" t="s">
        <v>781</v>
      </c>
      <c r="B34" s="258"/>
      <c r="C34" s="268"/>
      <c r="D34" s="115"/>
      <c r="E34" s="449"/>
      <c r="F34" s="214" t="e">
        <f>E34/$E$47</f>
        <v>#DIV/0!</v>
      </c>
    </row>
    <row r="35" spans="1:15" ht="12.75" customHeight="1">
      <c r="A35" s="123" t="s">
        <v>782</v>
      </c>
      <c r="B35" s="258"/>
      <c r="C35" s="268"/>
      <c r="D35" s="115"/>
      <c r="E35" s="449"/>
      <c r="F35" s="214" t="e">
        <f t="shared" ref="F35:F41" si="3">E35/$E$47</f>
        <v>#DIV/0!</v>
      </c>
    </row>
    <row r="36" spans="1:15" ht="14.25" customHeight="1">
      <c r="A36" s="123" t="s">
        <v>783</v>
      </c>
      <c r="B36" s="258"/>
      <c r="C36" s="268"/>
      <c r="D36" s="115"/>
      <c r="E36" s="449"/>
      <c r="F36" s="214" t="e">
        <f t="shared" si="3"/>
        <v>#DIV/0!</v>
      </c>
    </row>
    <row r="37" spans="1:15">
      <c r="A37" s="123" t="s">
        <v>784</v>
      </c>
      <c r="B37" s="258"/>
      <c r="C37" s="269"/>
      <c r="D37" s="115"/>
      <c r="F37" s="214" t="e">
        <f>E38/$E$47</f>
        <v>#DIV/0!</v>
      </c>
    </row>
    <row r="38" spans="1:15">
      <c r="A38" s="123" t="s">
        <v>785</v>
      </c>
      <c r="B38" s="258"/>
      <c r="C38" s="268"/>
      <c r="D38" s="115"/>
      <c r="E38" s="449"/>
      <c r="F38" s="214" t="e">
        <f>#REF!/$E$47</f>
        <v>#REF!</v>
      </c>
    </row>
    <row r="39" spans="1:15">
      <c r="A39" s="123" t="s">
        <v>786</v>
      </c>
      <c r="B39" s="258"/>
      <c r="C39" s="269"/>
      <c r="D39" s="115"/>
      <c r="E39" s="449"/>
      <c r="F39" s="214" t="e">
        <f t="shared" si="3"/>
        <v>#DIV/0!</v>
      </c>
    </row>
    <row r="40" spans="1:15">
      <c r="A40" s="123" t="s">
        <v>787</v>
      </c>
      <c r="B40" s="258"/>
      <c r="C40" s="251" t="s">
        <v>775</v>
      </c>
      <c r="D40" s="115"/>
      <c r="E40" s="449"/>
      <c r="F40" s="214" t="e">
        <f t="shared" si="3"/>
        <v>#DIV/0!</v>
      </c>
    </row>
    <row r="41" spans="1:15">
      <c r="A41" s="123" t="s">
        <v>788</v>
      </c>
      <c r="B41" s="258"/>
      <c r="C41" s="251"/>
      <c r="D41" s="115"/>
      <c r="E41" s="449"/>
      <c r="F41" s="214" t="e">
        <f t="shared" si="3"/>
        <v>#DIV/0!</v>
      </c>
      <c r="H41" s="127"/>
      <c r="I41" s="127"/>
      <c r="J41" s="127"/>
      <c r="K41" s="127"/>
      <c r="L41" s="127"/>
      <c r="M41" s="127"/>
      <c r="N41" s="127"/>
      <c r="O41" s="127"/>
    </row>
    <row r="42" spans="1:15">
      <c r="A42" s="265"/>
      <c r="B42" s="266"/>
      <c r="C42" s="270"/>
      <c r="D42" s="115"/>
      <c r="E42" s="449"/>
      <c r="F42" s="212"/>
      <c r="H42" s="127"/>
      <c r="I42" s="127"/>
      <c r="J42" s="127"/>
      <c r="K42" s="127"/>
      <c r="L42" s="127"/>
      <c r="M42" s="127"/>
      <c r="N42" s="127"/>
      <c r="O42" s="127"/>
    </row>
    <row r="43" spans="1:15" ht="45">
      <c r="A43" s="252" t="s">
        <v>789</v>
      </c>
      <c r="B43" s="258"/>
      <c r="C43" s="124"/>
      <c r="D43" s="115"/>
      <c r="E43" s="450" t="e">
        <f>SUM(E32:E42)</f>
        <v>#DIV/0!</v>
      </c>
      <c r="F43" s="455" t="e">
        <f>IF(E43=0,0,E43/E$47)</f>
        <v>#DIV/0!</v>
      </c>
      <c r="H43" s="277" t="s">
        <v>790</v>
      </c>
      <c r="I43" s="245"/>
      <c r="J43" s="246"/>
      <c r="K43" s="461" t="s">
        <v>748</v>
      </c>
      <c r="L43" s="127"/>
      <c r="M43" s="127"/>
      <c r="N43" s="127"/>
    </row>
    <row r="44" spans="1:15">
      <c r="A44" s="123"/>
      <c r="B44" s="258"/>
      <c r="C44" s="124"/>
      <c r="D44" s="115"/>
      <c r="E44" s="445"/>
      <c r="F44" s="215"/>
      <c r="H44" s="128"/>
      <c r="I44" s="247" t="s">
        <v>751</v>
      </c>
      <c r="J44" s="248" t="s">
        <v>751</v>
      </c>
      <c r="K44" s="445"/>
      <c r="L44" s="127"/>
      <c r="M44" s="127"/>
      <c r="N44" s="127"/>
    </row>
    <row r="45" spans="1:15">
      <c r="A45" s="123" t="s">
        <v>791</v>
      </c>
      <c r="B45" s="258"/>
      <c r="C45" s="269"/>
      <c r="D45" s="115"/>
      <c r="E45" s="449"/>
      <c r="F45" s="455">
        <f>(IF(E45=0,0,E45/E$47))</f>
        <v>0</v>
      </c>
      <c r="H45" s="130" t="s">
        <v>759</v>
      </c>
      <c r="I45" s="131"/>
      <c r="J45" s="132"/>
      <c r="K45" s="450">
        <f>E15</f>
        <v>0</v>
      </c>
      <c r="L45" s="127"/>
      <c r="M45" s="127"/>
      <c r="N45" s="127"/>
    </row>
    <row r="46" spans="1:15">
      <c r="A46" s="123"/>
      <c r="B46" s="271"/>
      <c r="C46" s="124"/>
      <c r="D46" s="115"/>
      <c r="E46" s="445"/>
      <c r="F46" s="212"/>
      <c r="H46" s="133" t="s">
        <v>762</v>
      </c>
      <c r="I46" s="134"/>
      <c r="J46" s="135"/>
      <c r="K46" s="453">
        <f>E17</f>
        <v>0</v>
      </c>
      <c r="L46" s="127"/>
      <c r="M46" s="127"/>
      <c r="N46" s="127"/>
    </row>
    <row r="47" spans="1:15">
      <c r="A47" s="252" t="s">
        <v>792</v>
      </c>
      <c r="B47" s="272"/>
      <c r="C47" s="273"/>
      <c r="D47" s="115"/>
      <c r="E47" s="216" t="e">
        <f>SUM(E43:E46)</f>
        <v>#DIV/0!</v>
      </c>
      <c r="F47" s="217" t="e">
        <f>SUM(F43:F46)</f>
        <v>#DIV/0!</v>
      </c>
      <c r="H47" s="257" t="s">
        <v>764</v>
      </c>
      <c r="I47" s="134"/>
      <c r="J47" s="135"/>
      <c r="K47" s="454">
        <f>E18</f>
        <v>0</v>
      </c>
      <c r="L47" s="127"/>
      <c r="M47" s="127"/>
      <c r="N47" s="127"/>
      <c r="O47" s="127"/>
    </row>
    <row r="48" spans="1:15">
      <c r="B48" s="129"/>
      <c r="C48" s="343"/>
      <c r="D48" s="115"/>
      <c r="E48" s="201"/>
      <c r="F48" s="218"/>
      <c r="H48" s="257" t="s">
        <v>769</v>
      </c>
      <c r="I48" s="134"/>
      <c r="J48" s="135"/>
      <c r="K48" s="453" t="e">
        <f>E22</f>
        <v>#DIV/0!</v>
      </c>
      <c r="L48" s="127"/>
      <c r="M48" s="127"/>
      <c r="N48" s="127"/>
      <c r="O48" s="127"/>
    </row>
    <row r="49" spans="1:15">
      <c r="A49" s="274" t="s">
        <v>793</v>
      </c>
      <c r="B49" s="275"/>
      <c r="C49" s="276"/>
      <c r="D49" s="127"/>
      <c r="E49" s="462" t="e">
        <f>(E$26*1.3)+($E$47-$E$26)</f>
        <v>#DIV/0!</v>
      </c>
      <c r="F49" s="219"/>
      <c r="G49" s="127"/>
      <c r="H49" s="257" t="s">
        <v>772</v>
      </c>
      <c r="I49" s="260"/>
      <c r="J49" s="261"/>
      <c r="K49" s="453" t="e">
        <f>E25</f>
        <v>#DIV/0!</v>
      </c>
      <c r="L49" s="127"/>
      <c r="M49" s="127"/>
      <c r="N49" s="127"/>
      <c r="O49" s="127"/>
    </row>
    <row r="50" spans="1:15" s="14" customFormat="1">
      <c r="A50" s="127"/>
      <c r="B50" s="136"/>
      <c r="C50" s="137"/>
      <c r="D50" s="127"/>
      <c r="E50" s="220"/>
      <c r="F50" s="220"/>
      <c r="G50" s="127"/>
      <c r="H50" s="123" t="s">
        <v>774</v>
      </c>
      <c r="I50" s="263"/>
      <c r="J50" s="251"/>
      <c r="K50" s="447">
        <f>E28</f>
        <v>0</v>
      </c>
      <c r="L50" s="127"/>
      <c r="M50" s="127"/>
      <c r="N50" s="127"/>
      <c r="O50" s="127"/>
    </row>
    <row r="51" spans="1:15" s="14" customFormat="1">
      <c r="A51" s="274" t="s">
        <v>794</v>
      </c>
      <c r="B51" s="275"/>
      <c r="C51" s="276"/>
      <c r="D51" s="127"/>
      <c r="E51" s="462" t="e">
        <f>(E$26*1.5)+($E$47-$E$26)</f>
        <v>#DIV/0!</v>
      </c>
      <c r="F51" s="219"/>
      <c r="G51" s="127"/>
      <c r="H51" s="123" t="s">
        <v>776</v>
      </c>
      <c r="I51" s="264"/>
      <c r="J51" s="251"/>
      <c r="K51" s="447">
        <f t="shared" ref="K51:K52" si="4">E29</f>
        <v>0</v>
      </c>
      <c r="L51" s="127"/>
      <c r="M51" s="56"/>
      <c r="N51" s="127"/>
      <c r="O51" s="127"/>
    </row>
    <row r="52" spans="1:15" s="14" customFormat="1">
      <c r="A52" s="127"/>
      <c r="B52" s="136"/>
      <c r="C52" s="137"/>
      <c r="D52" s="127"/>
      <c r="E52" s="220"/>
      <c r="F52" s="220"/>
      <c r="G52" s="127"/>
      <c r="H52" s="123" t="s">
        <v>778</v>
      </c>
      <c r="I52" s="258"/>
      <c r="J52" s="124" t="s">
        <v>751</v>
      </c>
      <c r="K52" s="447">
        <f t="shared" si="4"/>
        <v>0</v>
      </c>
      <c r="L52" s="127"/>
      <c r="M52" s="56"/>
      <c r="N52" s="127"/>
      <c r="O52" s="127"/>
    </row>
    <row r="53" spans="1:15" s="14" customFormat="1">
      <c r="A53" s="274" t="s">
        <v>795</v>
      </c>
      <c r="B53" s="275"/>
      <c r="C53" s="276"/>
      <c r="D53" s="127"/>
      <c r="E53" s="462" t="e">
        <f>(E$26*2.5)+($E$47-$E$26)</f>
        <v>#DIV/0!</v>
      </c>
      <c r="F53" s="220"/>
      <c r="G53" s="127"/>
      <c r="H53" s="123" t="s">
        <v>781</v>
      </c>
      <c r="I53" s="258"/>
      <c r="J53" s="268"/>
      <c r="K53" s="447">
        <f>E34</f>
        <v>0</v>
      </c>
      <c r="L53" s="127"/>
      <c r="M53" s="56"/>
      <c r="N53" s="127"/>
      <c r="O53" s="127"/>
    </row>
    <row r="54" spans="1:15" s="14" customFormat="1">
      <c r="A54" s="127"/>
      <c r="B54" s="136"/>
      <c r="C54" s="138"/>
      <c r="D54" s="127"/>
      <c r="E54" s="127"/>
      <c r="F54" s="139"/>
      <c r="G54" s="127"/>
      <c r="H54" s="123" t="s">
        <v>782</v>
      </c>
      <c r="I54" s="258"/>
      <c r="J54" s="268"/>
      <c r="K54" s="447">
        <f t="shared" ref="K54:K60" si="5">E35</f>
        <v>0</v>
      </c>
      <c r="L54" s="127"/>
      <c r="M54" s="56"/>
      <c r="N54" s="127"/>
      <c r="O54" s="127"/>
    </row>
    <row r="55" spans="1:15" s="14" customFormat="1">
      <c r="A55" s="127"/>
      <c r="B55" s="136"/>
      <c r="C55" s="138"/>
      <c r="D55" s="127"/>
      <c r="E55" s="127"/>
      <c r="F55" s="139"/>
      <c r="G55" s="127"/>
      <c r="H55" s="123" t="s">
        <v>783</v>
      </c>
      <c r="I55" s="258"/>
      <c r="J55" s="268"/>
      <c r="K55" s="447">
        <f t="shared" si="5"/>
        <v>0</v>
      </c>
      <c r="L55" s="127"/>
      <c r="M55" s="56"/>
      <c r="N55" s="127"/>
      <c r="O55" s="127"/>
    </row>
    <row r="56" spans="1:15" s="14" customFormat="1">
      <c r="A56" s="127"/>
      <c r="B56" s="127"/>
      <c r="C56" s="140"/>
      <c r="D56" s="127"/>
      <c r="E56" s="127"/>
      <c r="F56" s="139"/>
      <c r="G56" s="127"/>
      <c r="H56" s="123" t="s">
        <v>784</v>
      </c>
      <c r="I56" s="258"/>
      <c r="J56" s="269"/>
      <c r="K56" s="447">
        <f>E38</f>
        <v>0</v>
      </c>
      <c r="L56" s="127"/>
      <c r="M56" s="56"/>
      <c r="N56" s="127"/>
      <c r="O56" s="127"/>
    </row>
    <row r="57" spans="1:15" s="14" customFormat="1">
      <c r="A57" s="127"/>
      <c r="B57" s="127"/>
      <c r="C57" s="140"/>
      <c r="D57" s="127"/>
      <c r="E57" s="127"/>
      <c r="F57" s="139"/>
      <c r="G57" s="127"/>
      <c r="H57" s="123" t="s">
        <v>785</v>
      </c>
      <c r="I57" s="258"/>
      <c r="J57" s="268"/>
      <c r="K57" s="447" t="e">
        <f>#REF!</f>
        <v>#REF!</v>
      </c>
      <c r="L57" s="127"/>
      <c r="M57" s="56"/>
      <c r="N57" s="127"/>
      <c r="O57" s="127"/>
    </row>
    <row r="58" spans="1:15" s="14" customFormat="1">
      <c r="A58" s="56"/>
      <c r="B58" s="127"/>
      <c r="C58" s="140"/>
      <c r="D58" s="127"/>
      <c r="E58" s="127"/>
      <c r="F58" s="139"/>
      <c r="G58" s="127"/>
      <c r="H58" s="123" t="s">
        <v>786</v>
      </c>
      <c r="I58" s="258"/>
      <c r="J58" s="269"/>
      <c r="K58" s="447">
        <f t="shared" si="5"/>
        <v>0</v>
      </c>
      <c r="L58" s="127"/>
      <c r="M58" s="56"/>
      <c r="N58" s="56"/>
      <c r="O58" s="127"/>
    </row>
    <row r="59" spans="1:15" s="14" customFormat="1">
      <c r="A59" s="127"/>
      <c r="B59" s="127"/>
      <c r="C59" s="140"/>
      <c r="D59" s="127"/>
      <c r="E59" s="127"/>
      <c r="F59" s="139"/>
      <c r="G59" s="127"/>
      <c r="H59" s="123" t="s">
        <v>787</v>
      </c>
      <c r="I59" s="258"/>
      <c r="J59" s="251"/>
      <c r="K59" s="447">
        <f t="shared" si="5"/>
        <v>0</v>
      </c>
      <c r="L59" s="127"/>
      <c r="M59" s="56"/>
      <c r="N59" s="56"/>
      <c r="O59" s="127"/>
    </row>
    <row r="60" spans="1:15" s="14" customFormat="1">
      <c r="A60" s="127"/>
      <c r="B60" s="127"/>
      <c r="C60" s="140"/>
      <c r="D60" s="127"/>
      <c r="E60" s="127"/>
      <c r="F60" s="139"/>
      <c r="G60" s="127"/>
      <c r="H60" s="123" t="s">
        <v>788</v>
      </c>
      <c r="I60" s="258"/>
      <c r="J60" s="251"/>
      <c r="K60" s="447">
        <f t="shared" si="5"/>
        <v>0</v>
      </c>
      <c r="L60" s="127"/>
      <c r="M60" s="56"/>
      <c r="N60" s="56"/>
      <c r="O60" s="127"/>
    </row>
    <row r="61" spans="1:15" s="14" customFormat="1">
      <c r="A61" s="127"/>
      <c r="B61" s="127"/>
      <c r="C61" s="140"/>
      <c r="D61" s="127"/>
      <c r="E61" s="127"/>
      <c r="F61" s="139"/>
      <c r="G61" s="127"/>
      <c r="H61" s="123" t="s">
        <v>791</v>
      </c>
      <c r="I61" s="258"/>
      <c r="J61" s="269"/>
      <c r="K61" s="447">
        <f>E45</f>
        <v>0</v>
      </c>
      <c r="L61" s="127"/>
      <c r="M61" s="56"/>
      <c r="N61" s="56"/>
      <c r="O61" s="127"/>
    </row>
    <row r="62" spans="1:15" s="14" customFormat="1">
      <c r="A62" s="127"/>
      <c r="B62" s="127"/>
      <c r="C62" s="140"/>
      <c r="D62" s="127"/>
      <c r="E62" s="127"/>
      <c r="F62" s="139"/>
      <c r="G62" s="127"/>
      <c r="H62" s="123"/>
      <c r="I62" s="271"/>
      <c r="J62" s="124"/>
      <c r="K62" s="445"/>
      <c r="L62" s="127"/>
      <c r="M62" s="56"/>
      <c r="N62" s="56"/>
      <c r="O62" s="127"/>
    </row>
    <row r="63" spans="1:15" s="14" customFormat="1">
      <c r="A63" s="127"/>
      <c r="B63" s="127"/>
      <c r="C63" s="140"/>
      <c r="D63" s="127"/>
      <c r="E63" s="127"/>
      <c r="F63" s="139"/>
      <c r="G63" s="127"/>
      <c r="H63" s="252" t="s">
        <v>792</v>
      </c>
      <c r="I63" s="272"/>
      <c r="J63" s="273"/>
      <c r="K63" s="216" t="e">
        <f>SUM(K45:K62)</f>
        <v>#DIV/0!</v>
      </c>
      <c r="L63" s="127"/>
      <c r="M63" s="56"/>
      <c r="N63" s="56"/>
      <c r="O63" s="127"/>
    </row>
    <row r="64" spans="1:15" s="14" customFormat="1">
      <c r="A64" s="127"/>
      <c r="B64" s="127"/>
      <c r="C64" s="140"/>
      <c r="D64" s="127"/>
      <c r="E64" s="127"/>
      <c r="F64" s="139"/>
      <c r="G64" s="127"/>
      <c r="H64" s="56"/>
      <c r="I64" s="129"/>
      <c r="J64" s="343"/>
      <c r="K64" s="201"/>
      <c r="L64" s="127"/>
      <c r="M64" s="56"/>
      <c r="N64" s="56"/>
      <c r="O64" s="56"/>
    </row>
    <row r="65" spans="1:15" s="14" customFormat="1">
      <c r="A65" s="127"/>
      <c r="B65" s="127"/>
      <c r="C65" s="140"/>
      <c r="D65" s="127"/>
      <c r="E65" s="56"/>
      <c r="F65" s="139"/>
      <c r="G65" s="127"/>
      <c r="H65" s="274" t="s">
        <v>793</v>
      </c>
      <c r="I65" s="275"/>
      <c r="J65" s="276"/>
      <c r="K65" s="462" t="e">
        <f>E49</f>
        <v>#DIV/0!</v>
      </c>
      <c r="L65" s="127"/>
      <c r="M65" s="56"/>
      <c r="N65" s="56"/>
      <c r="O65" s="56"/>
    </row>
    <row r="66" spans="1:15">
      <c r="H66" s="127"/>
      <c r="I66" s="136"/>
      <c r="J66" s="137"/>
      <c r="K66" s="220"/>
      <c r="L66" s="127"/>
    </row>
    <row r="67" spans="1:15">
      <c r="H67" s="274" t="s">
        <v>794</v>
      </c>
      <c r="I67" s="275"/>
      <c r="J67" s="276"/>
      <c r="K67" s="462" t="e">
        <f>E51</f>
        <v>#DIV/0!</v>
      </c>
      <c r="L67" s="127"/>
    </row>
    <row r="68" spans="1:15">
      <c r="H68" s="127"/>
      <c r="I68" s="136"/>
      <c r="J68" s="137"/>
      <c r="K68" s="220"/>
      <c r="L68" s="127"/>
    </row>
    <row r="69" spans="1:15">
      <c r="H69" s="274" t="s">
        <v>795</v>
      </c>
      <c r="I69" s="275"/>
      <c r="J69" s="276"/>
      <c r="K69" s="462" t="e">
        <f>E53</f>
        <v>#DIV/0!</v>
      </c>
      <c r="L69" s="127"/>
    </row>
    <row r="70" spans="1:15">
      <c r="L70" s="127"/>
      <c r="O70" s="127"/>
    </row>
    <row r="71" spans="1:15">
      <c r="O71" s="127"/>
    </row>
    <row r="72" spans="1:15">
      <c r="O72" s="127"/>
    </row>
    <row r="73" spans="1:15">
      <c r="O73" s="127"/>
    </row>
    <row r="74" spans="1:15">
      <c r="O74" s="127"/>
    </row>
    <row r="75" spans="1:15">
      <c r="O75" s="127"/>
    </row>
    <row r="76" spans="1:15">
      <c r="O76" s="127"/>
    </row>
  </sheetData>
  <mergeCells count="7">
    <mergeCell ref="I25:N25"/>
    <mergeCell ref="I17:N17"/>
    <mergeCell ref="E10:F10"/>
    <mergeCell ref="I10:N10"/>
    <mergeCell ref="H1:N2"/>
    <mergeCell ref="H3:N3"/>
    <mergeCell ref="H4:N5"/>
  </mergeCells>
  <conditionalFormatting sqref="O23">
    <cfRule type="cellIs" dxfId="5" priority="1" operator="greaterThan">
      <formula>1</formula>
    </cfRule>
    <cfRule type="cellIs" dxfId="4" priority="2" operator="between">
      <formula>0.999999</formula>
      <formula>0</formula>
    </cfRule>
    <cfRule type="cellIs" dxfId="3"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J15"/>
  <sheetViews>
    <sheetView showGridLines="0" topLeftCell="C1" zoomScaleNormal="100" workbookViewId="0">
      <pane ySplit="10" topLeftCell="A11" activePane="bottomLeft" state="frozen"/>
      <selection activeCell="S18" sqref="S18"/>
      <selection pane="bottomLeft" activeCell="I18" sqref="A18:I24"/>
    </sheetView>
  </sheetViews>
  <sheetFormatPr defaultColWidth="9.109375" defaultRowHeight="13.5" customHeight="1"/>
  <cols>
    <col min="1" max="1" width="40.88671875" style="56" bestFit="1" customWidth="1"/>
    <col min="2" max="2" width="38.44140625" style="56" bestFit="1" customWidth="1"/>
    <col min="3" max="3" width="57.88671875" style="56" customWidth="1"/>
    <col min="4" max="4" width="12.88671875" style="56" customWidth="1"/>
    <col min="5" max="5" width="28.44140625" style="56" customWidth="1"/>
    <col min="6" max="6" width="15.44140625" style="56" customWidth="1"/>
    <col min="7" max="7" width="12.88671875" style="56" customWidth="1"/>
    <col min="8" max="8" width="12.44140625" style="56" bestFit="1" customWidth="1"/>
    <col min="9" max="9" width="13.5546875" style="56" bestFit="1" customWidth="1"/>
    <col min="10" max="10" width="19.88671875" style="2" customWidth="1"/>
    <col min="11" max="16384" width="9.109375" style="2"/>
  </cols>
  <sheetData>
    <row r="1" spans="1:10" ht="16.2">
      <c r="A1" s="424" t="s">
        <v>4</v>
      </c>
      <c r="B1" s="305"/>
      <c r="E1" s="182" t="s">
        <v>798</v>
      </c>
      <c r="F1" s="183"/>
      <c r="G1" s="183"/>
      <c r="H1" s="184"/>
      <c r="I1" s="345" t="s">
        <v>799</v>
      </c>
    </row>
    <row r="2" spans="1:10" ht="13.2">
      <c r="A2" s="87"/>
      <c r="B2" s="87"/>
      <c r="E2" s="141" t="s">
        <v>800</v>
      </c>
      <c r="F2" s="142"/>
      <c r="G2" s="142"/>
      <c r="H2" s="143"/>
      <c r="I2" s="222" t="e">
        <f>'6-Opbouw uurtarief productie'!E47</f>
        <v>#DIV/0!</v>
      </c>
    </row>
    <row r="3" spans="1:10" ht="15.6">
      <c r="A3" s="38" t="str">
        <f>'2-Kosten per locatie'!A3</f>
        <v>Naam opdrachtgever</v>
      </c>
      <c r="B3" s="144" t="str">
        <f>'2-Kosten per locatie'!B3</f>
        <v>Gemeente Zoetermeer</v>
      </c>
      <c r="E3" s="141" t="s">
        <v>801</v>
      </c>
      <c r="F3" s="142"/>
      <c r="G3" s="142"/>
      <c r="H3" s="143"/>
      <c r="I3" s="222" t="e">
        <f>'6-Opbouw uurtarief productie'!E51</f>
        <v>#DIV/0!</v>
      </c>
    </row>
    <row r="4" spans="1:10" ht="15.6">
      <c r="A4" s="38" t="str">
        <f>'2-Kosten per locatie'!A4</f>
        <v>Calculatie onderdeel</v>
      </c>
      <c r="B4" s="47" t="str">
        <f ca="1">MID(CELL("bestandsnaam",$D$9),SEARCH("]",CELL("bestandsnaam",$D$9),1)+1,256)</f>
        <v>8-Additionele kosten</v>
      </c>
      <c r="E4" s="141" t="s">
        <v>802</v>
      </c>
      <c r="F4" s="142"/>
      <c r="G4" s="142"/>
      <c r="H4" s="143"/>
      <c r="I4" s="222" t="e">
        <f>'6-Opbouw uurtarief productie'!E53</f>
        <v>#DIV/0!</v>
      </c>
    </row>
    <row r="5" spans="1:10" ht="15.6">
      <c r="A5" s="38" t="str">
        <f>'2-Kosten per locatie'!A5</f>
        <v>Gebouw/plaats</v>
      </c>
      <c r="B5" s="144" t="str">
        <f>'2-Kosten per locatie'!B5</f>
        <v>Diversen Zoetermeer</v>
      </c>
      <c r="E5" s="141" t="s">
        <v>803</v>
      </c>
      <c r="F5" s="142"/>
      <c r="G5" s="142"/>
      <c r="H5" s="143"/>
      <c r="I5" s="222">
        <v>0</v>
      </c>
    </row>
    <row r="6" spans="1:10" ht="15.6">
      <c r="A6" s="38" t="str">
        <f>'2-Kosten per locatie'!A6</f>
        <v>Referentie nummer</v>
      </c>
      <c r="B6" s="144" t="str">
        <f>'2-Kosten per locatie'!B6</f>
        <v>2025-045275 </v>
      </c>
      <c r="E6" s="141" t="s">
        <v>803</v>
      </c>
      <c r="F6" s="142"/>
      <c r="G6" s="142"/>
      <c r="H6" s="143"/>
      <c r="I6" s="222">
        <v>0</v>
      </c>
    </row>
    <row r="7" spans="1:10" ht="15" customHeight="1">
      <c r="A7" s="38" t="str">
        <f>'2-Kosten per locatie'!A7</f>
        <v>Naam dienstverlener</v>
      </c>
      <c r="B7" s="144">
        <f>'2-Kosten per locatie'!B7</f>
        <v>0</v>
      </c>
      <c r="E7" s="141" t="s">
        <v>803</v>
      </c>
      <c r="F7" s="142"/>
      <c r="G7" s="142"/>
      <c r="H7" s="143"/>
      <c r="I7" s="222">
        <v>0</v>
      </c>
      <c r="J7" s="23"/>
    </row>
    <row r="8" spans="1:10" ht="15.6">
      <c r="A8" s="38" t="str">
        <f>'2-Kosten per locatie'!A8</f>
        <v>Prijspeil</v>
      </c>
      <c r="B8" s="320">
        <f>'2-Kosten per locatie'!B8</f>
        <v>2026</v>
      </c>
      <c r="E8" s="141" t="s">
        <v>803</v>
      </c>
      <c r="F8" s="142"/>
      <c r="G8" s="142"/>
      <c r="H8" s="143"/>
      <c r="I8" s="222">
        <v>0</v>
      </c>
      <c r="J8" s="23"/>
    </row>
    <row r="10" spans="1:10" ht="32.4">
      <c r="A10" s="468" t="s">
        <v>145</v>
      </c>
      <c r="B10" s="468" t="s">
        <v>804</v>
      </c>
      <c r="C10" s="468" t="s">
        <v>805</v>
      </c>
      <c r="D10" s="468" t="s">
        <v>806</v>
      </c>
      <c r="E10" s="468" t="s">
        <v>807</v>
      </c>
      <c r="F10" s="468" t="s">
        <v>808</v>
      </c>
      <c r="G10" s="468" t="s">
        <v>809</v>
      </c>
      <c r="H10" s="468" t="s">
        <v>810</v>
      </c>
      <c r="I10" s="468" t="s">
        <v>811</v>
      </c>
    </row>
    <row r="11" spans="1:10" ht="13.2">
      <c r="A11" s="359" t="s">
        <v>44</v>
      </c>
      <c r="B11" s="354" t="s">
        <v>292</v>
      </c>
      <c r="C11" s="399" t="s">
        <v>812</v>
      </c>
      <c r="D11" s="422"/>
      <c r="E11" s="422">
        <v>52</v>
      </c>
      <c r="F11" s="469"/>
      <c r="G11" s="470">
        <f>F11*E11</f>
        <v>0</v>
      </c>
      <c r="H11" s="471"/>
      <c r="I11" s="472">
        <f>H11*G11</f>
        <v>0</v>
      </c>
    </row>
    <row r="12" spans="1:10" ht="13.2">
      <c r="A12" s="354" t="s">
        <v>67</v>
      </c>
      <c r="B12" s="354" t="s">
        <v>493</v>
      </c>
      <c r="C12" s="399" t="s">
        <v>813</v>
      </c>
      <c r="D12" s="422"/>
      <c r="E12" s="422">
        <v>26</v>
      </c>
      <c r="F12" s="473"/>
      <c r="G12" s="470">
        <f t="shared" ref="G12:G13" si="0">F12*E12</f>
        <v>0</v>
      </c>
      <c r="H12" s="471"/>
      <c r="I12" s="472">
        <f t="shared" ref="I12:I13" si="1">H12*G12</f>
        <v>0</v>
      </c>
    </row>
    <row r="13" spans="1:10" ht="13.2">
      <c r="A13" s="354" t="s">
        <v>70</v>
      </c>
      <c r="B13" s="354" t="s">
        <v>509</v>
      </c>
      <c r="C13" s="399" t="s">
        <v>814</v>
      </c>
      <c r="D13" s="422"/>
      <c r="E13" s="422">
        <v>12</v>
      </c>
      <c r="F13" s="473"/>
      <c r="G13" s="470">
        <f t="shared" si="0"/>
        <v>0</v>
      </c>
      <c r="H13" s="471"/>
      <c r="I13" s="472">
        <f t="shared" si="1"/>
        <v>0</v>
      </c>
    </row>
    <row r="14" spans="1:10" ht="13.2">
      <c r="I14" s="201"/>
    </row>
    <row r="15" spans="1:10" s="13" customFormat="1" ht="13.2">
      <c r="A15" s="235" t="s">
        <v>83</v>
      </c>
      <c r="B15" s="241"/>
      <c r="C15" s="241"/>
      <c r="D15" s="241"/>
      <c r="E15" s="241"/>
      <c r="F15" s="241"/>
      <c r="G15" s="474"/>
      <c r="H15" s="241"/>
      <c r="I15" s="475">
        <f>SUM(I11:I14)</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64"/>
  <sheetViews>
    <sheetView showGridLines="0" showZeros="0" zoomScaleNormal="100" zoomScaleSheetLayoutView="75" zoomScalePageLayoutView="50" workbookViewId="0">
      <pane ySplit="10" topLeftCell="A35" activePane="bottomLeft" state="frozen"/>
      <selection activeCell="S18" sqref="S18"/>
      <selection pane="bottomLeft" activeCell="E43" sqref="E43"/>
    </sheetView>
  </sheetViews>
  <sheetFormatPr defaultColWidth="11.44140625" defaultRowHeight="13.2"/>
  <cols>
    <col min="1" max="1" width="39" style="56" customWidth="1"/>
    <col min="2" max="2" width="20.44140625" style="56" customWidth="1"/>
    <col min="3" max="6" width="17.5546875" style="56" customWidth="1"/>
    <col min="7" max="16384" width="11.44140625" style="2"/>
  </cols>
  <sheetData>
    <row r="1" spans="1:6">
      <c r="A1" s="424" t="s">
        <v>4</v>
      </c>
      <c r="B1" s="145"/>
      <c r="C1" s="145"/>
      <c r="D1" s="146"/>
    </row>
    <row r="2" spans="1:6">
      <c r="A2" s="87"/>
    </row>
    <row r="3" spans="1:6" ht="15.6">
      <c r="A3" s="38" t="str">
        <f>'2-Kosten per locatie'!A3</f>
        <v>Naam opdrachtgever</v>
      </c>
      <c r="B3" s="47" t="str">
        <f>'2-Kosten per locatie'!B3</f>
        <v>Gemeente Zoetermeer</v>
      </c>
      <c r="C3" s="147"/>
      <c r="D3" s="147"/>
    </row>
    <row r="4" spans="1:6" ht="15.6">
      <c r="A4" s="38" t="str">
        <f>'2-Kosten per locatie'!A4</f>
        <v>Calculatie onderdeel</v>
      </c>
      <c r="B4" s="47" t="str">
        <f ca="1">MID(CELL("bestandsnaam",$C$9),SEARCH("]",CELL("bestandsnaam",$C$9),1)+1,256)</f>
        <v>9-Afroepprijs</v>
      </c>
      <c r="C4" s="148"/>
      <c r="D4" s="149"/>
    </row>
    <row r="5" spans="1:6" ht="15.6">
      <c r="A5" s="38" t="str">
        <f>'2-Kosten per locatie'!A5</f>
        <v>Gebouw/plaats</v>
      </c>
      <c r="B5" s="47" t="str">
        <f>'2-Kosten per locatie'!B5</f>
        <v>Diversen Zoetermeer</v>
      </c>
      <c r="C5" s="148"/>
      <c r="D5" s="149"/>
    </row>
    <row r="6" spans="1:6" ht="15.6">
      <c r="A6" s="38" t="str">
        <f>'2-Kosten per locatie'!A6</f>
        <v>Referentie nummer</v>
      </c>
      <c r="B6" s="47" t="str">
        <f>'2-Kosten per locatie'!B6</f>
        <v>2025-045275 </v>
      </c>
      <c r="C6" s="148"/>
      <c r="D6" s="149"/>
    </row>
    <row r="7" spans="1:6" ht="15.6">
      <c r="A7" s="38" t="str">
        <f>'2-Kosten per locatie'!A7</f>
        <v>Naam dienstverlener</v>
      </c>
      <c r="B7" s="47">
        <f>'2-Kosten per locatie'!B7</f>
        <v>0</v>
      </c>
      <c r="C7" s="148"/>
      <c r="D7" s="149"/>
    </row>
    <row r="8" spans="1:6" ht="15.6">
      <c r="A8" s="38" t="str">
        <f>'2-Kosten per locatie'!A8</f>
        <v>Prijspeil</v>
      </c>
      <c r="B8" s="320">
        <f>'2-Kosten per locatie'!B8</f>
        <v>2026</v>
      </c>
      <c r="C8" s="148"/>
      <c r="D8" s="149"/>
    </row>
    <row r="9" spans="1:6" ht="15.6">
      <c r="A9" s="150"/>
      <c r="B9" s="151"/>
      <c r="C9" s="148"/>
      <c r="D9" s="149"/>
    </row>
    <row r="10" spans="1:6">
      <c r="A10" s="152"/>
      <c r="B10" s="153"/>
      <c r="C10" s="153"/>
      <c r="D10" s="153"/>
    </row>
    <row r="11" spans="1:6" ht="18.600000000000001">
      <c r="A11" s="278" t="s">
        <v>815</v>
      </c>
      <c r="B11" s="279"/>
      <c r="C11" s="279"/>
      <c r="D11" s="280"/>
      <c r="E11" s="280"/>
      <c r="F11" s="281"/>
    </row>
    <row r="13" spans="1:6">
      <c r="A13" s="282"/>
      <c r="B13" s="283"/>
      <c r="C13" s="540" t="s">
        <v>816</v>
      </c>
      <c r="D13" s="541"/>
      <c r="E13" s="541"/>
      <c r="F13" s="542"/>
    </row>
    <row r="14" spans="1:6">
      <c r="A14" s="476" t="s">
        <v>817</v>
      </c>
      <c r="B14" s="476" t="s">
        <v>818</v>
      </c>
      <c r="C14" s="477" t="s">
        <v>819</v>
      </c>
      <c r="D14" s="422" t="s">
        <v>820</v>
      </c>
      <c r="E14" s="422" t="s">
        <v>821</v>
      </c>
      <c r="F14" s="422" t="s">
        <v>822</v>
      </c>
    </row>
    <row r="15" spans="1:6">
      <c r="A15" s="478" t="s">
        <v>823</v>
      </c>
      <c r="B15" s="478" t="s">
        <v>824</v>
      </c>
      <c r="C15" s="479">
        <v>0</v>
      </c>
      <c r="D15" s="479">
        <v>0</v>
      </c>
      <c r="E15" s="479">
        <v>0</v>
      </c>
      <c r="F15" s="479">
        <v>0</v>
      </c>
    </row>
    <row r="16" spans="1:6">
      <c r="A16" s="478" t="s">
        <v>825</v>
      </c>
      <c r="B16" s="478" t="s">
        <v>824</v>
      </c>
      <c r="C16" s="479">
        <v>0</v>
      </c>
      <c r="D16" s="479">
        <v>0</v>
      </c>
      <c r="E16" s="479">
        <v>0</v>
      </c>
      <c r="F16" s="479">
        <v>0</v>
      </c>
    </row>
    <row r="17" spans="1:6">
      <c r="A17" s="478" t="s">
        <v>826</v>
      </c>
      <c r="B17" s="478" t="s">
        <v>827</v>
      </c>
      <c r="C17" s="479">
        <v>0</v>
      </c>
      <c r="D17" s="479">
        <v>0</v>
      </c>
      <c r="E17" s="479">
        <v>0</v>
      </c>
      <c r="F17" s="479">
        <v>0</v>
      </c>
    </row>
    <row r="18" spans="1:6">
      <c r="A18" s="476" t="s">
        <v>828</v>
      </c>
      <c r="B18" s="480"/>
      <c r="C18" s="479">
        <v>0</v>
      </c>
      <c r="D18" s="479">
        <v>0</v>
      </c>
      <c r="E18" s="479">
        <v>0</v>
      </c>
      <c r="F18" s="479">
        <v>0</v>
      </c>
    </row>
    <row r="19" spans="1:6">
      <c r="A19" s="476" t="s">
        <v>829</v>
      </c>
      <c r="B19" s="480"/>
      <c r="C19" s="479">
        <v>0</v>
      </c>
      <c r="D19" s="479">
        <v>0</v>
      </c>
      <c r="E19" s="479">
        <v>0</v>
      </c>
      <c r="F19" s="479">
        <v>0</v>
      </c>
    </row>
    <row r="20" spans="1:6">
      <c r="A20" s="154"/>
      <c r="B20" s="154"/>
      <c r="C20" s="154"/>
      <c r="D20" s="145"/>
    </row>
    <row r="21" spans="1:6" ht="18.600000000000001">
      <c r="A21" s="278" t="s">
        <v>830</v>
      </c>
      <c r="B21" s="284"/>
      <c r="C21" s="284"/>
      <c r="D21" s="284"/>
      <c r="E21" s="284"/>
      <c r="F21" s="285"/>
    </row>
    <row r="22" spans="1:6">
      <c r="A22" s="155"/>
      <c r="B22" s="154"/>
      <c r="C22" s="154"/>
      <c r="D22" s="145"/>
      <c r="E22" s="540" t="s">
        <v>831</v>
      </c>
      <c r="F22" s="542"/>
    </row>
    <row r="23" spans="1:6">
      <c r="A23" s="476" t="s">
        <v>832</v>
      </c>
      <c r="B23" s="286" t="s">
        <v>818</v>
      </c>
      <c r="C23" s="287"/>
      <c r="D23" s="288"/>
      <c r="E23" s="481" t="s">
        <v>833</v>
      </c>
      <c r="F23" s="481" t="s">
        <v>834</v>
      </c>
    </row>
    <row r="24" spans="1:6">
      <c r="A24" s="478" t="s">
        <v>835</v>
      </c>
      <c r="B24" s="480" t="s">
        <v>836</v>
      </c>
      <c r="C24" s="173"/>
      <c r="D24" s="173"/>
      <c r="E24" s="479">
        <v>0</v>
      </c>
      <c r="F24" s="479">
        <v>0</v>
      </c>
    </row>
    <row r="25" spans="1:6">
      <c r="A25" s="478" t="s">
        <v>837</v>
      </c>
      <c r="B25" s="480" t="s">
        <v>836</v>
      </c>
      <c r="C25" s="289"/>
      <c r="D25" s="289"/>
      <c r="E25" s="479">
        <v>0</v>
      </c>
      <c r="F25" s="479">
        <v>0</v>
      </c>
    </row>
    <row r="26" spans="1:6">
      <c r="A26" s="478" t="s">
        <v>838</v>
      </c>
      <c r="B26" s="480" t="s">
        <v>836</v>
      </c>
      <c r="C26" s="289"/>
      <c r="D26" s="289"/>
      <c r="E26" s="479">
        <v>0</v>
      </c>
      <c r="F26" s="479">
        <v>0</v>
      </c>
    </row>
    <row r="27" spans="1:6">
      <c r="A27" s="478" t="s">
        <v>839</v>
      </c>
      <c r="B27" s="480" t="s">
        <v>836</v>
      </c>
      <c r="C27" s="290"/>
      <c r="D27" s="289"/>
      <c r="E27" s="479">
        <v>0</v>
      </c>
      <c r="F27" s="479">
        <v>0</v>
      </c>
    </row>
    <row r="28" spans="1:6">
      <c r="A28" s="478" t="s">
        <v>840</v>
      </c>
      <c r="B28" s="480" t="s">
        <v>836</v>
      </c>
      <c r="C28" s="290"/>
      <c r="D28" s="289"/>
      <c r="E28" s="479">
        <v>0</v>
      </c>
      <c r="F28" s="479">
        <v>0</v>
      </c>
    </row>
    <row r="29" spans="1:6">
      <c r="A29" s="156"/>
      <c r="B29" s="157"/>
      <c r="C29" s="157"/>
      <c r="D29" s="156"/>
    </row>
    <row r="30" spans="1:6" ht="18.600000000000001">
      <c r="A30" s="278" t="s">
        <v>841</v>
      </c>
      <c r="B30" s="284"/>
      <c r="C30" s="284"/>
      <c r="D30" s="284"/>
      <c r="E30" s="284"/>
      <c r="F30" s="285"/>
    </row>
    <row r="31" spans="1:6">
      <c r="A31" s="291"/>
      <c r="B31" s="291"/>
      <c r="C31" s="291"/>
      <c r="D31" s="291"/>
    </row>
    <row r="32" spans="1:6" ht="26.4">
      <c r="A32" s="482" t="s">
        <v>842</v>
      </c>
      <c r="B32" s="292" t="s">
        <v>818</v>
      </c>
      <c r="C32" s="287"/>
      <c r="D32" s="288"/>
      <c r="E32" s="483" t="s">
        <v>843</v>
      </c>
      <c r="F32" s="293" t="s">
        <v>844</v>
      </c>
    </row>
    <row r="33" spans="1:6">
      <c r="A33" s="478" t="s">
        <v>845</v>
      </c>
      <c r="B33" s="480" t="s">
        <v>836</v>
      </c>
      <c r="C33" s="173"/>
      <c r="D33" s="173"/>
      <c r="E33" s="479">
        <v>0</v>
      </c>
      <c r="F33" s="479">
        <v>0</v>
      </c>
    </row>
    <row r="34" spans="1:6">
      <c r="A34" s="478" t="s">
        <v>846</v>
      </c>
      <c r="B34" s="480" t="s">
        <v>836</v>
      </c>
      <c r="C34" s="289"/>
      <c r="D34" s="289"/>
      <c r="E34" s="479">
        <v>0</v>
      </c>
      <c r="F34" s="479">
        <v>0</v>
      </c>
    </row>
    <row r="35" spans="1:6">
      <c r="A35" s="478" t="s">
        <v>847</v>
      </c>
      <c r="B35" s="480" t="s">
        <v>836</v>
      </c>
      <c r="C35" s="290"/>
      <c r="D35" s="289"/>
      <c r="E35" s="479">
        <v>0</v>
      </c>
      <c r="F35" s="479">
        <v>0</v>
      </c>
    </row>
    <row r="36" spans="1:6">
      <c r="A36" s="478" t="s">
        <v>848</v>
      </c>
      <c r="B36" s="480" t="s">
        <v>836</v>
      </c>
      <c r="C36" s="290"/>
      <c r="D36" s="289"/>
      <c r="E36" s="479">
        <v>0</v>
      </c>
      <c r="F36" s="479">
        <v>0</v>
      </c>
    </row>
    <row r="37" spans="1:6">
      <c r="A37" s="478" t="s">
        <v>849</v>
      </c>
      <c r="B37" s="480" t="s">
        <v>836</v>
      </c>
      <c r="C37" s="290"/>
      <c r="D37" s="289"/>
      <c r="E37" s="479">
        <v>0</v>
      </c>
      <c r="F37" s="479">
        <v>0</v>
      </c>
    </row>
    <row r="39" spans="1:6" ht="18.600000000000001">
      <c r="A39" s="278" t="s">
        <v>850</v>
      </c>
      <c r="B39" s="284"/>
      <c r="C39" s="284"/>
      <c r="D39" s="284"/>
      <c r="E39" s="284"/>
      <c r="F39" s="285"/>
    </row>
    <row r="40" spans="1:6">
      <c r="A40" s="291"/>
      <c r="B40" s="291"/>
      <c r="C40" s="291"/>
      <c r="D40" s="291"/>
    </row>
    <row r="41" spans="1:6">
      <c r="A41" s="482" t="s">
        <v>842</v>
      </c>
      <c r="B41" s="292" t="s">
        <v>818</v>
      </c>
      <c r="C41" s="287"/>
      <c r="D41" s="288"/>
      <c r="E41" s="483" t="s">
        <v>851</v>
      </c>
      <c r="F41" s="2"/>
    </row>
    <row r="42" spans="1:6">
      <c r="A42" s="478" t="s">
        <v>852</v>
      </c>
      <c r="B42" s="480" t="s">
        <v>836</v>
      </c>
      <c r="C42" s="173"/>
      <c r="D42" s="173"/>
      <c r="E42" s="479">
        <v>0</v>
      </c>
      <c r="F42" s="2"/>
    </row>
    <row r="43" spans="1:6">
      <c r="A43" s="478" t="s">
        <v>853</v>
      </c>
      <c r="B43" s="480" t="s">
        <v>836</v>
      </c>
      <c r="C43" s="173"/>
      <c r="D43" s="173"/>
      <c r="E43" s="479">
        <v>0</v>
      </c>
      <c r="F43" s="2"/>
    </row>
    <row r="44" spans="1:6">
      <c r="A44" s="478" t="s">
        <v>854</v>
      </c>
      <c r="B44" s="480" t="s">
        <v>836</v>
      </c>
      <c r="C44" s="289"/>
      <c r="D44" s="289"/>
      <c r="E44" s="479">
        <v>0</v>
      </c>
      <c r="F44" s="2"/>
    </row>
    <row r="46" spans="1:6" ht="18.600000000000001">
      <c r="A46" s="278" t="s">
        <v>855</v>
      </c>
      <c r="B46" s="284"/>
      <c r="C46" s="284"/>
      <c r="D46" s="284"/>
      <c r="E46" s="284"/>
      <c r="F46" s="285"/>
    </row>
    <row r="47" spans="1:6">
      <c r="A47" s="155"/>
      <c r="B47" s="154"/>
      <c r="C47" s="154"/>
      <c r="D47" s="145"/>
    </row>
    <row r="48" spans="1:6">
      <c r="A48" s="476" t="s">
        <v>817</v>
      </c>
      <c r="B48" s="282" t="s">
        <v>818</v>
      </c>
      <c r="C48" s="291"/>
      <c r="D48" s="291"/>
      <c r="E48" s="291"/>
      <c r="F48" s="484" t="s">
        <v>856</v>
      </c>
    </row>
    <row r="49" spans="1:6">
      <c r="A49" s="478" t="s">
        <v>857</v>
      </c>
      <c r="B49" s="158" t="s">
        <v>800</v>
      </c>
      <c r="C49" s="158"/>
      <c r="D49" s="158"/>
      <c r="E49" s="158"/>
      <c r="F49" s="479">
        <v>0</v>
      </c>
    </row>
    <row r="50" spans="1:6">
      <c r="A50" s="478" t="s">
        <v>857</v>
      </c>
      <c r="B50" s="158" t="s">
        <v>801</v>
      </c>
      <c r="C50" s="158"/>
      <c r="D50" s="158"/>
      <c r="E50" s="158"/>
      <c r="F50" s="479">
        <v>0</v>
      </c>
    </row>
    <row r="51" spans="1:6">
      <c r="A51" s="478" t="s">
        <v>857</v>
      </c>
      <c r="B51" s="158" t="s">
        <v>802</v>
      </c>
      <c r="C51" s="158"/>
      <c r="D51" s="158"/>
      <c r="E51" s="158"/>
      <c r="F51" s="479">
        <v>0</v>
      </c>
    </row>
    <row r="52" spans="1:6">
      <c r="A52" s="478" t="s">
        <v>858</v>
      </c>
      <c r="B52" s="158" t="s">
        <v>800</v>
      </c>
      <c r="C52" s="158"/>
      <c r="D52" s="158"/>
      <c r="E52" s="158"/>
      <c r="F52" s="479">
        <v>0</v>
      </c>
    </row>
    <row r="53" spans="1:6" s="12" customFormat="1">
      <c r="A53" s="154"/>
      <c r="B53" s="154"/>
      <c r="C53" s="40"/>
      <c r="D53" s="40"/>
      <c r="E53" s="40"/>
      <c r="F53" s="40"/>
    </row>
    <row r="54" spans="1:6" ht="15.6">
      <c r="A54" s="185" t="s">
        <v>859</v>
      </c>
      <c r="B54" s="145"/>
      <c r="C54" s="145"/>
      <c r="D54" s="154"/>
    </row>
    <row r="55" spans="1:6">
      <c r="A55" s="154" t="s">
        <v>860</v>
      </c>
    </row>
    <row r="56" spans="1:6">
      <c r="A56" s="154" t="s">
        <v>861</v>
      </c>
      <c r="B56" s="145"/>
      <c r="C56" s="145"/>
      <c r="D56" s="154"/>
    </row>
    <row r="57" spans="1:6" ht="12.75" customHeight="1">
      <c r="A57" s="154"/>
      <c r="B57" s="145"/>
      <c r="C57" s="145"/>
      <c r="D57" s="154"/>
    </row>
    <row r="58" spans="1:6">
      <c r="A58" s="154"/>
      <c r="B58" s="145"/>
      <c r="C58" s="145"/>
      <c r="D58" s="154"/>
    </row>
    <row r="59" spans="1:6">
      <c r="A59" s="154"/>
      <c r="B59" s="145"/>
      <c r="C59" s="145"/>
      <c r="D59" s="154"/>
    </row>
    <row r="61" spans="1:6">
      <c r="A61" s="159"/>
      <c r="B61" s="145"/>
      <c r="C61" s="145"/>
      <c r="D61" s="145"/>
    </row>
    <row r="62" spans="1:6">
      <c r="A62" s="159"/>
    </row>
    <row r="63" spans="1:6">
      <c r="A63" s="159"/>
    </row>
    <row r="64" spans="1:6">
      <c r="A64" s="159"/>
    </row>
  </sheetData>
  <mergeCells count="2">
    <mergeCell ref="C13:F13"/>
    <mergeCell ref="E22:F22"/>
  </mergeCells>
  <phoneticPr fontId="15"/>
  <conditionalFormatting sqref="E24:F37">
    <cfRule type="cellIs" dxfId="2" priority="4" stopIfTrue="1" operator="equal">
      <formula>"nvt"</formula>
    </cfRule>
  </conditionalFormatting>
  <conditionalFormatting sqref="E39:F44">
    <cfRule type="cellIs" dxfId="1" priority="1" stopIfTrue="1" operator="equal">
      <formula>"nvt"</formula>
    </cfRule>
  </conditionalFormatting>
  <conditionalFormatting sqref="F49:F52">
    <cfRule type="cellIs" dxfId="0" priority="10"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rchief xmlns="a8c941f6-bf32-4c67-8466-cbfbf71c1140">true</Archie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3EFF8443EE11845A41456F9D8B7C393" ma:contentTypeVersion="4" ma:contentTypeDescription="Een nieuw document maken." ma:contentTypeScope="" ma:versionID="1da0d433267a1ea4f2e22f883fbbbab7">
  <xsd:schema xmlns:xsd="http://www.w3.org/2001/XMLSchema" xmlns:xs="http://www.w3.org/2001/XMLSchema" xmlns:p="http://schemas.microsoft.com/office/2006/metadata/properties" xmlns:ns2="a8c941f6-bf32-4c67-8466-cbfbf71c1140" xmlns:ns3="88226d1a-3472-47af-aee5-72451a1083b4" targetNamespace="http://schemas.microsoft.com/office/2006/metadata/properties" ma:root="true" ma:fieldsID="e4de6ddb682631742abddfb6bbd592f5" ns2:_="" ns3:_="">
    <xsd:import namespace="a8c941f6-bf32-4c67-8466-cbfbf71c1140"/>
    <xsd:import namespace="88226d1a-3472-47af-aee5-72451a1083b4"/>
    <xsd:element name="properties">
      <xsd:complexType>
        <xsd:sequence>
          <xsd:element name="documentManagement">
            <xsd:complexType>
              <xsd:all>
                <xsd:element ref="ns2:Archief"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941f6-bf32-4c67-8466-cbfbf71c1140" elementFormDefault="qualified">
    <xsd:import namespace="http://schemas.microsoft.com/office/2006/documentManagement/types"/>
    <xsd:import namespace="http://schemas.microsoft.com/office/infopath/2007/PartnerControls"/>
    <xsd:element name="Archief" ma:index="8" nillable="true" ma:displayName="Archief" ma:default="1" ma:internalName="Archie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8226d1a-3472-47af-aee5-72451a1083b4"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3E4837-CE50-4A32-A54A-9639DA900BA8}">
  <ds:schemaRefs>
    <ds:schemaRef ds:uri="http://purl.org/dc/elements/1.1/"/>
    <ds:schemaRef ds:uri="88226d1a-3472-47af-aee5-72451a1083b4"/>
    <ds:schemaRef ds:uri="http://purl.org/dc/dcmitype/"/>
    <ds:schemaRef ds:uri="http://purl.org/dc/terms/"/>
    <ds:schemaRef ds:uri="a8c941f6-bf32-4c67-8466-cbfbf71c1140"/>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07D775F0-AE61-478B-9629-65067FFB4A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941f6-bf32-4c67-8466-cbfbf71c1140"/>
    <ds:schemaRef ds:uri="88226d1a-3472-47af-aee5-72451a1083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9357A0-74EE-4EF5-91F0-DC5FEC2CAEE1}">
  <ds:schemaRefs>
    <ds:schemaRef ds:uri="http://schemas.microsoft.com/sharepoint/v3/contenttype/forms"/>
  </ds:schemaRefs>
</ds:datastoreItem>
</file>

<file path=docMetadata/LabelInfo.xml><?xml version="1.0" encoding="utf-8"?>
<clbl:labelList xmlns:clbl="http://schemas.microsoft.com/office/2020/mipLabelMetadata">
  <clbl:label id="{8832eccc-8a64-4f2d-9156-75c175b095ab}" enabled="0" method="" siteId="{8832eccc-8a64-4f2d-9156-75c175b095ab}"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12</vt:i4>
      </vt:variant>
      <vt:variant>
        <vt:lpstr>Benoemde bereiken</vt:lpstr>
      </vt:variant>
      <vt:variant>
        <vt:i4>17</vt:i4>
      </vt:variant>
    </vt:vector>
  </HeadingPairs>
  <TitlesOfParts>
    <vt:vector size="29"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11-Vloeronderhoud</vt:lpstr>
      <vt:lpstr>12-Sanitaire voorzieningen</vt:lpstr>
      <vt:lpstr>'1-Uitgangspunten'!_Hlk39130726</vt:lpstr>
      <vt:lpstr>'1-Uitgangspunten'!_Toc106114456</vt:lpstr>
      <vt:lpstr>'1-Uitgangspunten'!_Toc106114457</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'11-Vloeronderhoud'!Afdruktitels</vt:lpstr>
      <vt:lpstr>'12-Sanitaire voorzieningen'!Afdruktitels</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Bredie C. (Charlotte)</cp:lastModifiedBy>
  <cp:revision/>
  <dcterms:created xsi:type="dcterms:W3CDTF">1999-10-05T12:28:40Z</dcterms:created>
  <dcterms:modified xsi:type="dcterms:W3CDTF">2025-07-03T09:18:40Z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0x010100E3EFF8443EE11845A41456F9D8B7C393</vt:lpwstr>
  </property>
  <property fmtid="{D5CDD505-2E9C-101B-9397-08002B2CF9AE}" pid="3" name="MediaServiceImageTags">
    <vt:lpwstr/>
  </property>
</Properties>
</file>